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date1904="1" showInkAnnotation="0" checkCompatibility="1" autoCompressPictures="0"/>
  <bookViews>
    <workbookView xWindow="1140" yWindow="0" windowWidth="20180" windowHeight="13960" tabRatio="500" firstSheet="11" activeTab="12"/>
  </bookViews>
  <sheets>
    <sheet name="Cover Sheet" sheetId="12" r:id="rId1"/>
    <sheet name="Aarhus Bay RD" sheetId="26" r:id="rId2"/>
    <sheet name="EXD Botcher 1999 Figure 7" sheetId="60" r:id="rId3"/>
    <sheet name="EXD Sahm 1998 Figure 3" sheetId="59" r:id="rId4"/>
    <sheet name="EXD Garcia-Martinez 2008 Fig 2" sheetId="58" r:id="rId5"/>
    <sheet name="FFD Kato 2010 Table 2" sheetId="81" r:id="rId6"/>
    <sheet name="Lloyd Aarhus Bay" sheetId="32" r:id="rId7"/>
    <sheet name="EXD Musat 2005" sheetId="42" r:id="rId8"/>
    <sheet name="EXD Sahm 1998 Figure 1" sheetId="57" r:id="rId9"/>
    <sheet name="FPA Sahm 1999" sheetId="41" r:id="rId10"/>
    <sheet name="Takai 2000" sheetId="143" r:id="rId11"/>
    <sheet name="Breuker 2011" sheetId="121" r:id="rId12"/>
    <sheet name="Compilation" sheetId="113" r:id="rId13"/>
    <sheet name="Knittel 2003, Table 2 &amp; 3 Comb" sheetId="84" r:id="rId14"/>
    <sheet name="This study" sheetId="141" r:id="rId15"/>
    <sheet name="Schippers 2005&amp;2006 all" sheetId="114" r:id="rId16"/>
    <sheet name="Biddle 2006" sheetId="144" r:id="rId17"/>
    <sheet name="Kubo 2012" sheetId="147" r:id="rId18"/>
    <sheet name="Gittel 2008" sheetId="148" r:id="rId19"/>
    <sheet name="Amaro 2012" sheetId="130" r:id="rId20"/>
    <sheet name="Breuker in press NP" sheetId="146" r:id="rId21"/>
    <sheet name="Breuker 2013 NJ" sheetId="145" r:id="rId22"/>
    <sheet name="Burke 2003" sheetId="123" r:id="rId23"/>
    <sheet name="Bühring 2005" sheetId="124" r:id="rId24"/>
    <sheet name="FPA Danovaro 2009" sheetId="40" r:id="rId25"/>
    <sheet name="EXD 2008 Engelen" sheetId="34" r:id="rId26"/>
    <sheet name="Jorgensen 2012" sheetId="138" r:id="rId27"/>
    <sheet name="EXD Inagaki 2006" sheetId="117" r:id="rId28"/>
    <sheet name="Ince 2006" sheetId="137" r:id="rId29"/>
    <sheet name="Isshi 2004" sheetId="82" r:id="rId30"/>
    <sheet name="Kochling 2011" sheetId="132" r:id="rId31"/>
    <sheet name="Kolukirik 2011" sheetId="140" r:id="rId32"/>
    <sheet name="Leloup 2007" sheetId="101" r:id="rId33"/>
    <sheet name="Llobet-Brossa 2002" sheetId="125" r:id="rId34"/>
    <sheet name="Llobet-Brossa 1998" sheetId="126" r:id="rId35"/>
    <sheet name="FPT Losekann 2007 " sheetId="56" r:id="rId36"/>
    <sheet name="Magdalhes From Author" sheetId="112" r:id="rId37"/>
    <sheet name="MauClaire 2006" sheetId="83" r:id="rId38"/>
    <sheet name="EXD Manini 2008" sheetId="61" r:id="rId39"/>
    <sheet name="Meyer-Dombard 2012" sheetId="131" r:id="rId40"/>
    <sheet name="EXD Molari 2011" sheetId="45" r:id="rId41"/>
    <sheet name="EXD Molari 2012 Fig 1" sheetId="43" r:id="rId42"/>
    <sheet name="Musat 2006" sheetId="135" r:id="rId43"/>
    <sheet name="EXD Nunoura 2006" sheetId="38" r:id="rId44"/>
    <sheet name="EXD Nunoura 2008" sheetId="37" r:id="rId45"/>
    <sheet name="Nunoura 2009, Figure 2" sheetId="87" r:id="rId46"/>
    <sheet name="Oliveira 2012" sheetId="129" r:id="rId47"/>
    <sheet name="Omoregie 2008" sheetId="136" r:id="rId48"/>
    <sheet name="Omoregie 2009" sheetId="134" r:id="rId49"/>
    <sheet name="Orcutt 2005, Table 1" sheetId="86" r:id="rId50"/>
    <sheet name="Quan 2010" sheetId="133" r:id="rId51"/>
    <sheet name="Pernthaler 2002" sheetId="142" r:id="rId52"/>
    <sheet name="FPT Ravenschlag 2001" sheetId="54" r:id="rId53"/>
    <sheet name="EXD Roalkvam 2011" sheetId="33" r:id="rId54"/>
    <sheet name="Rossello-Mora 1999" sheetId="127" r:id="rId55"/>
    <sheet name="Rusch 2003" sheetId="128" r:id="rId56"/>
    <sheet name="Schippers RD Fig2 2006" sheetId="118" r:id="rId57"/>
    <sheet name="Schippers RD Sumatra 2010" sheetId="21" r:id="rId58"/>
    <sheet name="Schippers RD Black Sea 2012 " sheetId="22" r:id="rId59"/>
    <sheet name="Schippers RD Namibia 2012" sheetId="23" r:id="rId60"/>
    <sheet name="Siegert 2011" sheetId="120" r:id="rId61"/>
    <sheet name="FPT Sievert 2000" sheetId="55" r:id="rId62"/>
    <sheet name="EXD Webster 2009" sheetId="119" r:id="rId63"/>
    <sheet name="EXD WIlms 2007" sheetId="36" r:id="rId64"/>
  </sheets>
  <externalReferences>
    <externalReference r:id="rId65"/>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08" i="113" l="1"/>
  <c r="G408" i="113"/>
  <c r="M408" i="113"/>
  <c r="D16" i="84"/>
  <c r="E17" i="84"/>
  <c r="I18" i="84"/>
  <c r="D15" i="84"/>
  <c r="G8" i="40"/>
  <c r="Q14" i="144"/>
  <c r="E12" i="148"/>
  <c r="F13" i="148"/>
  <c r="J18" i="61"/>
  <c r="L19" i="61"/>
  <c r="K18" i="61"/>
  <c r="L18" i="61"/>
  <c r="H8" i="125"/>
  <c r="J10" i="130"/>
  <c r="I11" i="130"/>
  <c r="H8" i="130"/>
  <c r="E8" i="130"/>
  <c r="Q7" i="144"/>
  <c r="Q8" i="144"/>
  <c r="Q9" i="144"/>
  <c r="Q10" i="144"/>
  <c r="Q11" i="144"/>
  <c r="Q12" i="144"/>
  <c r="Q13" i="144"/>
  <c r="Q15" i="144"/>
  <c r="Q16" i="144"/>
  <c r="Q17" i="144"/>
  <c r="Q18" i="144"/>
  <c r="Q19" i="144"/>
  <c r="Q20" i="144"/>
  <c r="Q21" i="144"/>
  <c r="Q22" i="144"/>
  <c r="Q23" i="144"/>
  <c r="Q6" i="144"/>
  <c r="J6" i="144"/>
  <c r="J7" i="144"/>
  <c r="J8" i="144"/>
  <c r="J9" i="144"/>
  <c r="J10" i="144"/>
  <c r="J11" i="144"/>
  <c r="J12" i="144"/>
  <c r="J13" i="144"/>
  <c r="J14" i="144"/>
  <c r="J15" i="144"/>
  <c r="J16" i="144"/>
  <c r="J17" i="144"/>
  <c r="J18" i="144"/>
  <c r="J19" i="144"/>
  <c r="J20" i="144"/>
  <c r="J21" i="144"/>
  <c r="J22" i="144"/>
  <c r="J23" i="144"/>
  <c r="K11" i="144"/>
  <c r="K12" i="144"/>
  <c r="K13" i="144"/>
  <c r="K14" i="144"/>
  <c r="K15" i="144"/>
  <c r="K16" i="144"/>
  <c r="K17" i="144"/>
  <c r="K18" i="144"/>
  <c r="K19" i="144"/>
  <c r="K10" i="144"/>
  <c r="L11" i="144"/>
  <c r="L10" i="144"/>
  <c r="L12" i="144"/>
  <c r="L13" i="144"/>
  <c r="L14" i="144"/>
  <c r="L15" i="144"/>
  <c r="L16" i="144"/>
  <c r="L17" i="144"/>
  <c r="L18" i="144"/>
  <c r="L19" i="144"/>
  <c r="K9" i="144"/>
  <c r="I13" i="144"/>
  <c r="F17" i="26"/>
  <c r="F18" i="26"/>
  <c r="F19" i="26"/>
  <c r="F20" i="26"/>
  <c r="F16" i="26"/>
  <c r="F27" i="26"/>
  <c r="F28" i="26"/>
  <c r="F29" i="26"/>
  <c r="F30" i="26"/>
  <c r="F26" i="26"/>
  <c r="F9" i="26"/>
  <c r="F7" i="26"/>
  <c r="F8" i="26"/>
  <c r="F10" i="26"/>
  <c r="F6" i="26"/>
  <c r="D27" i="26"/>
  <c r="D28" i="26"/>
  <c r="D29" i="26"/>
  <c r="D30" i="26"/>
  <c r="D26" i="26"/>
  <c r="D16" i="26"/>
  <c r="D17" i="26"/>
  <c r="D18" i="26"/>
  <c r="D19" i="26"/>
  <c r="D20" i="26"/>
  <c r="D7" i="26"/>
  <c r="D8" i="26"/>
  <c r="D9" i="26"/>
  <c r="D10" i="26"/>
  <c r="D6" i="26"/>
  <c r="L60" i="26"/>
  <c r="K60" i="26"/>
  <c r="I60" i="26"/>
  <c r="G60" i="26"/>
  <c r="E60" i="26"/>
  <c r="L59" i="26"/>
  <c r="K59" i="26"/>
  <c r="I59" i="26"/>
  <c r="G59" i="26"/>
  <c r="E59" i="26"/>
  <c r="L58" i="26"/>
  <c r="K58" i="26"/>
  <c r="I58" i="26"/>
  <c r="G58" i="26"/>
  <c r="E58" i="26"/>
  <c r="L57" i="26"/>
  <c r="K57" i="26"/>
  <c r="I57" i="26"/>
  <c r="G57" i="26"/>
  <c r="E57" i="26"/>
  <c r="L56" i="26"/>
  <c r="K56" i="26"/>
  <c r="I56" i="26"/>
  <c r="G56" i="26"/>
  <c r="E56" i="26"/>
  <c r="L55" i="26"/>
  <c r="K55" i="26"/>
  <c r="I55" i="26"/>
  <c r="G55" i="26"/>
  <c r="E55" i="26"/>
  <c r="L54" i="26"/>
  <c r="K54" i="26"/>
  <c r="I54" i="26"/>
  <c r="G54" i="26"/>
  <c r="E54" i="26"/>
  <c r="L53" i="26"/>
  <c r="K53" i="26"/>
  <c r="I53" i="26"/>
  <c r="G53" i="26"/>
  <c r="E53" i="26"/>
  <c r="L52" i="26"/>
  <c r="K52" i="26"/>
  <c r="I52" i="26"/>
  <c r="G52" i="26"/>
  <c r="E52" i="26"/>
  <c r="L51" i="26"/>
  <c r="K51" i="26"/>
  <c r="I51" i="26"/>
  <c r="G51" i="26"/>
  <c r="E51" i="26"/>
  <c r="L50" i="26"/>
  <c r="K50" i="26"/>
  <c r="I50" i="26"/>
  <c r="G50" i="26"/>
  <c r="E50" i="26"/>
  <c r="L49" i="26"/>
  <c r="K49" i="26"/>
  <c r="I49" i="26"/>
  <c r="G49" i="26"/>
  <c r="E49" i="26"/>
  <c r="L48" i="26"/>
  <c r="K48" i="26"/>
  <c r="I48" i="26"/>
  <c r="G48" i="26"/>
  <c r="E48" i="26"/>
  <c r="L47" i="26"/>
  <c r="K47" i="26"/>
  <c r="I47" i="26"/>
  <c r="G47" i="26"/>
  <c r="E47" i="26"/>
  <c r="L46" i="26"/>
  <c r="K46" i="26"/>
  <c r="I46" i="26"/>
  <c r="G46" i="26"/>
  <c r="E46" i="26"/>
  <c r="G40" i="26"/>
  <c r="E40" i="26"/>
  <c r="G39" i="26"/>
  <c r="E39" i="26"/>
  <c r="G38" i="26"/>
  <c r="E38" i="26"/>
  <c r="G37" i="26"/>
  <c r="E37" i="26"/>
  <c r="G36" i="26"/>
  <c r="E36" i="26"/>
  <c r="I30" i="26"/>
  <c r="H30" i="26"/>
  <c r="I29" i="26"/>
  <c r="H29" i="26"/>
  <c r="I28" i="26"/>
  <c r="H28" i="26"/>
  <c r="I27" i="26"/>
  <c r="H27" i="26"/>
  <c r="I26" i="26"/>
  <c r="H26" i="26"/>
  <c r="I20" i="26"/>
  <c r="H20" i="26"/>
  <c r="I19" i="26"/>
  <c r="H19" i="26"/>
  <c r="I18" i="26"/>
  <c r="H18" i="26"/>
  <c r="I17" i="26"/>
  <c r="H17" i="26"/>
  <c r="I16" i="26"/>
  <c r="H16" i="26"/>
  <c r="K10" i="26"/>
  <c r="J10" i="26"/>
  <c r="H10" i="26"/>
  <c r="K9" i="26"/>
  <c r="J9" i="26"/>
  <c r="H9" i="26"/>
  <c r="K8" i="26"/>
  <c r="J8" i="26"/>
  <c r="H8" i="26"/>
  <c r="K7" i="26"/>
  <c r="J7" i="26"/>
  <c r="H7" i="26"/>
  <c r="K6" i="26"/>
  <c r="J6" i="26"/>
  <c r="H6" i="26"/>
  <c r="C9" i="130"/>
  <c r="C10" i="130"/>
  <c r="C11" i="130"/>
  <c r="C12" i="130"/>
  <c r="C8" i="130"/>
  <c r="H9" i="130"/>
  <c r="A4" i="130"/>
  <c r="E9" i="130"/>
  <c r="J9" i="130"/>
  <c r="H10" i="130"/>
  <c r="E10" i="130"/>
  <c r="H11" i="130"/>
  <c r="E11" i="130"/>
  <c r="J11" i="130"/>
  <c r="H12" i="130"/>
  <c r="E12" i="130"/>
  <c r="J12" i="130"/>
  <c r="J8" i="130"/>
  <c r="I9" i="130"/>
  <c r="I10" i="130"/>
  <c r="I12" i="130"/>
  <c r="I8" i="130"/>
  <c r="H18" i="144"/>
  <c r="G18" i="144"/>
  <c r="H11" i="144"/>
  <c r="H7" i="144"/>
  <c r="G23" i="144"/>
  <c r="G22" i="144"/>
  <c r="G21" i="144"/>
  <c r="G19" i="144"/>
  <c r="H17" i="144"/>
  <c r="G17" i="144"/>
  <c r="H16" i="144"/>
  <c r="G16" i="144"/>
  <c r="H15" i="144"/>
  <c r="G15" i="144"/>
  <c r="G14" i="144"/>
  <c r="G13" i="144"/>
  <c r="H12" i="144"/>
  <c r="G12" i="144"/>
  <c r="I7" i="144"/>
  <c r="K7" i="144"/>
  <c r="I8" i="144"/>
  <c r="K8" i="144"/>
  <c r="I9" i="144"/>
  <c r="I10" i="144"/>
  <c r="I11" i="144"/>
  <c r="I12" i="144"/>
  <c r="I14" i="144"/>
  <c r="I15" i="144"/>
  <c r="I16" i="144"/>
  <c r="I17" i="144"/>
  <c r="I18" i="144"/>
  <c r="I19" i="144"/>
  <c r="I20" i="144"/>
  <c r="K20" i="144"/>
  <c r="I21" i="144"/>
  <c r="K21" i="144"/>
  <c r="I22" i="144"/>
  <c r="K22" i="144"/>
  <c r="I23" i="144"/>
  <c r="K23" i="144"/>
  <c r="I6" i="144"/>
  <c r="K6" i="144"/>
  <c r="G11" i="144"/>
  <c r="H9" i="144"/>
  <c r="G9" i="144"/>
  <c r="H8" i="144"/>
  <c r="G8" i="144"/>
  <c r="G7" i="144"/>
  <c r="J277" i="114"/>
  <c r="G20" i="144"/>
  <c r="D2" i="121"/>
  <c r="H12" i="121"/>
  <c r="H10" i="121"/>
  <c r="H8" i="121"/>
  <c r="H5" i="121"/>
  <c r="H6" i="121"/>
  <c r="C12" i="121"/>
  <c r="C5" i="121"/>
  <c r="C10" i="121"/>
  <c r="C8" i="121"/>
  <c r="C6" i="121"/>
  <c r="K6" i="121"/>
  <c r="L6" i="121"/>
  <c r="H7" i="121"/>
  <c r="I7" i="121"/>
  <c r="J7" i="121"/>
  <c r="K8" i="121"/>
  <c r="L8" i="121"/>
  <c r="H9" i="121"/>
  <c r="I9" i="121"/>
  <c r="K10" i="121"/>
  <c r="L10" i="121"/>
  <c r="H11" i="121"/>
  <c r="K12" i="121"/>
  <c r="L12" i="121"/>
  <c r="H13" i="121"/>
  <c r="I13" i="121"/>
  <c r="J13" i="121"/>
  <c r="H14" i="121"/>
  <c r="I14" i="121"/>
  <c r="J14" i="121"/>
  <c r="K14" i="121"/>
  <c r="L14" i="121"/>
  <c r="H15" i="121"/>
  <c r="I15" i="121"/>
  <c r="J15" i="121"/>
  <c r="K15" i="121"/>
  <c r="L15" i="121"/>
  <c r="H16" i="121"/>
  <c r="I16" i="121"/>
  <c r="K16" i="121"/>
  <c r="L16" i="121"/>
  <c r="H17" i="121"/>
  <c r="I17" i="121"/>
  <c r="K17" i="121"/>
  <c r="L17" i="121"/>
  <c r="H18" i="121"/>
  <c r="I18" i="121"/>
  <c r="K18" i="121"/>
  <c r="L18" i="121"/>
  <c r="H19" i="121"/>
  <c r="I19" i="121"/>
  <c r="K19" i="121"/>
  <c r="L19" i="121"/>
  <c r="H20" i="121"/>
  <c r="I20" i="121"/>
  <c r="J20" i="121"/>
  <c r="K20" i="121"/>
  <c r="L20" i="121"/>
  <c r="H21" i="121"/>
  <c r="I21" i="121"/>
  <c r="J21" i="121"/>
  <c r="K21" i="121"/>
  <c r="L21" i="121"/>
  <c r="H22" i="121"/>
  <c r="I22" i="121"/>
  <c r="J22" i="121"/>
  <c r="K22" i="121"/>
  <c r="L22" i="121"/>
  <c r="H23" i="121"/>
  <c r="I23" i="121"/>
  <c r="K23" i="121"/>
  <c r="L23" i="121"/>
  <c r="H24" i="121"/>
  <c r="I24" i="121"/>
  <c r="K24" i="121"/>
  <c r="L24" i="121"/>
  <c r="H25" i="121"/>
  <c r="K25" i="121"/>
  <c r="L25" i="121"/>
  <c r="H26" i="121"/>
  <c r="K26" i="121"/>
  <c r="K5" i="121"/>
  <c r="L5" i="121"/>
  <c r="F2" i="121"/>
  <c r="G57" i="146"/>
  <c r="F57" i="146"/>
  <c r="H57" i="146"/>
  <c r="I57" i="146"/>
  <c r="G55" i="146"/>
  <c r="F55" i="146"/>
  <c r="H55" i="146"/>
  <c r="I55" i="146"/>
  <c r="G54" i="146"/>
  <c r="F54" i="146"/>
  <c r="H54" i="146"/>
  <c r="I54" i="146"/>
  <c r="G52" i="146"/>
  <c r="F52" i="146"/>
  <c r="H52" i="146"/>
  <c r="I52" i="146"/>
  <c r="G53" i="146"/>
  <c r="F53" i="146"/>
  <c r="H53" i="146"/>
  <c r="I53" i="146"/>
  <c r="G50" i="146"/>
  <c r="F50" i="146"/>
  <c r="H50" i="146"/>
  <c r="I50" i="146"/>
  <c r="G45" i="146"/>
  <c r="F45" i="146"/>
  <c r="H45" i="146"/>
  <c r="I45" i="146"/>
  <c r="G46" i="146"/>
  <c r="F46" i="146"/>
  <c r="H46" i="146"/>
  <c r="I46" i="146"/>
  <c r="G47" i="146"/>
  <c r="F47" i="146"/>
  <c r="H47" i="146"/>
  <c r="I47" i="146"/>
  <c r="G44" i="146"/>
  <c r="F44" i="146"/>
  <c r="H44" i="146"/>
  <c r="I44" i="146"/>
  <c r="G43" i="146"/>
  <c r="F43" i="146"/>
  <c r="H43" i="146"/>
  <c r="I43" i="146"/>
  <c r="G42" i="146"/>
  <c r="F42" i="146"/>
  <c r="H42" i="146"/>
  <c r="I42" i="146"/>
  <c r="G34" i="146"/>
  <c r="F34" i="146"/>
  <c r="H34" i="146"/>
  <c r="I34" i="146"/>
  <c r="G35" i="146"/>
  <c r="F35" i="146"/>
  <c r="H35" i="146"/>
  <c r="I35" i="146"/>
  <c r="G33" i="146"/>
  <c r="F33" i="146"/>
  <c r="H33" i="146"/>
  <c r="I33" i="146"/>
  <c r="G31" i="146"/>
  <c r="F31" i="146"/>
  <c r="H31" i="146"/>
  <c r="I31" i="146"/>
  <c r="G27" i="146"/>
  <c r="F27" i="146"/>
  <c r="H27" i="146"/>
  <c r="I27" i="146"/>
  <c r="G28" i="146"/>
  <c r="F28" i="146"/>
  <c r="H28" i="146"/>
  <c r="I28" i="146"/>
  <c r="G29" i="146"/>
  <c r="F29" i="146"/>
  <c r="H29" i="146"/>
  <c r="I29" i="146"/>
  <c r="G26" i="146"/>
  <c r="F26" i="146"/>
  <c r="H26" i="146"/>
  <c r="I26" i="146"/>
  <c r="G12" i="146"/>
  <c r="F12" i="146"/>
  <c r="H12" i="146"/>
  <c r="I12" i="146"/>
  <c r="G8" i="146"/>
  <c r="F8" i="146"/>
  <c r="H8" i="146"/>
  <c r="I8" i="146"/>
  <c r="G4" i="146"/>
  <c r="F4" i="146"/>
  <c r="H4" i="146"/>
  <c r="I4" i="146"/>
  <c r="G5" i="146"/>
  <c r="F5" i="146"/>
  <c r="H5" i="146"/>
  <c r="I5" i="146"/>
  <c r="G3" i="146"/>
  <c r="F3" i="146"/>
  <c r="H3" i="146"/>
  <c r="I3" i="146"/>
  <c r="G48" i="146"/>
  <c r="F51" i="146"/>
  <c r="F49" i="146"/>
  <c r="F39" i="146"/>
  <c r="F40" i="146"/>
  <c r="F41" i="146"/>
  <c r="F38" i="146"/>
  <c r="G36" i="146"/>
  <c r="G25" i="146"/>
  <c r="G30" i="146"/>
  <c r="G32" i="146"/>
  <c r="G37" i="146"/>
  <c r="G13" i="146"/>
  <c r="G14" i="146"/>
  <c r="G15" i="146"/>
  <c r="G16" i="146"/>
  <c r="G17" i="146"/>
  <c r="G18" i="146"/>
  <c r="G19" i="146"/>
  <c r="G22" i="146"/>
  <c r="G23" i="146"/>
  <c r="G24" i="146"/>
  <c r="D5" i="124"/>
  <c r="D6" i="124"/>
  <c r="D7" i="124"/>
  <c r="D8" i="124"/>
  <c r="D9" i="124"/>
  <c r="D4" i="124"/>
  <c r="B14" i="123"/>
  <c r="E4" i="123"/>
  <c r="H4" i="123"/>
  <c r="K4" i="123"/>
  <c r="F4" i="123"/>
  <c r="I4" i="123"/>
  <c r="L4" i="123"/>
  <c r="G4" i="123"/>
  <c r="J4" i="123"/>
  <c r="M4" i="123"/>
  <c r="E5" i="123"/>
  <c r="H5" i="123"/>
  <c r="K5" i="123"/>
  <c r="F5" i="123"/>
  <c r="I5" i="123"/>
  <c r="L5" i="123"/>
  <c r="G5" i="123"/>
  <c r="J5" i="123"/>
  <c r="M5" i="123"/>
  <c r="E6" i="123"/>
  <c r="H6" i="123"/>
  <c r="K6" i="123"/>
  <c r="F6" i="123"/>
  <c r="I6" i="123"/>
  <c r="L6" i="123"/>
  <c r="G6" i="123"/>
  <c r="J6" i="123"/>
  <c r="M6" i="123"/>
  <c r="E7" i="123"/>
  <c r="H7" i="123"/>
  <c r="K7" i="123"/>
  <c r="F7" i="123"/>
  <c r="I7" i="123"/>
  <c r="L7" i="123"/>
  <c r="G7" i="123"/>
  <c r="J7" i="123"/>
  <c r="M7" i="123"/>
  <c r="E8" i="123"/>
  <c r="H8" i="123"/>
  <c r="K8" i="123"/>
  <c r="F8" i="123"/>
  <c r="I8" i="123"/>
  <c r="L8" i="123"/>
  <c r="G8" i="123"/>
  <c r="J8" i="123"/>
  <c r="M8" i="123"/>
  <c r="E9" i="123"/>
  <c r="H9" i="123"/>
  <c r="K9" i="123"/>
  <c r="F9" i="123"/>
  <c r="I9" i="123"/>
  <c r="L9" i="123"/>
  <c r="G9" i="123"/>
  <c r="J9" i="123"/>
  <c r="M9" i="123"/>
  <c r="E10" i="123"/>
  <c r="H10" i="123"/>
  <c r="K10" i="123"/>
  <c r="F10" i="123"/>
  <c r="I10" i="123"/>
  <c r="L10" i="123"/>
  <c r="G10" i="123"/>
  <c r="J10" i="123"/>
  <c r="M10" i="123"/>
  <c r="F3" i="123"/>
  <c r="I3" i="123"/>
  <c r="L3" i="123"/>
  <c r="G3" i="123"/>
  <c r="J3" i="123"/>
  <c r="M3" i="123"/>
  <c r="E3" i="123"/>
  <c r="H3" i="123"/>
  <c r="K3" i="123"/>
  <c r="I1196" i="113"/>
  <c r="J1196" i="113"/>
  <c r="K1196" i="113"/>
  <c r="N1196" i="113"/>
  <c r="I1173" i="113"/>
  <c r="J1173" i="113"/>
  <c r="K1173" i="113"/>
  <c r="I1163" i="113"/>
  <c r="J1163" i="113"/>
  <c r="K1163" i="113"/>
  <c r="I1166" i="113"/>
  <c r="J1166" i="113"/>
  <c r="K1166" i="113"/>
  <c r="I1139" i="113"/>
  <c r="J1139" i="113"/>
  <c r="K1139" i="113"/>
  <c r="I1182" i="113"/>
  <c r="J1182" i="113"/>
  <c r="K1182" i="113"/>
  <c r="I1153" i="113"/>
  <c r="J1153" i="113"/>
  <c r="K1153" i="113"/>
  <c r="I1172" i="113"/>
  <c r="J1172" i="113"/>
  <c r="K1172" i="113"/>
  <c r="I1202" i="113"/>
  <c r="J1202" i="113"/>
  <c r="K1202" i="113"/>
  <c r="I1161" i="113"/>
  <c r="J1161" i="113"/>
  <c r="K1161" i="113"/>
  <c r="I1211" i="113"/>
  <c r="J1211" i="113"/>
  <c r="K1211" i="113"/>
  <c r="I1129" i="113"/>
  <c r="J1129" i="113"/>
  <c r="K1129" i="113"/>
  <c r="I1134" i="113"/>
  <c r="J1134" i="113"/>
  <c r="K1134" i="113"/>
  <c r="I1118" i="113"/>
  <c r="J1118" i="113"/>
  <c r="K1118" i="113"/>
  <c r="I1168" i="113"/>
  <c r="J1168" i="113"/>
  <c r="K1168" i="113"/>
  <c r="I1177" i="113"/>
  <c r="J1177" i="113"/>
  <c r="K1177" i="113"/>
  <c r="I1140" i="113"/>
  <c r="J1140" i="113"/>
  <c r="K1140" i="113"/>
  <c r="I1126" i="113"/>
  <c r="J1126" i="113"/>
  <c r="K1126" i="113"/>
  <c r="I1150" i="113"/>
  <c r="J1150" i="113"/>
  <c r="K1150" i="113"/>
  <c r="I1122" i="113"/>
  <c r="J1122" i="113"/>
  <c r="K1122" i="113"/>
  <c r="I1204" i="113"/>
  <c r="J1204" i="113"/>
  <c r="K1204" i="113"/>
  <c r="I1132" i="113"/>
  <c r="J1132" i="113"/>
  <c r="K1132" i="113"/>
  <c r="I1194" i="113"/>
  <c r="J1194" i="113"/>
  <c r="K1194" i="113"/>
  <c r="I1195" i="113"/>
  <c r="J1195" i="113"/>
  <c r="K1195" i="113"/>
  <c r="I1162" i="113"/>
  <c r="J1162" i="113"/>
  <c r="K1162" i="113"/>
  <c r="I1121" i="113"/>
  <c r="J1121" i="113"/>
  <c r="K1121" i="113"/>
  <c r="I1207" i="113"/>
  <c r="J1207" i="113"/>
  <c r="K1207" i="113"/>
  <c r="I1181" i="113"/>
  <c r="J1181" i="113"/>
  <c r="K1181" i="113"/>
  <c r="I1141" i="113"/>
  <c r="J1141" i="113"/>
  <c r="K1141" i="113"/>
  <c r="I1148" i="113"/>
  <c r="J1148" i="113"/>
  <c r="K1148" i="113"/>
  <c r="I1116" i="113"/>
  <c r="J1116" i="113"/>
  <c r="K1116" i="113"/>
  <c r="I1146" i="113"/>
  <c r="J1146" i="113"/>
  <c r="K1146" i="113"/>
  <c r="I1201" i="113"/>
  <c r="J1201" i="113"/>
  <c r="K1201" i="113"/>
  <c r="I1185" i="113"/>
  <c r="J1185" i="113"/>
  <c r="K1185" i="113"/>
  <c r="I1156" i="113"/>
  <c r="J1156" i="113"/>
  <c r="K1156" i="113"/>
  <c r="I1174" i="113"/>
  <c r="J1174" i="113"/>
  <c r="K1174" i="113"/>
  <c r="C1114" i="113"/>
  <c r="D1114" i="113"/>
  <c r="P1114" i="113"/>
  <c r="C1116" i="113"/>
  <c r="N1116" i="113"/>
  <c r="P1116" i="113"/>
  <c r="C1117" i="113"/>
  <c r="E1117" i="113"/>
  <c r="G1117" i="113"/>
  <c r="M1117" i="113"/>
  <c r="P1117" i="113"/>
  <c r="C1118" i="113"/>
  <c r="N1118" i="113"/>
  <c r="P1118" i="113"/>
  <c r="C1119" i="113"/>
  <c r="E1119" i="113"/>
  <c r="G1119" i="113"/>
  <c r="M1119" i="113"/>
  <c r="P1119" i="113"/>
  <c r="C1120" i="113"/>
  <c r="D1120" i="113"/>
  <c r="P1120" i="113"/>
  <c r="C1121" i="113"/>
  <c r="D1121" i="113"/>
  <c r="N1121" i="113"/>
  <c r="P1121" i="113"/>
  <c r="C1122" i="113"/>
  <c r="D1122" i="113"/>
  <c r="N1122" i="113"/>
  <c r="P1122" i="113"/>
  <c r="C1123" i="113"/>
  <c r="D1123" i="113"/>
  <c r="E1123" i="113"/>
  <c r="G1123" i="113"/>
  <c r="H1123" i="113"/>
  <c r="M1123" i="113"/>
  <c r="P1123" i="113"/>
  <c r="C1124" i="113"/>
  <c r="D1124" i="113"/>
  <c r="E1124" i="113"/>
  <c r="G1124" i="113"/>
  <c r="H1124" i="113"/>
  <c r="M1124" i="113"/>
  <c r="P1124" i="113"/>
  <c r="C1125" i="113"/>
  <c r="D1125" i="113"/>
  <c r="P1125" i="113"/>
  <c r="C1126" i="113"/>
  <c r="D1126" i="113"/>
  <c r="N1126" i="113"/>
  <c r="P1126" i="113"/>
  <c r="C1127" i="113"/>
  <c r="D1127" i="113"/>
  <c r="P1127" i="113"/>
  <c r="C1128" i="113"/>
  <c r="D1128" i="113"/>
  <c r="E1128" i="113"/>
  <c r="G1128" i="113"/>
  <c r="H1128" i="113"/>
  <c r="M1128" i="113"/>
  <c r="P1128" i="113"/>
  <c r="C1129" i="113"/>
  <c r="D1129" i="113"/>
  <c r="N1129" i="113"/>
  <c r="P1129" i="113"/>
  <c r="C1130" i="113"/>
  <c r="D1130" i="113"/>
  <c r="P1130" i="113"/>
  <c r="C1131" i="113"/>
  <c r="D1131" i="113"/>
  <c r="E1131" i="113"/>
  <c r="G1131" i="113"/>
  <c r="H1131" i="113"/>
  <c r="M1131" i="113"/>
  <c r="P1131" i="113"/>
  <c r="C1132" i="113"/>
  <c r="D1132" i="113"/>
  <c r="N1132" i="113"/>
  <c r="P1132" i="113"/>
  <c r="C1133" i="113"/>
  <c r="D1133" i="113"/>
  <c r="P1133" i="113"/>
  <c r="C1134" i="113"/>
  <c r="D1134" i="113"/>
  <c r="N1134" i="113"/>
  <c r="P1134" i="113"/>
  <c r="C1135" i="113"/>
  <c r="D1135" i="113"/>
  <c r="E1135" i="113"/>
  <c r="G1135" i="113"/>
  <c r="H1135" i="113"/>
  <c r="M1135" i="113"/>
  <c r="P1135" i="113"/>
  <c r="C1136" i="113"/>
  <c r="D1136" i="113"/>
  <c r="E1136" i="113"/>
  <c r="G1136" i="113"/>
  <c r="H1136" i="113"/>
  <c r="M1136" i="113"/>
  <c r="P1136" i="113"/>
  <c r="C1137" i="113"/>
  <c r="D1137" i="113"/>
  <c r="P1137" i="113"/>
  <c r="C1138" i="113"/>
  <c r="D1138" i="113"/>
  <c r="J1138" i="113"/>
  <c r="P1138" i="113"/>
  <c r="C1139" i="113"/>
  <c r="D1139" i="113"/>
  <c r="N1139" i="113"/>
  <c r="P1139" i="113"/>
  <c r="C1140" i="113"/>
  <c r="D1140" i="113"/>
  <c r="N1140" i="113"/>
  <c r="P1140" i="113"/>
  <c r="C1141" i="113"/>
  <c r="D1141" i="113"/>
  <c r="N1141" i="113"/>
  <c r="P1141" i="113"/>
  <c r="C1142" i="113"/>
  <c r="D1142" i="113"/>
  <c r="P1142" i="113"/>
  <c r="C1143" i="113"/>
  <c r="D1143" i="113"/>
  <c r="P1143" i="113"/>
  <c r="C1144" i="113"/>
  <c r="D1144" i="113"/>
  <c r="E1144" i="113"/>
  <c r="G1144" i="113"/>
  <c r="H1144" i="113"/>
  <c r="M1144" i="113"/>
  <c r="P1144" i="113"/>
  <c r="C1145" i="113"/>
  <c r="D1145" i="113"/>
  <c r="J1145" i="113"/>
  <c r="P1145" i="113"/>
  <c r="C1146" i="113"/>
  <c r="D1146" i="113"/>
  <c r="N1146" i="113"/>
  <c r="P1146" i="113"/>
  <c r="C1147" i="113"/>
  <c r="D1147" i="113"/>
  <c r="J1147" i="113"/>
  <c r="P1147" i="113"/>
  <c r="C1148" i="113"/>
  <c r="D1148" i="113"/>
  <c r="N1148" i="113"/>
  <c r="P1148" i="113"/>
  <c r="C1149" i="113"/>
  <c r="D1149" i="113"/>
  <c r="P1149" i="113"/>
  <c r="C1150" i="113"/>
  <c r="D1150" i="113"/>
  <c r="N1150" i="113"/>
  <c r="P1150" i="113"/>
  <c r="C1151" i="113"/>
  <c r="D1151" i="113"/>
  <c r="E1151" i="113"/>
  <c r="G1151" i="113"/>
  <c r="H1151" i="113"/>
  <c r="M1151" i="113"/>
  <c r="P1151" i="113"/>
  <c r="C1152" i="113"/>
  <c r="D1152" i="113"/>
  <c r="P1152" i="113"/>
  <c r="C1153" i="113"/>
  <c r="D1153" i="113"/>
  <c r="N1153" i="113"/>
  <c r="P1153" i="113"/>
  <c r="C1154" i="113"/>
  <c r="D1154" i="113"/>
  <c r="E1154" i="113"/>
  <c r="G1154" i="113"/>
  <c r="H1154" i="113"/>
  <c r="M1154" i="113"/>
  <c r="P1154" i="113"/>
  <c r="C1155" i="113"/>
  <c r="D1155" i="113"/>
  <c r="J1155" i="113"/>
  <c r="P1155" i="113"/>
  <c r="C1156" i="113"/>
  <c r="D1156" i="113"/>
  <c r="N1156" i="113"/>
  <c r="P1156" i="113"/>
  <c r="C1157" i="113"/>
  <c r="D1157" i="113"/>
  <c r="P1157" i="113"/>
  <c r="C1158" i="113"/>
  <c r="D1158" i="113"/>
  <c r="E1158" i="113"/>
  <c r="G1158" i="113"/>
  <c r="H1158" i="113"/>
  <c r="M1158" i="113"/>
  <c r="P1158" i="113"/>
  <c r="C1159" i="113"/>
  <c r="D1159" i="113"/>
  <c r="P1159" i="113"/>
  <c r="C1160" i="113"/>
  <c r="D1160" i="113"/>
  <c r="E1160" i="113"/>
  <c r="G1160" i="113"/>
  <c r="H1160" i="113"/>
  <c r="M1160" i="113"/>
  <c r="P1160" i="113"/>
  <c r="C1161" i="113"/>
  <c r="D1161" i="113"/>
  <c r="N1161" i="113"/>
  <c r="P1161" i="113"/>
  <c r="C1162" i="113"/>
  <c r="D1162" i="113"/>
  <c r="N1162" i="113"/>
  <c r="P1162" i="113"/>
  <c r="C1163" i="113"/>
  <c r="D1163" i="113"/>
  <c r="N1163" i="113"/>
  <c r="P1163" i="113"/>
  <c r="C1164" i="113"/>
  <c r="D1164" i="113"/>
  <c r="E1164" i="113"/>
  <c r="G1164" i="113"/>
  <c r="H1164" i="113"/>
  <c r="M1164" i="113"/>
  <c r="P1164" i="113"/>
  <c r="C1165" i="113"/>
  <c r="D1165" i="113"/>
  <c r="P1165" i="113"/>
  <c r="C1166" i="113"/>
  <c r="D1166" i="113"/>
  <c r="N1166" i="113"/>
  <c r="P1166" i="113"/>
  <c r="C1167" i="113"/>
  <c r="D1167" i="113"/>
  <c r="P1167" i="113"/>
  <c r="C1168" i="113"/>
  <c r="D1168" i="113"/>
  <c r="N1168" i="113"/>
  <c r="P1168" i="113"/>
  <c r="C1169" i="113"/>
  <c r="D1169" i="113"/>
  <c r="P1169" i="113"/>
  <c r="C1170" i="113"/>
  <c r="D1170" i="113"/>
  <c r="E1170" i="113"/>
  <c r="G1170" i="113"/>
  <c r="H1170" i="113"/>
  <c r="M1170" i="113"/>
  <c r="P1170" i="113"/>
  <c r="C1171" i="113"/>
  <c r="D1171" i="113"/>
  <c r="P1171" i="113"/>
  <c r="C1172" i="113"/>
  <c r="D1172" i="113"/>
  <c r="N1172" i="113"/>
  <c r="P1172" i="113"/>
  <c r="C1173" i="113"/>
  <c r="D1173" i="113"/>
  <c r="N1173" i="113"/>
  <c r="P1173" i="113"/>
  <c r="C1174" i="113"/>
  <c r="D1174" i="113"/>
  <c r="N1174" i="113"/>
  <c r="P1174" i="113"/>
  <c r="C1175" i="113"/>
  <c r="D1175" i="113"/>
  <c r="P1175" i="113"/>
  <c r="C1176" i="113"/>
  <c r="D1176" i="113"/>
  <c r="E1176" i="113"/>
  <c r="G1176" i="113"/>
  <c r="H1176" i="113"/>
  <c r="M1176" i="113"/>
  <c r="P1176" i="113"/>
  <c r="C1177" i="113"/>
  <c r="D1177" i="113"/>
  <c r="N1177" i="113"/>
  <c r="P1177" i="113"/>
  <c r="C1178" i="113"/>
  <c r="D1178" i="113"/>
  <c r="P1178" i="113"/>
  <c r="C1179" i="113"/>
  <c r="D1179" i="113"/>
  <c r="E1179" i="113"/>
  <c r="G1179" i="113"/>
  <c r="H1179" i="113"/>
  <c r="M1179" i="113"/>
  <c r="P1179" i="113"/>
  <c r="C1180" i="113"/>
  <c r="D1180" i="113"/>
  <c r="J1180" i="113"/>
  <c r="P1180" i="113"/>
  <c r="C1181" i="113"/>
  <c r="D1181" i="113"/>
  <c r="N1181" i="113"/>
  <c r="P1181" i="113"/>
  <c r="C1182" i="113"/>
  <c r="D1182" i="113"/>
  <c r="N1182" i="113"/>
  <c r="P1182" i="113"/>
  <c r="C1183" i="113"/>
  <c r="D1183" i="113"/>
  <c r="E1183" i="113"/>
  <c r="G1183" i="113"/>
  <c r="H1183" i="113"/>
  <c r="M1183" i="113"/>
  <c r="P1183" i="113"/>
  <c r="C1184" i="113"/>
  <c r="D1184" i="113"/>
  <c r="J1184" i="113"/>
  <c r="P1184" i="113"/>
  <c r="C1185" i="113"/>
  <c r="D1185" i="113"/>
  <c r="N1185" i="113"/>
  <c r="P1185" i="113"/>
  <c r="C1186" i="113"/>
  <c r="D1186" i="113"/>
  <c r="P1186" i="113"/>
  <c r="C1187" i="113"/>
  <c r="D1187" i="113"/>
  <c r="P1187" i="113"/>
  <c r="C1188" i="113"/>
  <c r="D1188" i="113"/>
  <c r="P1188" i="113"/>
  <c r="C1189" i="113"/>
  <c r="D1189" i="113"/>
  <c r="P1189" i="113"/>
  <c r="C1190" i="113"/>
  <c r="D1190" i="113"/>
  <c r="E1190" i="113"/>
  <c r="G1190" i="113"/>
  <c r="H1190" i="113"/>
  <c r="M1190" i="113"/>
  <c r="P1190" i="113"/>
  <c r="C1191" i="113"/>
  <c r="D1191" i="113"/>
  <c r="E1191" i="113"/>
  <c r="G1191" i="113"/>
  <c r="H1191" i="113"/>
  <c r="M1191" i="113"/>
  <c r="P1191" i="113"/>
  <c r="C1192" i="113"/>
  <c r="D1192" i="113"/>
  <c r="P1192" i="113"/>
  <c r="C1193" i="113"/>
  <c r="D1193" i="113"/>
  <c r="P1193" i="113"/>
  <c r="C1194" i="113"/>
  <c r="D1194" i="113"/>
  <c r="N1194" i="113"/>
  <c r="P1194" i="113"/>
  <c r="C1195" i="113"/>
  <c r="D1195" i="113"/>
  <c r="N1195" i="113"/>
  <c r="P1195" i="113"/>
  <c r="C1196" i="113"/>
  <c r="D1196" i="113"/>
  <c r="P1196" i="113"/>
  <c r="C1197" i="113"/>
  <c r="D1197" i="113"/>
  <c r="E1197" i="113"/>
  <c r="G1197" i="113"/>
  <c r="H1197" i="113"/>
  <c r="M1197" i="113"/>
  <c r="P1197" i="113"/>
  <c r="C1198" i="113"/>
  <c r="D1198" i="113"/>
  <c r="P1198" i="113"/>
  <c r="C1199" i="113"/>
  <c r="J1199" i="113"/>
  <c r="P1199" i="113"/>
  <c r="C1200" i="113"/>
  <c r="P1200" i="113"/>
  <c r="C1201" i="113"/>
  <c r="N1201" i="113"/>
  <c r="P1201" i="113"/>
  <c r="C1202" i="113"/>
  <c r="N1202" i="113"/>
  <c r="P1202" i="113"/>
  <c r="C1203" i="113"/>
  <c r="E1203" i="113"/>
  <c r="G1203" i="113"/>
  <c r="M1203" i="113"/>
  <c r="P1203" i="113"/>
  <c r="C1204" i="113"/>
  <c r="D1204" i="113"/>
  <c r="N1204" i="113"/>
  <c r="P1204" i="113"/>
  <c r="C1205" i="113"/>
  <c r="D1205" i="113"/>
  <c r="E1205" i="113"/>
  <c r="G1205" i="113"/>
  <c r="H1205" i="113"/>
  <c r="M1205" i="113"/>
  <c r="P1205" i="113"/>
  <c r="C1206" i="113"/>
  <c r="D1206" i="113"/>
  <c r="P1206" i="113"/>
  <c r="C1207" i="113"/>
  <c r="D1207" i="113"/>
  <c r="N1207" i="113"/>
  <c r="P1207" i="113"/>
  <c r="C1208" i="113"/>
  <c r="D1208" i="113"/>
  <c r="P1208" i="113"/>
  <c r="C1209" i="113"/>
  <c r="D1209" i="113"/>
  <c r="E1209" i="113"/>
  <c r="G1209" i="113"/>
  <c r="H1209" i="113"/>
  <c r="M1209" i="113"/>
  <c r="P1209" i="113"/>
  <c r="C1210" i="113"/>
  <c r="E1210" i="113"/>
  <c r="G1210" i="113"/>
  <c r="M1210" i="113"/>
  <c r="P1210" i="113"/>
  <c r="C1211" i="113"/>
  <c r="N1211" i="113"/>
  <c r="P1211" i="113"/>
  <c r="D1115" i="113"/>
  <c r="C1115" i="113"/>
  <c r="E1109" i="113"/>
  <c r="G1109" i="113"/>
  <c r="D1109" i="113"/>
  <c r="H1109" i="113"/>
  <c r="C1109" i="113"/>
  <c r="E1107" i="113"/>
  <c r="G1107" i="113"/>
  <c r="D1107" i="113"/>
  <c r="H1107" i="113"/>
  <c r="C1107" i="113"/>
  <c r="E1106" i="113"/>
  <c r="G1106" i="113"/>
  <c r="D1106" i="113"/>
  <c r="H1106" i="113"/>
  <c r="C1106" i="113"/>
  <c r="E1104" i="113"/>
  <c r="G1104" i="113"/>
  <c r="C1104" i="113"/>
  <c r="E1102" i="113"/>
  <c r="D1102" i="113"/>
  <c r="C1102" i="113"/>
  <c r="G1102" i="113"/>
  <c r="H1102" i="113"/>
  <c r="E1100" i="113"/>
  <c r="G1100" i="113"/>
  <c r="C1100" i="113"/>
  <c r="E1098" i="113"/>
  <c r="D1098" i="113"/>
  <c r="C1098" i="113"/>
  <c r="G1098" i="113"/>
  <c r="H1098" i="113"/>
  <c r="E1096" i="113"/>
  <c r="G1096" i="113"/>
  <c r="D1096" i="113"/>
  <c r="H1096" i="113"/>
  <c r="C1096" i="113"/>
  <c r="E1094" i="113"/>
  <c r="D1094" i="113"/>
  <c r="C1094" i="113"/>
  <c r="G1094" i="113"/>
  <c r="H1094" i="113"/>
  <c r="E1092" i="113"/>
  <c r="C1092" i="113"/>
  <c r="G1092" i="113"/>
  <c r="C1091" i="113"/>
  <c r="E1089" i="113"/>
  <c r="D1089" i="113"/>
  <c r="C1089" i="113"/>
  <c r="G1089" i="113"/>
  <c r="H1089" i="113"/>
  <c r="E1087" i="113"/>
  <c r="D1088" i="113"/>
  <c r="D1087" i="113"/>
  <c r="G1087" i="113"/>
  <c r="H1087" i="113"/>
  <c r="C1087" i="113"/>
  <c r="C1085" i="113"/>
  <c r="D1085" i="113"/>
  <c r="E1085" i="113"/>
  <c r="G1085" i="113"/>
  <c r="H1085" i="113"/>
  <c r="E1084" i="113"/>
  <c r="C1084" i="113"/>
  <c r="D1084" i="113"/>
  <c r="G1084" i="113"/>
  <c r="H1084" i="113"/>
  <c r="J1077" i="113"/>
  <c r="I1077" i="113"/>
  <c r="E1081" i="113"/>
  <c r="G1081" i="113"/>
  <c r="D1081" i="113"/>
  <c r="H1081" i="113"/>
  <c r="C1081" i="113"/>
  <c r="P1079" i="113"/>
  <c r="D1079" i="113"/>
  <c r="C1079" i="113"/>
  <c r="B348" i="113"/>
  <c r="C348" i="113"/>
  <c r="B349" i="113"/>
  <c r="C349" i="113"/>
  <c r="B350" i="113"/>
  <c r="C350" i="113"/>
  <c r="B351" i="113"/>
  <c r="C351" i="113"/>
  <c r="B352" i="113"/>
  <c r="C352" i="113"/>
  <c r="B353" i="113"/>
  <c r="C353" i="113"/>
  <c r="B354" i="113"/>
  <c r="C354" i="113"/>
  <c r="B355" i="113"/>
  <c r="C355" i="113"/>
  <c r="B356" i="113"/>
  <c r="C356" i="113"/>
  <c r="B357" i="113"/>
  <c r="C357" i="113"/>
  <c r="B358" i="113"/>
  <c r="C358" i="113"/>
  <c r="B361" i="113"/>
  <c r="C361" i="113"/>
  <c r="B362" i="113"/>
  <c r="C362" i="113"/>
  <c r="B363" i="113"/>
  <c r="C363" i="113"/>
  <c r="B364" i="113"/>
  <c r="C364" i="113"/>
  <c r="B365" i="113"/>
  <c r="C365" i="113"/>
  <c r="B366" i="113"/>
  <c r="C366" i="113"/>
  <c r="B367" i="113"/>
  <c r="C367" i="113"/>
  <c r="B368" i="113"/>
  <c r="C368" i="113"/>
  <c r="B369" i="113"/>
  <c r="C369" i="113"/>
  <c r="B370" i="113"/>
  <c r="C370" i="113"/>
  <c r="B371" i="113"/>
  <c r="C371" i="113"/>
  <c r="B344" i="113"/>
  <c r="C344" i="113"/>
  <c r="B345" i="113"/>
  <c r="C345" i="113"/>
  <c r="B346" i="113"/>
  <c r="C346" i="113"/>
  <c r="B347" i="113"/>
  <c r="C347" i="113"/>
  <c r="C360" i="113"/>
  <c r="B360" i="113"/>
  <c r="C359" i="113"/>
  <c r="B359" i="113"/>
  <c r="C72" i="113"/>
  <c r="D72" i="113"/>
  <c r="I72" i="113"/>
  <c r="J72" i="113"/>
  <c r="K72" i="113"/>
  <c r="N72" i="113"/>
  <c r="C73" i="113"/>
  <c r="D73" i="113"/>
  <c r="I73" i="113"/>
  <c r="J73" i="113"/>
  <c r="K73" i="113"/>
  <c r="N73" i="113"/>
  <c r="C74" i="113"/>
  <c r="I74" i="113"/>
  <c r="J74" i="113"/>
  <c r="K74" i="113"/>
  <c r="N74" i="113"/>
  <c r="C75" i="113"/>
  <c r="D75" i="113"/>
  <c r="I75" i="113"/>
  <c r="J75" i="113"/>
  <c r="K75" i="113"/>
  <c r="N75" i="113"/>
  <c r="C76" i="113"/>
  <c r="D76" i="113"/>
  <c r="I76" i="113"/>
  <c r="J76" i="113"/>
  <c r="K76" i="113"/>
  <c r="N76" i="113"/>
  <c r="C77" i="113"/>
  <c r="D77" i="113"/>
  <c r="I77" i="113"/>
  <c r="J77" i="113"/>
  <c r="K77" i="113"/>
  <c r="N77" i="113"/>
  <c r="C78" i="113"/>
  <c r="D78" i="113"/>
  <c r="J78" i="113"/>
  <c r="C79" i="113"/>
  <c r="D79" i="113"/>
  <c r="I79" i="113"/>
  <c r="C80" i="113"/>
  <c r="D80" i="113"/>
  <c r="I80" i="113"/>
  <c r="J80" i="113"/>
  <c r="K80" i="113"/>
  <c r="N80" i="113"/>
  <c r="C81" i="113"/>
  <c r="D81" i="113"/>
  <c r="I81" i="113"/>
  <c r="K81" i="113"/>
  <c r="C82" i="113"/>
  <c r="I82" i="113"/>
  <c r="J82" i="113"/>
  <c r="K82" i="113"/>
  <c r="N82" i="113"/>
  <c r="C83" i="113"/>
  <c r="D83" i="113"/>
  <c r="I83" i="113"/>
  <c r="J83" i="113"/>
  <c r="K83" i="113"/>
  <c r="N83" i="113"/>
  <c r="C84" i="113"/>
  <c r="D84" i="113"/>
  <c r="I84" i="113"/>
  <c r="J84" i="113"/>
  <c r="K84" i="113"/>
  <c r="N84" i="113"/>
  <c r="C85" i="113"/>
  <c r="I85" i="113"/>
  <c r="J85" i="113"/>
  <c r="K85" i="113"/>
  <c r="N85" i="113"/>
  <c r="C86" i="113"/>
  <c r="I86" i="113"/>
  <c r="J86" i="113"/>
  <c r="K86" i="113"/>
  <c r="N86" i="113"/>
  <c r="B86" i="113"/>
  <c r="B74" i="113"/>
  <c r="B75" i="113"/>
  <c r="B76" i="113"/>
  <c r="B77" i="113"/>
  <c r="B78" i="113"/>
  <c r="B79" i="113"/>
  <c r="B80" i="113"/>
  <c r="B81" i="113"/>
  <c r="B82" i="113"/>
  <c r="B83" i="113"/>
  <c r="B84" i="113"/>
  <c r="B85" i="113"/>
  <c r="B41" i="113"/>
  <c r="B42" i="113"/>
  <c r="B43" i="113"/>
  <c r="B44" i="113"/>
  <c r="B45" i="113"/>
  <c r="B46" i="113"/>
  <c r="B47" i="113"/>
  <c r="B48" i="113"/>
  <c r="B49" i="113"/>
  <c r="B50" i="113"/>
  <c r="B51" i="113"/>
  <c r="B52" i="113"/>
  <c r="B53" i="113"/>
  <c r="B54" i="113"/>
  <c r="B55" i="113"/>
  <c r="B56" i="113"/>
  <c r="B57" i="113"/>
  <c r="B58" i="113"/>
  <c r="B59" i="113"/>
  <c r="B60" i="113"/>
  <c r="B61" i="113"/>
  <c r="B62" i="113"/>
  <c r="B63" i="113"/>
  <c r="B64" i="113"/>
  <c r="B65" i="113"/>
  <c r="B66" i="113"/>
  <c r="B67" i="113"/>
  <c r="B68" i="113"/>
  <c r="B69" i="113"/>
  <c r="B70" i="113"/>
  <c r="B71" i="113"/>
  <c r="B72" i="113"/>
  <c r="B73" i="113"/>
  <c r="B40" i="113"/>
  <c r="C61" i="113"/>
  <c r="D61" i="113"/>
  <c r="I61" i="113"/>
  <c r="J61" i="113"/>
  <c r="K61" i="113"/>
  <c r="N61" i="113"/>
  <c r="C62" i="113"/>
  <c r="D62" i="113"/>
  <c r="J62" i="113"/>
  <c r="C63" i="113"/>
  <c r="D63" i="113"/>
  <c r="I63" i="113"/>
  <c r="J63" i="113"/>
  <c r="K63" i="113"/>
  <c r="N63" i="113"/>
  <c r="C64" i="113"/>
  <c r="D64" i="113"/>
  <c r="I64" i="113"/>
  <c r="J64" i="113"/>
  <c r="K64" i="113"/>
  <c r="N64" i="113"/>
  <c r="C65" i="113"/>
  <c r="D65" i="113"/>
  <c r="I65" i="113"/>
  <c r="J65" i="113"/>
  <c r="K65" i="113"/>
  <c r="N65" i="113"/>
  <c r="C66" i="113"/>
  <c r="J66" i="113"/>
  <c r="C67" i="113"/>
  <c r="D67" i="113"/>
  <c r="J67" i="113"/>
  <c r="C68" i="113"/>
  <c r="D68" i="113"/>
  <c r="I68" i="113"/>
  <c r="C69" i="113"/>
  <c r="D69" i="113"/>
  <c r="I69" i="113"/>
  <c r="C70" i="113"/>
  <c r="D70" i="113"/>
  <c r="I70" i="113"/>
  <c r="C71" i="113"/>
  <c r="D71" i="113"/>
  <c r="I71" i="113"/>
  <c r="C52" i="113"/>
  <c r="D52" i="113"/>
  <c r="J52" i="113"/>
  <c r="C53" i="113"/>
  <c r="D53" i="113"/>
  <c r="J53" i="113"/>
  <c r="C54" i="113"/>
  <c r="J54" i="113"/>
  <c r="C55" i="113"/>
  <c r="D55" i="113"/>
  <c r="J55" i="113"/>
  <c r="C56" i="113"/>
  <c r="D56" i="113"/>
  <c r="I56" i="113"/>
  <c r="J56" i="113"/>
  <c r="K56" i="113"/>
  <c r="N56" i="113"/>
  <c r="C57" i="113"/>
  <c r="D57" i="113"/>
  <c r="I57" i="113"/>
  <c r="J57" i="113"/>
  <c r="K57" i="113"/>
  <c r="N57" i="113"/>
  <c r="C58" i="113"/>
  <c r="D58" i="113"/>
  <c r="I58" i="113"/>
  <c r="J58" i="113"/>
  <c r="K58" i="113"/>
  <c r="N58" i="113"/>
  <c r="C59" i="113"/>
  <c r="D59" i="113"/>
  <c r="I59" i="113"/>
  <c r="J59" i="113"/>
  <c r="K59" i="113"/>
  <c r="N59" i="113"/>
  <c r="C60" i="113"/>
  <c r="D60" i="113"/>
  <c r="J60" i="113"/>
  <c r="C42" i="113"/>
  <c r="D42" i="113"/>
  <c r="I42" i="113"/>
  <c r="J42" i="113"/>
  <c r="K42" i="113"/>
  <c r="N42" i="113"/>
  <c r="C43" i="113"/>
  <c r="D43" i="113"/>
  <c r="I43" i="113"/>
  <c r="J43" i="113"/>
  <c r="K43" i="113"/>
  <c r="N43" i="113"/>
  <c r="C44" i="113"/>
  <c r="D44" i="113"/>
  <c r="I44" i="113"/>
  <c r="J44" i="113"/>
  <c r="K44" i="113"/>
  <c r="N44" i="113"/>
  <c r="C45" i="113"/>
  <c r="D45" i="113"/>
  <c r="J45" i="113"/>
  <c r="C46" i="113"/>
  <c r="D46" i="113"/>
  <c r="J46" i="113"/>
  <c r="C47" i="113"/>
  <c r="D47" i="113"/>
  <c r="J47" i="113"/>
  <c r="C48" i="113"/>
  <c r="D48" i="113"/>
  <c r="J48" i="113"/>
  <c r="C49" i="113"/>
  <c r="D49" i="113"/>
  <c r="J49" i="113"/>
  <c r="C50" i="113"/>
  <c r="D50" i="113"/>
  <c r="J50" i="113"/>
  <c r="C51" i="113"/>
  <c r="D51" i="113"/>
  <c r="J51" i="113"/>
  <c r="J41" i="113"/>
  <c r="I41" i="113"/>
  <c r="K41" i="113"/>
  <c r="N41" i="113"/>
  <c r="D41" i="113"/>
  <c r="C41" i="113"/>
  <c r="J40" i="113"/>
  <c r="I40" i="113"/>
  <c r="K40" i="113"/>
  <c r="N40" i="113"/>
  <c r="D40" i="113"/>
  <c r="C40" i="113"/>
  <c r="C30" i="113"/>
  <c r="D30" i="113"/>
  <c r="J30" i="113"/>
  <c r="C31" i="113"/>
  <c r="D31" i="113"/>
  <c r="J31" i="113"/>
  <c r="C32" i="113"/>
  <c r="D32" i="113"/>
  <c r="J32" i="113"/>
  <c r="C33" i="113"/>
  <c r="D33" i="113"/>
  <c r="J33" i="113"/>
  <c r="J39" i="113"/>
  <c r="I39" i="113"/>
  <c r="K39" i="113"/>
  <c r="N39" i="113"/>
  <c r="J38" i="113"/>
  <c r="I38" i="113"/>
  <c r="K38" i="113"/>
  <c r="N38" i="113"/>
  <c r="J34" i="113"/>
  <c r="I34" i="113"/>
  <c r="K34" i="113"/>
  <c r="N34" i="113"/>
  <c r="J28" i="113"/>
  <c r="I28" i="113"/>
  <c r="K28" i="113"/>
  <c r="N28" i="113"/>
  <c r="J29" i="113"/>
  <c r="I29" i="113"/>
  <c r="K29" i="113"/>
  <c r="N29" i="113"/>
  <c r="J27" i="113"/>
  <c r="I27" i="113"/>
  <c r="K27" i="113"/>
  <c r="N27" i="113"/>
  <c r="J25" i="113"/>
  <c r="I25" i="113"/>
  <c r="K25" i="113"/>
  <c r="N25" i="113"/>
  <c r="C38" i="113"/>
  <c r="D38" i="113"/>
  <c r="C39" i="113"/>
  <c r="D39" i="113"/>
  <c r="C26" i="113"/>
  <c r="D26" i="113"/>
  <c r="J26" i="113"/>
  <c r="C27" i="113"/>
  <c r="D27" i="113"/>
  <c r="C28" i="113"/>
  <c r="D28" i="113"/>
  <c r="C29" i="113"/>
  <c r="D29" i="113"/>
  <c r="C34" i="113"/>
  <c r="D34" i="113"/>
  <c r="C35" i="113"/>
  <c r="D35" i="113"/>
  <c r="J35" i="113"/>
  <c r="C36" i="113"/>
  <c r="D36" i="113"/>
  <c r="J36" i="113"/>
  <c r="C37" i="113"/>
  <c r="D37" i="113"/>
  <c r="J37" i="113"/>
  <c r="D25" i="113"/>
  <c r="C25" i="113"/>
  <c r="J24" i="113"/>
  <c r="D24" i="113"/>
  <c r="C24" i="113"/>
  <c r="D1068" i="113"/>
  <c r="C1054" i="113"/>
  <c r="E1054" i="113"/>
  <c r="G1054" i="113"/>
  <c r="M1054" i="113"/>
  <c r="C1055" i="113"/>
  <c r="E1055" i="113"/>
  <c r="G1055" i="113"/>
  <c r="M1055" i="113"/>
  <c r="C1057" i="113"/>
  <c r="D1057" i="113"/>
  <c r="E1057" i="113"/>
  <c r="G1057" i="113"/>
  <c r="H1057" i="113"/>
  <c r="M1057" i="113"/>
  <c r="C1058" i="113"/>
  <c r="D1058" i="113"/>
  <c r="M1058" i="113"/>
  <c r="C1059" i="113"/>
  <c r="D1059" i="113"/>
  <c r="E1059" i="113"/>
  <c r="G1059" i="113"/>
  <c r="H1059" i="113"/>
  <c r="M1059" i="113"/>
  <c r="C1060" i="113"/>
  <c r="D1060" i="113"/>
  <c r="M1060" i="113"/>
  <c r="C1061" i="113"/>
  <c r="D1061" i="113"/>
  <c r="E1061" i="113"/>
  <c r="G1061" i="113"/>
  <c r="H1061" i="113"/>
  <c r="M1061" i="113"/>
  <c r="C1062" i="113"/>
  <c r="D1062" i="113"/>
  <c r="M1062" i="113"/>
  <c r="C1063" i="113"/>
  <c r="D1063" i="113"/>
  <c r="M1063" i="113"/>
  <c r="C1064" i="113"/>
  <c r="D1064" i="113"/>
  <c r="E1064" i="113"/>
  <c r="G1064" i="113"/>
  <c r="H1064" i="113"/>
  <c r="M1064" i="113"/>
  <c r="C1065" i="113"/>
  <c r="D1065" i="113"/>
  <c r="M1065" i="113"/>
  <c r="C1066" i="113"/>
  <c r="D1066" i="113"/>
  <c r="M1066" i="113"/>
  <c r="C1068" i="113"/>
  <c r="M1068" i="113"/>
  <c r="C1069" i="113"/>
  <c r="M1069" i="113"/>
  <c r="C1070" i="113"/>
  <c r="D1070" i="113"/>
  <c r="E1070" i="113"/>
  <c r="G1070" i="113"/>
  <c r="H1070" i="113"/>
  <c r="M1070" i="113"/>
  <c r="C1071" i="113"/>
  <c r="D1071" i="113"/>
  <c r="M1071" i="113"/>
  <c r="C1072" i="113"/>
  <c r="D1072" i="113"/>
  <c r="M1072" i="113"/>
  <c r="C1074" i="113"/>
  <c r="E1074" i="113"/>
  <c r="G1074" i="113"/>
  <c r="M1074" i="113"/>
  <c r="C1073" i="113"/>
  <c r="D1073" i="113"/>
  <c r="E1073" i="113"/>
  <c r="G1073" i="113"/>
  <c r="H1073" i="113"/>
  <c r="M1073" i="113"/>
  <c r="C1075" i="113"/>
  <c r="M1075" i="113"/>
  <c r="C1076" i="113"/>
  <c r="D1076" i="113"/>
  <c r="M1076" i="113"/>
  <c r="C1077" i="113"/>
  <c r="D1077" i="113"/>
  <c r="M1077" i="113"/>
  <c r="C1078" i="113"/>
  <c r="D1078" i="113"/>
  <c r="M1053" i="113"/>
  <c r="C1053" i="113"/>
  <c r="J1567" i="113"/>
  <c r="J1371" i="113"/>
  <c r="I1371" i="113"/>
  <c r="K1371" i="113"/>
  <c r="N1371" i="113"/>
  <c r="J1374" i="113"/>
  <c r="I1374" i="113"/>
  <c r="K1374" i="113"/>
  <c r="N1374" i="113"/>
  <c r="J1376" i="113"/>
  <c r="I1376" i="113"/>
  <c r="K1376" i="113"/>
  <c r="N1376" i="113"/>
  <c r="J1378" i="113"/>
  <c r="I1378" i="113"/>
  <c r="K1378" i="113"/>
  <c r="N1378" i="113"/>
  <c r="J1379" i="113"/>
  <c r="I1379" i="113"/>
  <c r="K1379" i="113"/>
  <c r="N1379" i="113"/>
  <c r="J1382" i="113"/>
  <c r="I1382" i="113"/>
  <c r="K1382" i="113"/>
  <c r="N1382" i="113"/>
  <c r="J1383" i="113"/>
  <c r="I1383" i="113"/>
  <c r="K1383" i="113"/>
  <c r="N1383" i="113"/>
  <c r="J1384" i="113"/>
  <c r="I1384" i="113"/>
  <c r="K1384" i="113"/>
  <c r="N1384" i="113"/>
  <c r="J1391" i="113"/>
  <c r="I1391" i="113"/>
  <c r="K1391" i="113"/>
  <c r="N1391" i="113"/>
  <c r="J1401" i="113"/>
  <c r="I1401" i="113"/>
  <c r="K1401" i="113"/>
  <c r="N1401" i="113"/>
  <c r="J1404" i="113"/>
  <c r="I1404" i="113"/>
  <c r="K1404" i="113"/>
  <c r="N1404" i="113"/>
  <c r="J1413" i="113"/>
  <c r="I1413" i="113"/>
  <c r="K1413" i="113"/>
  <c r="N1413" i="113"/>
  <c r="J1416" i="113"/>
  <c r="I1416" i="113"/>
  <c r="K1416" i="113"/>
  <c r="N1416" i="113"/>
  <c r="J1418" i="113"/>
  <c r="I1418" i="113"/>
  <c r="K1418" i="113"/>
  <c r="N1418" i="113"/>
  <c r="J1419" i="113"/>
  <c r="I1419" i="113"/>
  <c r="K1419" i="113"/>
  <c r="N1419" i="113"/>
  <c r="J1420" i="113"/>
  <c r="I1420" i="113"/>
  <c r="K1420" i="113"/>
  <c r="N1420" i="113"/>
  <c r="J1421" i="113"/>
  <c r="I1421" i="113"/>
  <c r="K1421" i="113"/>
  <c r="N1421" i="113"/>
  <c r="J1364" i="113"/>
  <c r="I1364" i="113"/>
  <c r="K1364" i="113"/>
  <c r="N1364" i="113"/>
  <c r="J1365" i="113"/>
  <c r="I1365" i="113"/>
  <c r="K1365" i="113"/>
  <c r="N1365" i="113"/>
  <c r="J1366" i="113"/>
  <c r="I1366" i="113"/>
  <c r="K1366" i="113"/>
  <c r="N1366" i="113"/>
  <c r="J1367" i="113"/>
  <c r="I1367" i="113"/>
  <c r="K1367" i="113"/>
  <c r="N1367" i="113"/>
  <c r="J1368" i="113"/>
  <c r="I1368" i="113"/>
  <c r="K1368" i="113"/>
  <c r="N1368" i="113"/>
  <c r="J1369" i="113"/>
  <c r="I1369" i="113"/>
  <c r="K1369" i="113"/>
  <c r="N1369" i="113"/>
  <c r="J1370" i="113"/>
  <c r="I1370" i="113"/>
  <c r="K1370" i="113"/>
  <c r="N1370" i="113"/>
  <c r="J1372" i="113"/>
  <c r="I1372" i="113"/>
  <c r="K1372" i="113"/>
  <c r="N1372" i="113"/>
  <c r="J1373" i="113"/>
  <c r="I1373" i="113"/>
  <c r="K1373" i="113"/>
  <c r="N1373" i="113"/>
  <c r="J1375" i="113"/>
  <c r="I1375" i="113"/>
  <c r="K1375" i="113"/>
  <c r="N1375" i="113"/>
  <c r="J1377" i="113"/>
  <c r="I1377" i="113"/>
  <c r="K1377" i="113"/>
  <c r="N1377" i="113"/>
  <c r="J1385" i="113"/>
  <c r="I1385" i="113"/>
  <c r="K1385" i="113"/>
  <c r="N1385" i="113"/>
  <c r="J1386" i="113"/>
  <c r="I1386" i="113"/>
  <c r="K1386" i="113"/>
  <c r="N1386" i="113"/>
  <c r="J1387" i="113"/>
  <c r="I1387" i="113"/>
  <c r="K1387" i="113"/>
  <c r="N1387" i="113"/>
  <c r="J1388" i="113"/>
  <c r="I1388" i="113"/>
  <c r="K1388" i="113"/>
  <c r="N1388" i="113"/>
  <c r="J1389" i="113"/>
  <c r="I1389" i="113"/>
  <c r="K1389" i="113"/>
  <c r="N1389" i="113"/>
  <c r="J1390" i="113"/>
  <c r="I1390" i="113"/>
  <c r="K1390" i="113"/>
  <c r="N1390" i="113"/>
  <c r="J1403" i="113"/>
  <c r="I1403" i="113"/>
  <c r="K1403" i="113"/>
  <c r="N1403" i="113"/>
  <c r="J1405" i="113"/>
  <c r="I1405" i="113"/>
  <c r="K1405" i="113"/>
  <c r="N1405" i="113"/>
  <c r="J1406" i="113"/>
  <c r="I1406" i="113"/>
  <c r="K1406" i="113"/>
  <c r="N1406" i="113"/>
  <c r="J1407" i="113"/>
  <c r="I1407" i="113"/>
  <c r="K1407" i="113"/>
  <c r="N1407" i="113"/>
  <c r="J1408" i="113"/>
  <c r="I1408" i="113"/>
  <c r="K1408" i="113"/>
  <c r="N1408" i="113"/>
  <c r="J1409" i="113"/>
  <c r="I1409" i="113"/>
  <c r="K1409" i="113"/>
  <c r="N1409" i="113"/>
  <c r="J1410" i="113"/>
  <c r="I1410" i="113"/>
  <c r="K1410" i="113"/>
  <c r="N1410" i="113"/>
  <c r="J1411" i="113"/>
  <c r="I1411" i="113"/>
  <c r="K1411" i="113"/>
  <c r="N1411" i="113"/>
  <c r="J1412" i="113"/>
  <c r="I1412" i="113"/>
  <c r="K1412" i="113"/>
  <c r="N1412" i="113"/>
  <c r="J1414" i="113"/>
  <c r="I1414" i="113"/>
  <c r="K1414" i="113"/>
  <c r="N1414" i="113"/>
  <c r="J1415" i="113"/>
  <c r="I1415" i="113"/>
  <c r="K1415" i="113"/>
  <c r="N1415" i="113"/>
  <c r="J1417" i="113"/>
  <c r="I1417" i="113"/>
  <c r="K1417" i="113"/>
  <c r="N1417" i="113"/>
  <c r="J1424" i="113"/>
  <c r="I1424" i="113"/>
  <c r="K1424" i="113"/>
  <c r="N1424" i="113"/>
  <c r="J1425" i="113"/>
  <c r="I1425" i="113"/>
  <c r="K1425" i="113"/>
  <c r="N1425" i="113"/>
  <c r="J1426" i="113"/>
  <c r="I1426" i="113"/>
  <c r="K1426" i="113"/>
  <c r="N1426" i="113"/>
  <c r="J1427" i="113"/>
  <c r="I1427" i="113"/>
  <c r="K1427" i="113"/>
  <c r="N1427" i="113"/>
  <c r="J1277" i="113"/>
  <c r="I1277" i="113"/>
  <c r="K1277" i="113"/>
  <c r="N1277" i="113"/>
  <c r="J1278" i="113"/>
  <c r="I1278" i="113"/>
  <c r="K1278" i="113"/>
  <c r="N1278" i="113"/>
  <c r="J1279" i="113"/>
  <c r="I1279" i="113"/>
  <c r="K1279" i="113"/>
  <c r="N1279" i="113"/>
  <c r="J1280" i="113"/>
  <c r="I1280" i="113"/>
  <c r="K1280" i="113"/>
  <c r="N1280" i="113"/>
  <c r="J1281" i="113"/>
  <c r="I1281" i="113"/>
  <c r="K1281" i="113"/>
  <c r="N1281" i="113"/>
  <c r="J1282" i="113"/>
  <c r="I1282" i="113"/>
  <c r="K1282" i="113"/>
  <c r="N1282" i="113"/>
  <c r="J1283" i="113"/>
  <c r="I1283" i="113"/>
  <c r="K1283" i="113"/>
  <c r="N1283" i="113"/>
  <c r="J1284" i="113"/>
  <c r="I1284" i="113"/>
  <c r="K1284" i="113"/>
  <c r="N1284" i="113"/>
  <c r="J1285" i="113"/>
  <c r="I1285" i="113"/>
  <c r="K1285" i="113"/>
  <c r="N1285" i="113"/>
  <c r="J1286" i="113"/>
  <c r="I1286" i="113"/>
  <c r="K1286" i="113"/>
  <c r="N1286" i="113"/>
  <c r="J1287" i="113"/>
  <c r="I1287" i="113"/>
  <c r="K1287" i="113"/>
  <c r="N1287" i="113"/>
  <c r="J1288" i="113"/>
  <c r="I1288" i="113"/>
  <c r="K1288" i="113"/>
  <c r="N1288" i="113"/>
  <c r="J1289" i="113"/>
  <c r="I1289" i="113"/>
  <c r="K1289" i="113"/>
  <c r="N1289" i="113"/>
  <c r="J1290" i="113"/>
  <c r="I1290" i="113"/>
  <c r="K1290" i="113"/>
  <c r="N1290" i="113"/>
  <c r="J1291" i="113"/>
  <c r="I1291" i="113"/>
  <c r="K1291" i="113"/>
  <c r="N1291" i="113"/>
  <c r="J1292" i="113"/>
  <c r="I1292" i="113"/>
  <c r="K1292" i="113"/>
  <c r="N1292" i="113"/>
  <c r="J1293" i="113"/>
  <c r="I1293" i="113"/>
  <c r="K1293" i="113"/>
  <c r="N1293" i="113"/>
  <c r="J1294" i="113"/>
  <c r="I1294" i="113"/>
  <c r="K1294" i="113"/>
  <c r="N1294" i="113"/>
  <c r="J1295" i="113"/>
  <c r="I1295" i="113"/>
  <c r="K1295" i="113"/>
  <c r="N1295" i="113"/>
  <c r="J1296" i="113"/>
  <c r="I1296" i="113"/>
  <c r="K1296" i="113"/>
  <c r="N1296" i="113"/>
  <c r="J1297" i="113"/>
  <c r="I1297" i="113"/>
  <c r="K1297" i="113"/>
  <c r="N1297" i="113"/>
  <c r="J1299" i="113"/>
  <c r="I1299" i="113"/>
  <c r="K1299" i="113"/>
  <c r="N1299" i="113"/>
  <c r="J1298" i="113"/>
  <c r="I1298" i="113"/>
  <c r="K1298" i="113"/>
  <c r="N1298" i="113"/>
  <c r="J1300" i="113"/>
  <c r="I1300" i="113"/>
  <c r="K1300" i="113"/>
  <c r="N1300" i="113"/>
  <c r="J1301" i="113"/>
  <c r="I1301" i="113"/>
  <c r="K1301" i="113"/>
  <c r="N1301" i="113"/>
  <c r="J1302" i="113"/>
  <c r="I1302" i="113"/>
  <c r="K1302" i="113"/>
  <c r="N1302" i="113"/>
  <c r="J1303" i="113"/>
  <c r="I1303" i="113"/>
  <c r="K1303" i="113"/>
  <c r="N1303" i="113"/>
  <c r="J1304" i="113"/>
  <c r="I1304" i="113"/>
  <c r="K1304" i="113"/>
  <c r="N1304" i="113"/>
  <c r="J1305" i="113"/>
  <c r="I1305" i="113"/>
  <c r="K1305" i="113"/>
  <c r="N1305" i="113"/>
  <c r="J1306" i="113"/>
  <c r="I1306" i="113"/>
  <c r="K1306" i="113"/>
  <c r="N1306" i="113"/>
  <c r="J1307" i="113"/>
  <c r="I1307" i="113"/>
  <c r="K1307" i="113"/>
  <c r="N1307" i="113"/>
  <c r="J1308" i="113"/>
  <c r="I1308" i="113"/>
  <c r="K1308" i="113"/>
  <c r="N1308" i="113"/>
  <c r="J1309" i="113"/>
  <c r="I1309" i="113"/>
  <c r="K1309" i="113"/>
  <c r="N1309" i="113"/>
  <c r="J1310" i="113"/>
  <c r="I1310" i="113"/>
  <c r="K1310" i="113"/>
  <c r="N1310" i="113"/>
  <c r="J1311" i="113"/>
  <c r="I1311" i="113"/>
  <c r="K1311" i="113"/>
  <c r="N1311" i="113"/>
  <c r="J1312" i="113"/>
  <c r="I1312" i="113"/>
  <c r="K1312" i="113"/>
  <c r="N1312" i="113"/>
  <c r="J1313" i="113"/>
  <c r="I1313" i="113"/>
  <c r="K1313" i="113"/>
  <c r="N1313" i="113"/>
  <c r="J1314" i="113"/>
  <c r="I1314" i="113"/>
  <c r="K1314" i="113"/>
  <c r="N1314" i="113"/>
  <c r="J1315" i="113"/>
  <c r="I1315" i="113"/>
  <c r="K1315" i="113"/>
  <c r="N1315" i="113"/>
  <c r="J1316" i="113"/>
  <c r="I1316" i="113"/>
  <c r="K1316" i="113"/>
  <c r="N1316" i="113"/>
  <c r="J1317" i="113"/>
  <c r="I1317" i="113"/>
  <c r="K1317" i="113"/>
  <c r="N1317" i="113"/>
  <c r="J1318" i="113"/>
  <c r="I1318" i="113"/>
  <c r="K1318" i="113"/>
  <c r="N1318" i="113"/>
  <c r="J1319" i="113"/>
  <c r="I1319" i="113"/>
  <c r="K1319" i="113"/>
  <c r="N1319" i="113"/>
  <c r="J1320" i="113"/>
  <c r="I1320" i="113"/>
  <c r="K1320" i="113"/>
  <c r="N1320" i="113"/>
  <c r="J1321" i="113"/>
  <c r="I1321" i="113"/>
  <c r="K1321" i="113"/>
  <c r="N1321" i="113"/>
  <c r="J1322" i="113"/>
  <c r="I1322" i="113"/>
  <c r="K1322" i="113"/>
  <c r="N1322" i="113"/>
  <c r="J1323" i="113"/>
  <c r="I1323" i="113"/>
  <c r="K1323" i="113"/>
  <c r="N1323" i="113"/>
  <c r="J1324" i="113"/>
  <c r="I1324" i="113"/>
  <c r="K1324" i="113"/>
  <c r="N1324" i="113"/>
  <c r="J1325" i="113"/>
  <c r="I1325" i="113"/>
  <c r="K1325" i="113"/>
  <c r="N1325" i="113"/>
  <c r="J1326" i="113"/>
  <c r="I1326" i="113"/>
  <c r="K1326" i="113"/>
  <c r="N1326" i="113"/>
  <c r="J1327" i="113"/>
  <c r="I1327" i="113"/>
  <c r="K1327" i="113"/>
  <c r="N1327" i="113"/>
  <c r="J1328" i="113"/>
  <c r="I1328" i="113"/>
  <c r="K1328" i="113"/>
  <c r="N1328" i="113"/>
  <c r="J1329" i="113"/>
  <c r="I1329" i="113"/>
  <c r="K1329" i="113"/>
  <c r="N1329" i="113"/>
  <c r="J1331" i="113"/>
  <c r="I1331" i="113"/>
  <c r="K1331" i="113"/>
  <c r="N1331" i="113"/>
  <c r="J1330" i="113"/>
  <c r="I1330" i="113"/>
  <c r="K1330" i="113"/>
  <c r="N1330" i="113"/>
  <c r="J1332" i="113"/>
  <c r="I1332" i="113"/>
  <c r="K1332" i="113"/>
  <c r="N1332" i="113"/>
  <c r="J1333" i="113"/>
  <c r="I1333" i="113"/>
  <c r="K1333" i="113"/>
  <c r="N1333" i="113"/>
  <c r="J1334" i="113"/>
  <c r="I1334" i="113"/>
  <c r="K1334" i="113"/>
  <c r="N1334" i="113"/>
  <c r="J1335" i="113"/>
  <c r="I1335" i="113"/>
  <c r="K1335" i="113"/>
  <c r="N1335" i="113"/>
  <c r="J1336" i="113"/>
  <c r="I1336" i="113"/>
  <c r="K1336" i="113"/>
  <c r="N1336" i="113"/>
  <c r="J1337" i="113"/>
  <c r="I1337" i="113"/>
  <c r="K1337" i="113"/>
  <c r="N1337" i="113"/>
  <c r="J1338" i="113"/>
  <c r="I1338" i="113"/>
  <c r="K1338" i="113"/>
  <c r="N1338" i="113"/>
  <c r="J1339" i="113"/>
  <c r="I1339" i="113"/>
  <c r="K1339" i="113"/>
  <c r="N1339" i="113"/>
  <c r="J1340" i="113"/>
  <c r="I1340" i="113"/>
  <c r="K1340" i="113"/>
  <c r="N1340" i="113"/>
  <c r="J1341" i="113"/>
  <c r="I1341" i="113"/>
  <c r="K1341" i="113"/>
  <c r="N1341" i="113"/>
  <c r="J1342" i="113"/>
  <c r="I1342" i="113"/>
  <c r="K1342" i="113"/>
  <c r="N1342" i="113"/>
  <c r="J1343" i="113"/>
  <c r="I1343" i="113"/>
  <c r="K1343" i="113"/>
  <c r="N1343" i="113"/>
  <c r="J1344" i="113"/>
  <c r="I1344" i="113"/>
  <c r="K1344" i="113"/>
  <c r="N1344" i="113"/>
  <c r="J1345" i="113"/>
  <c r="I1345" i="113"/>
  <c r="K1345" i="113"/>
  <c r="N1345" i="113"/>
  <c r="J1346" i="113"/>
  <c r="I1346" i="113"/>
  <c r="K1346" i="113"/>
  <c r="N1346" i="113"/>
  <c r="J1347" i="113"/>
  <c r="I1347" i="113"/>
  <c r="K1347" i="113"/>
  <c r="N1347" i="113"/>
  <c r="J1348" i="113"/>
  <c r="I1348" i="113"/>
  <c r="K1348" i="113"/>
  <c r="N1348" i="113"/>
  <c r="J1349" i="113"/>
  <c r="I1349" i="113"/>
  <c r="K1349" i="113"/>
  <c r="N1349" i="113"/>
  <c r="J1350" i="113"/>
  <c r="I1350" i="113"/>
  <c r="K1350" i="113"/>
  <c r="N1350" i="113"/>
  <c r="J1351" i="113"/>
  <c r="I1351" i="113"/>
  <c r="K1351" i="113"/>
  <c r="N1351" i="113"/>
  <c r="J1352" i="113"/>
  <c r="I1352" i="113"/>
  <c r="K1352" i="113"/>
  <c r="N1352" i="113"/>
  <c r="J1353" i="113"/>
  <c r="I1353" i="113"/>
  <c r="K1353" i="113"/>
  <c r="N1353" i="113"/>
  <c r="J1354" i="113"/>
  <c r="I1354" i="113"/>
  <c r="K1354" i="113"/>
  <c r="N1354" i="113"/>
  <c r="J1355" i="113"/>
  <c r="I1355" i="113"/>
  <c r="K1355" i="113"/>
  <c r="N1355" i="113"/>
  <c r="J1356" i="113"/>
  <c r="I1356" i="113"/>
  <c r="K1356" i="113"/>
  <c r="N1356" i="113"/>
  <c r="J1357" i="113"/>
  <c r="I1357" i="113"/>
  <c r="K1357" i="113"/>
  <c r="N1357" i="113"/>
  <c r="J1358" i="113"/>
  <c r="I1358" i="113"/>
  <c r="K1358" i="113"/>
  <c r="N1358" i="113"/>
  <c r="J1360" i="113"/>
  <c r="I1360" i="113"/>
  <c r="K1360" i="113"/>
  <c r="N1360" i="113"/>
  <c r="J1256" i="113"/>
  <c r="I1256" i="113"/>
  <c r="K1256" i="113"/>
  <c r="N1256" i="113"/>
  <c r="J1257" i="113"/>
  <c r="I1257" i="113"/>
  <c r="K1257" i="113"/>
  <c r="N1257" i="113"/>
  <c r="J1258" i="113"/>
  <c r="I1258" i="113"/>
  <c r="K1258" i="113"/>
  <c r="N1258" i="113"/>
  <c r="J1259" i="113"/>
  <c r="I1259" i="113"/>
  <c r="K1259" i="113"/>
  <c r="N1259" i="113"/>
  <c r="J1260" i="113"/>
  <c r="I1260" i="113"/>
  <c r="K1260" i="113"/>
  <c r="N1260" i="113"/>
  <c r="J1261" i="113"/>
  <c r="I1261" i="113"/>
  <c r="K1261" i="113"/>
  <c r="N1261" i="113"/>
  <c r="J1262" i="113"/>
  <c r="I1262" i="113"/>
  <c r="K1262" i="113"/>
  <c r="N1262" i="113"/>
  <c r="J1263" i="113"/>
  <c r="I1263" i="113"/>
  <c r="K1263" i="113"/>
  <c r="N1263" i="113"/>
  <c r="J1264" i="113"/>
  <c r="I1264" i="113"/>
  <c r="K1264" i="113"/>
  <c r="N1264" i="113"/>
  <c r="J1265" i="113"/>
  <c r="I1265" i="113"/>
  <c r="K1265" i="113"/>
  <c r="N1265" i="113"/>
  <c r="J1266" i="113"/>
  <c r="I1266" i="113"/>
  <c r="K1266" i="113"/>
  <c r="N1266" i="113"/>
  <c r="J1267" i="113"/>
  <c r="I1267" i="113"/>
  <c r="K1267" i="113"/>
  <c r="N1267" i="113"/>
  <c r="J1268" i="113"/>
  <c r="I1268" i="113"/>
  <c r="K1268" i="113"/>
  <c r="N1268" i="113"/>
  <c r="J1269" i="113"/>
  <c r="I1269" i="113"/>
  <c r="K1269" i="113"/>
  <c r="N1269" i="113"/>
  <c r="J1270" i="113"/>
  <c r="I1270" i="113"/>
  <c r="K1270" i="113"/>
  <c r="N1270" i="113"/>
  <c r="J1271" i="113"/>
  <c r="I1271" i="113"/>
  <c r="K1271" i="113"/>
  <c r="N1271" i="113"/>
  <c r="J1272" i="113"/>
  <c r="I1272" i="113"/>
  <c r="K1272" i="113"/>
  <c r="N1272" i="113"/>
  <c r="J1273" i="113"/>
  <c r="I1273" i="113"/>
  <c r="K1273" i="113"/>
  <c r="N1273" i="113"/>
  <c r="J1274" i="113"/>
  <c r="I1274" i="113"/>
  <c r="K1274" i="113"/>
  <c r="N1274" i="113"/>
  <c r="J1275" i="113"/>
  <c r="I1275" i="113"/>
  <c r="K1275" i="113"/>
  <c r="N1275" i="113"/>
  <c r="J1276" i="113"/>
  <c r="I1276" i="113"/>
  <c r="K1276" i="113"/>
  <c r="N1276" i="113"/>
  <c r="J1231" i="113"/>
  <c r="I1231" i="113"/>
  <c r="K1231" i="113"/>
  <c r="N1231" i="113"/>
  <c r="J1232" i="113"/>
  <c r="I1232" i="113"/>
  <c r="K1232" i="113"/>
  <c r="N1232" i="113"/>
  <c r="J1233" i="113"/>
  <c r="I1233" i="113"/>
  <c r="K1233" i="113"/>
  <c r="N1233" i="113"/>
  <c r="J1235" i="113"/>
  <c r="I1235" i="113"/>
  <c r="K1235" i="113"/>
  <c r="N1235" i="113"/>
  <c r="J1236" i="113"/>
  <c r="I1236" i="113"/>
  <c r="K1236" i="113"/>
  <c r="N1236" i="113"/>
  <c r="J1237" i="113"/>
  <c r="I1237" i="113"/>
  <c r="K1237" i="113"/>
  <c r="N1237" i="113"/>
  <c r="J1238" i="113"/>
  <c r="I1238" i="113"/>
  <c r="K1238" i="113"/>
  <c r="N1238" i="113"/>
  <c r="J1239" i="113"/>
  <c r="I1239" i="113"/>
  <c r="K1239" i="113"/>
  <c r="N1239" i="113"/>
  <c r="J1240" i="113"/>
  <c r="I1240" i="113"/>
  <c r="K1240" i="113"/>
  <c r="N1240" i="113"/>
  <c r="J1241" i="113"/>
  <c r="I1241" i="113"/>
  <c r="K1241" i="113"/>
  <c r="N1241" i="113"/>
  <c r="J1242" i="113"/>
  <c r="I1242" i="113"/>
  <c r="K1242" i="113"/>
  <c r="N1242" i="113"/>
  <c r="J1243" i="113"/>
  <c r="I1243" i="113"/>
  <c r="K1243" i="113"/>
  <c r="N1243" i="113"/>
  <c r="J1244" i="113"/>
  <c r="I1244" i="113"/>
  <c r="K1244" i="113"/>
  <c r="N1244" i="113"/>
  <c r="J1245" i="113"/>
  <c r="I1245" i="113"/>
  <c r="K1245" i="113"/>
  <c r="N1245" i="113"/>
  <c r="J1246" i="113"/>
  <c r="I1246" i="113"/>
  <c r="K1246" i="113"/>
  <c r="N1246" i="113"/>
  <c r="J1248" i="113"/>
  <c r="I1248" i="113"/>
  <c r="K1248" i="113"/>
  <c r="N1248" i="113"/>
  <c r="J1249" i="113"/>
  <c r="I1249" i="113"/>
  <c r="K1249" i="113"/>
  <c r="N1249" i="113"/>
  <c r="J1250" i="113"/>
  <c r="I1250" i="113"/>
  <c r="K1250" i="113"/>
  <c r="N1250" i="113"/>
  <c r="J1251" i="113"/>
  <c r="I1251" i="113"/>
  <c r="K1251" i="113"/>
  <c r="N1251" i="113"/>
  <c r="J1252" i="113"/>
  <c r="I1252" i="113"/>
  <c r="K1252" i="113"/>
  <c r="N1252" i="113"/>
  <c r="J1253" i="113"/>
  <c r="I1253" i="113"/>
  <c r="K1253" i="113"/>
  <c r="N1253" i="113"/>
  <c r="J1254" i="113"/>
  <c r="I1254" i="113"/>
  <c r="K1254" i="113"/>
  <c r="N1254" i="113"/>
  <c r="J1255" i="113"/>
  <c r="I1255" i="113"/>
  <c r="K1255" i="113"/>
  <c r="N1255" i="113"/>
  <c r="J1056" i="113"/>
  <c r="J1067" i="113"/>
  <c r="J1080" i="113"/>
  <c r="J1082" i="113"/>
  <c r="J1083" i="113"/>
  <c r="J1086" i="113"/>
  <c r="J1088" i="113"/>
  <c r="J1090" i="113"/>
  <c r="J1091" i="113"/>
  <c r="J1093" i="113"/>
  <c r="J1095" i="113"/>
  <c r="J1097" i="113"/>
  <c r="J1099" i="113"/>
  <c r="J1101" i="113"/>
  <c r="J1103" i="113"/>
  <c r="I1105" i="113"/>
  <c r="K1105" i="113"/>
  <c r="N1105" i="113"/>
  <c r="J1108" i="113"/>
  <c r="J1110" i="113"/>
  <c r="I1111" i="113"/>
  <c r="K1111" i="113"/>
  <c r="N1111" i="113"/>
  <c r="J1112" i="113"/>
  <c r="J1113" i="113"/>
  <c r="J976" i="113"/>
  <c r="J977" i="113"/>
  <c r="J982" i="113"/>
  <c r="J983" i="113"/>
  <c r="J986" i="113"/>
  <c r="J987" i="113"/>
  <c r="J988" i="113"/>
  <c r="J989" i="113"/>
  <c r="J990" i="113"/>
  <c r="J994" i="113"/>
  <c r="J995" i="113"/>
  <c r="J998" i="113"/>
  <c r="J1000" i="113"/>
  <c r="J1004" i="113"/>
  <c r="J1005" i="113"/>
  <c r="J1008" i="113"/>
  <c r="J1010" i="113"/>
  <c r="J1011" i="113"/>
  <c r="J1012" i="113"/>
  <c r="J1015" i="113"/>
  <c r="J1016" i="113"/>
  <c r="J1019" i="113"/>
  <c r="J1020" i="113"/>
  <c r="J1023" i="113"/>
  <c r="J1025" i="113"/>
  <c r="J1026" i="113"/>
  <c r="J1027" i="113"/>
  <c r="J1028" i="113"/>
  <c r="J1031" i="113"/>
  <c r="J1032" i="113"/>
  <c r="J1033" i="113"/>
  <c r="J1035" i="113"/>
  <c r="J1036" i="113"/>
  <c r="J1039" i="113"/>
  <c r="J1040" i="113"/>
  <c r="J1042" i="113"/>
  <c r="J1043" i="113"/>
  <c r="J1045" i="113"/>
  <c r="J1046" i="113"/>
  <c r="J1048" i="113"/>
  <c r="J1049" i="113"/>
  <c r="J971" i="113"/>
  <c r="J972" i="113"/>
  <c r="J457" i="113"/>
  <c r="I457" i="113"/>
  <c r="K457" i="113"/>
  <c r="N457" i="113"/>
  <c r="J455" i="113"/>
  <c r="I455" i="113"/>
  <c r="K455" i="113"/>
  <c r="N455" i="113"/>
  <c r="J464" i="113"/>
  <c r="I464" i="113"/>
  <c r="K464" i="113"/>
  <c r="N464" i="113"/>
  <c r="J460" i="113"/>
  <c r="I460" i="113"/>
  <c r="K460" i="113"/>
  <c r="N460" i="113"/>
  <c r="J456" i="113"/>
  <c r="I456" i="113"/>
  <c r="K456" i="113"/>
  <c r="N456" i="113"/>
  <c r="J459" i="113"/>
  <c r="I459" i="113"/>
  <c r="K459" i="113"/>
  <c r="N459" i="113"/>
  <c r="J463" i="113"/>
  <c r="I463" i="113"/>
  <c r="K463" i="113"/>
  <c r="N463" i="113"/>
  <c r="J458" i="113"/>
  <c r="I458" i="113"/>
  <c r="K458" i="113"/>
  <c r="N458" i="113"/>
  <c r="J465" i="113"/>
  <c r="I465" i="113"/>
  <c r="K465" i="113"/>
  <c r="N465" i="113"/>
  <c r="J462" i="113"/>
  <c r="I462" i="113"/>
  <c r="K462" i="113"/>
  <c r="N462" i="113"/>
  <c r="J461" i="113"/>
  <c r="I461" i="113"/>
  <c r="K461" i="113"/>
  <c r="N461" i="113"/>
  <c r="J466" i="113"/>
  <c r="I466" i="113"/>
  <c r="K466" i="113"/>
  <c r="N466" i="113"/>
  <c r="J262" i="113"/>
  <c r="E2" i="113"/>
  <c r="F2" i="113"/>
  <c r="G2" i="113"/>
  <c r="D2" i="113"/>
  <c r="H2" i="113"/>
  <c r="E3" i="113"/>
  <c r="F3" i="113"/>
  <c r="G3" i="113"/>
  <c r="D3" i="113"/>
  <c r="H3" i="113"/>
  <c r="E4" i="113"/>
  <c r="F4" i="113"/>
  <c r="G4" i="113"/>
  <c r="D4" i="113"/>
  <c r="H4" i="113"/>
  <c r="E5" i="113"/>
  <c r="F5" i="113"/>
  <c r="G5" i="113"/>
  <c r="D5" i="113"/>
  <c r="H5" i="113"/>
  <c r="E6" i="113"/>
  <c r="F6" i="113"/>
  <c r="G6" i="113"/>
  <c r="D6" i="113"/>
  <c r="H6" i="113"/>
  <c r="E1455" i="113"/>
  <c r="F1455" i="113"/>
  <c r="G1455" i="113"/>
  <c r="D1455" i="113"/>
  <c r="H1455" i="113"/>
  <c r="E1456" i="113"/>
  <c r="F1456" i="113"/>
  <c r="G1456" i="113"/>
  <c r="D1456" i="113"/>
  <c r="H1456" i="113"/>
  <c r="E1457" i="113"/>
  <c r="F1457" i="113"/>
  <c r="G1457" i="113"/>
  <c r="H1457" i="113"/>
  <c r="E1458" i="113"/>
  <c r="F1458" i="113"/>
  <c r="G1458" i="113"/>
  <c r="H1458" i="113"/>
  <c r="E1459" i="113"/>
  <c r="F1459" i="113"/>
  <c r="G1459" i="113"/>
  <c r="D1459" i="113"/>
  <c r="H1459" i="113"/>
  <c r="E1460" i="113"/>
  <c r="F1460" i="113"/>
  <c r="G1460" i="113"/>
  <c r="D1460" i="113"/>
  <c r="H1460" i="113"/>
  <c r="E1461" i="113"/>
  <c r="F1461" i="113"/>
  <c r="G1461" i="113"/>
  <c r="D1461" i="113"/>
  <c r="H1461" i="113"/>
  <c r="E1462" i="113"/>
  <c r="F1462" i="113"/>
  <c r="G1462" i="113"/>
  <c r="D1462" i="113"/>
  <c r="H1462" i="113"/>
  <c r="E1463" i="113"/>
  <c r="F1463" i="113"/>
  <c r="G1463" i="113"/>
  <c r="D1463" i="113"/>
  <c r="H1463" i="113"/>
  <c r="E1464" i="113"/>
  <c r="F1464" i="113"/>
  <c r="G1464" i="113"/>
  <c r="D1464" i="113"/>
  <c r="H1464" i="113"/>
  <c r="E1465" i="113"/>
  <c r="F1465" i="113"/>
  <c r="G1465" i="113"/>
  <c r="D1465" i="113"/>
  <c r="H1465" i="113"/>
  <c r="E1466" i="113"/>
  <c r="F1466" i="113"/>
  <c r="G1466" i="113"/>
  <c r="D1466" i="113"/>
  <c r="H1466" i="113"/>
  <c r="E1467" i="113"/>
  <c r="F1467" i="113"/>
  <c r="G1467" i="113"/>
  <c r="D1467" i="113"/>
  <c r="H1467" i="113"/>
  <c r="E1468" i="113"/>
  <c r="F1468" i="113"/>
  <c r="G1468" i="113"/>
  <c r="D1468" i="113"/>
  <c r="H1468" i="113"/>
  <c r="E1469" i="113"/>
  <c r="F1469" i="113"/>
  <c r="G1469" i="113"/>
  <c r="D1469" i="113"/>
  <c r="H1469" i="113"/>
  <c r="E1470" i="113"/>
  <c r="F1470" i="113"/>
  <c r="G1470" i="113"/>
  <c r="D1470" i="113"/>
  <c r="H1470" i="113"/>
  <c r="E1471" i="113"/>
  <c r="F1471" i="113"/>
  <c r="G1471" i="113"/>
  <c r="D1471" i="113"/>
  <c r="H1471" i="113"/>
  <c r="E1472" i="113"/>
  <c r="F1472" i="113"/>
  <c r="G1472" i="113"/>
  <c r="D1472" i="113"/>
  <c r="H1472" i="113"/>
  <c r="E1473" i="113"/>
  <c r="F1473" i="113"/>
  <c r="G1473" i="113"/>
  <c r="D1473" i="113"/>
  <c r="H1473" i="113"/>
  <c r="E1474" i="113"/>
  <c r="F1474" i="113"/>
  <c r="G1474" i="113"/>
  <c r="D1474" i="113"/>
  <c r="H1474" i="113"/>
  <c r="E1475" i="113"/>
  <c r="F1475" i="113"/>
  <c r="G1475" i="113"/>
  <c r="D1475" i="113"/>
  <c r="H1475" i="113"/>
  <c r="E1476" i="113"/>
  <c r="F1476" i="113"/>
  <c r="G1476" i="113"/>
  <c r="D1476" i="113"/>
  <c r="H1476" i="113"/>
  <c r="E1477" i="113"/>
  <c r="F1477" i="113"/>
  <c r="G1477" i="113"/>
  <c r="D1477" i="113"/>
  <c r="H1477" i="113"/>
  <c r="E1006" i="113"/>
  <c r="G1006" i="113"/>
  <c r="D1006" i="113"/>
  <c r="H1006" i="113"/>
  <c r="E1051" i="113"/>
  <c r="G1051" i="113"/>
  <c r="D1051" i="113"/>
  <c r="H1051" i="113"/>
  <c r="E1037" i="113"/>
  <c r="G1037" i="113"/>
  <c r="D1037" i="113"/>
  <c r="H1037" i="113"/>
  <c r="E1021" i="113"/>
  <c r="G1021" i="113"/>
  <c r="D1021" i="113"/>
  <c r="H1021" i="113"/>
  <c r="E1017" i="113"/>
  <c r="G1017" i="113"/>
  <c r="D1017" i="113"/>
  <c r="H1017" i="113"/>
  <c r="E1002" i="113"/>
  <c r="G1002" i="113"/>
  <c r="D1002" i="113"/>
  <c r="H1002" i="113"/>
  <c r="E1024" i="113"/>
  <c r="G1024" i="113"/>
  <c r="D1024" i="113"/>
  <c r="H1024" i="113"/>
  <c r="E984" i="113"/>
  <c r="G984" i="113"/>
  <c r="D984" i="113"/>
  <c r="H984" i="113"/>
  <c r="E991" i="113"/>
  <c r="G991" i="113"/>
  <c r="D991" i="113"/>
  <c r="H991" i="113"/>
  <c r="E978" i="113"/>
  <c r="G978" i="113"/>
  <c r="D978" i="113"/>
  <c r="H978" i="113"/>
  <c r="E1013" i="113"/>
  <c r="G1013" i="113"/>
  <c r="D1013" i="113"/>
  <c r="H1013" i="113"/>
  <c r="M1457" i="113"/>
  <c r="M1458" i="113"/>
  <c r="M1459" i="113"/>
  <c r="M1460" i="113"/>
  <c r="M1461" i="113"/>
  <c r="M1462" i="113"/>
  <c r="M1463" i="113"/>
  <c r="M1464" i="113"/>
  <c r="M1465" i="113"/>
  <c r="M1466" i="113"/>
  <c r="M1467" i="113"/>
  <c r="M1468" i="113"/>
  <c r="M1469" i="113"/>
  <c r="M1470" i="113"/>
  <c r="M1471" i="113"/>
  <c r="M1472" i="113"/>
  <c r="M1473" i="113"/>
  <c r="M1474" i="113"/>
  <c r="M1475" i="113"/>
  <c r="M1476" i="113"/>
  <c r="M1477" i="113"/>
  <c r="C1457" i="113"/>
  <c r="D1457" i="113"/>
  <c r="P1457" i="113"/>
  <c r="C1458" i="113"/>
  <c r="D1458" i="113"/>
  <c r="P1458" i="113"/>
  <c r="M1456" i="113"/>
  <c r="M1455" i="113"/>
  <c r="E1359" i="113"/>
  <c r="G1359" i="113"/>
  <c r="M1359" i="113"/>
  <c r="E1358" i="113"/>
  <c r="G1358" i="113"/>
  <c r="M1358" i="113"/>
  <c r="F1335" i="113"/>
  <c r="E1335" i="113"/>
  <c r="G1335" i="113"/>
  <c r="M1335" i="113"/>
  <c r="F1336" i="113"/>
  <c r="E1336" i="113"/>
  <c r="G1336" i="113"/>
  <c r="M1336" i="113"/>
  <c r="F1337" i="113"/>
  <c r="E1337" i="113"/>
  <c r="G1337" i="113"/>
  <c r="M1337" i="113"/>
  <c r="F1338" i="113"/>
  <c r="E1338" i="113"/>
  <c r="G1338" i="113"/>
  <c r="M1338" i="113"/>
  <c r="F1339" i="113"/>
  <c r="E1339" i="113"/>
  <c r="G1339" i="113"/>
  <c r="M1339" i="113"/>
  <c r="F1340" i="113"/>
  <c r="E1340" i="113"/>
  <c r="G1340" i="113"/>
  <c r="M1340" i="113"/>
  <c r="F1341" i="113"/>
  <c r="E1341" i="113"/>
  <c r="G1341" i="113"/>
  <c r="M1341" i="113"/>
  <c r="F1342" i="113"/>
  <c r="E1342" i="113"/>
  <c r="G1342" i="113"/>
  <c r="M1342" i="113"/>
  <c r="F1343" i="113"/>
  <c r="E1343" i="113"/>
  <c r="G1343" i="113"/>
  <c r="M1343" i="113"/>
  <c r="E1344" i="113"/>
  <c r="G1344" i="113"/>
  <c r="M1344" i="113"/>
  <c r="F1345" i="113"/>
  <c r="E1345" i="113"/>
  <c r="G1345" i="113"/>
  <c r="M1345" i="113"/>
  <c r="E1346" i="113"/>
  <c r="G1346" i="113"/>
  <c r="M1346" i="113"/>
  <c r="E1347" i="113"/>
  <c r="G1347" i="113"/>
  <c r="M1347" i="113"/>
  <c r="E1348" i="113"/>
  <c r="G1348" i="113"/>
  <c r="M1348" i="113"/>
  <c r="F1349" i="113"/>
  <c r="E1349" i="113"/>
  <c r="G1349" i="113"/>
  <c r="M1349" i="113"/>
  <c r="F1350" i="113"/>
  <c r="E1350" i="113"/>
  <c r="G1350" i="113"/>
  <c r="M1350" i="113"/>
  <c r="F1351" i="113"/>
  <c r="E1351" i="113"/>
  <c r="G1351" i="113"/>
  <c r="M1351" i="113"/>
  <c r="F1352" i="113"/>
  <c r="E1352" i="113"/>
  <c r="G1352" i="113"/>
  <c r="M1352" i="113"/>
  <c r="F1353" i="113"/>
  <c r="E1353" i="113"/>
  <c r="G1353" i="113"/>
  <c r="M1353" i="113"/>
  <c r="F1354" i="113"/>
  <c r="E1354" i="113"/>
  <c r="G1354" i="113"/>
  <c r="M1354" i="113"/>
  <c r="E1355" i="113"/>
  <c r="G1355" i="113"/>
  <c r="M1355" i="113"/>
  <c r="E1356" i="113"/>
  <c r="G1356" i="113"/>
  <c r="M1356" i="113"/>
  <c r="E1357" i="113"/>
  <c r="G1357" i="113"/>
  <c r="M1357" i="113"/>
  <c r="F1334" i="113"/>
  <c r="E1334" i="113"/>
  <c r="G1334" i="113"/>
  <c r="M1334" i="113"/>
  <c r="F1320" i="113"/>
  <c r="E1320" i="113"/>
  <c r="G1320" i="113"/>
  <c r="M1320" i="113"/>
  <c r="F1321" i="113"/>
  <c r="E1321" i="113"/>
  <c r="G1321" i="113"/>
  <c r="M1321" i="113"/>
  <c r="F1322" i="113"/>
  <c r="E1322" i="113"/>
  <c r="G1322" i="113"/>
  <c r="M1322" i="113"/>
  <c r="F1323" i="113"/>
  <c r="E1323" i="113"/>
  <c r="G1323" i="113"/>
  <c r="M1323" i="113"/>
  <c r="F1324" i="113"/>
  <c r="E1324" i="113"/>
  <c r="G1324" i="113"/>
  <c r="M1324" i="113"/>
  <c r="F1325" i="113"/>
  <c r="E1325" i="113"/>
  <c r="G1325" i="113"/>
  <c r="M1325" i="113"/>
  <c r="F1326" i="113"/>
  <c r="E1326" i="113"/>
  <c r="G1326" i="113"/>
  <c r="M1326" i="113"/>
  <c r="F1327" i="113"/>
  <c r="E1327" i="113"/>
  <c r="G1327" i="113"/>
  <c r="M1327" i="113"/>
  <c r="E1328" i="113"/>
  <c r="G1328" i="113"/>
  <c r="M1328" i="113"/>
  <c r="E1329" i="113"/>
  <c r="G1329" i="113"/>
  <c r="M1329" i="113"/>
  <c r="E1330" i="113"/>
  <c r="G1330" i="113"/>
  <c r="M1330" i="113"/>
  <c r="E1331" i="113"/>
  <c r="G1331" i="113"/>
  <c r="M1331" i="113"/>
  <c r="F1332" i="113"/>
  <c r="E1332" i="113"/>
  <c r="G1332" i="113"/>
  <c r="M1332" i="113"/>
  <c r="E1333" i="113"/>
  <c r="G1333" i="113"/>
  <c r="M1333" i="113"/>
  <c r="F1319" i="113"/>
  <c r="E1319" i="113"/>
  <c r="G1319" i="113"/>
  <c r="M1319" i="113"/>
  <c r="E1417" i="113"/>
  <c r="G1417" i="113"/>
  <c r="M1417" i="113"/>
  <c r="F1415" i="113"/>
  <c r="E1415" i="113"/>
  <c r="G1415" i="113"/>
  <c r="M1415" i="113"/>
  <c r="E1414" i="113"/>
  <c r="G1414" i="113"/>
  <c r="M1414" i="113"/>
  <c r="F1406" i="113"/>
  <c r="E1406" i="113"/>
  <c r="G1406" i="113"/>
  <c r="M1406" i="113"/>
  <c r="F1407" i="113"/>
  <c r="E1407" i="113"/>
  <c r="G1407" i="113"/>
  <c r="M1407" i="113"/>
  <c r="F1408" i="113"/>
  <c r="E1408" i="113"/>
  <c r="G1408" i="113"/>
  <c r="M1408" i="113"/>
  <c r="F1409" i="113"/>
  <c r="E1409" i="113"/>
  <c r="G1409" i="113"/>
  <c r="M1409" i="113"/>
  <c r="F1410" i="113"/>
  <c r="E1410" i="113"/>
  <c r="G1410" i="113"/>
  <c r="M1410" i="113"/>
  <c r="F1411" i="113"/>
  <c r="E1411" i="113"/>
  <c r="G1411" i="113"/>
  <c r="M1411" i="113"/>
  <c r="F1412" i="113"/>
  <c r="E1412" i="113"/>
  <c r="G1412" i="113"/>
  <c r="M1412" i="113"/>
  <c r="F1405" i="113"/>
  <c r="E1405" i="113"/>
  <c r="G1405" i="113"/>
  <c r="M1405" i="113"/>
  <c r="F1395" i="113"/>
  <c r="E1395" i="113"/>
  <c r="G1395" i="113"/>
  <c r="M1395" i="113"/>
  <c r="F1392" i="113"/>
  <c r="E1392" i="113"/>
  <c r="G1392" i="113"/>
  <c r="M1392" i="113"/>
  <c r="F1386" i="113"/>
  <c r="E1386" i="113"/>
  <c r="G1386" i="113"/>
  <c r="M1386" i="113"/>
  <c r="F1387" i="113"/>
  <c r="E1387" i="113"/>
  <c r="G1387" i="113"/>
  <c r="M1387" i="113"/>
  <c r="F1388" i="113"/>
  <c r="E1388" i="113"/>
  <c r="G1388" i="113"/>
  <c r="M1388" i="113"/>
  <c r="F1389" i="113"/>
  <c r="E1389" i="113"/>
  <c r="G1389" i="113"/>
  <c r="M1389" i="113"/>
  <c r="F1390" i="113"/>
  <c r="E1390" i="113"/>
  <c r="G1390" i="113"/>
  <c r="M1390" i="113"/>
  <c r="E1385" i="113"/>
  <c r="G1385" i="113"/>
  <c r="M1385" i="113"/>
  <c r="E1377" i="113"/>
  <c r="G1377" i="113"/>
  <c r="M1377" i="113"/>
  <c r="E1375" i="113"/>
  <c r="G1375" i="113"/>
  <c r="M1375" i="113"/>
  <c r="E1373" i="113"/>
  <c r="G1373" i="113"/>
  <c r="M1373" i="113"/>
  <c r="F1372" i="113"/>
  <c r="E1372" i="113"/>
  <c r="G1372" i="113"/>
  <c r="M1372" i="113"/>
  <c r="F1365" i="113"/>
  <c r="E1365" i="113"/>
  <c r="G1365" i="113"/>
  <c r="M1365" i="113"/>
  <c r="F1366" i="113"/>
  <c r="E1366" i="113"/>
  <c r="G1366" i="113"/>
  <c r="M1366" i="113"/>
  <c r="E1367" i="113"/>
  <c r="G1367" i="113"/>
  <c r="M1367" i="113"/>
  <c r="E1368" i="113"/>
  <c r="G1368" i="113"/>
  <c r="M1368" i="113"/>
  <c r="E1369" i="113"/>
  <c r="G1369" i="113"/>
  <c r="M1369" i="113"/>
  <c r="F1370" i="113"/>
  <c r="E1370" i="113"/>
  <c r="G1370" i="113"/>
  <c r="M1370" i="113"/>
  <c r="F1364" i="113"/>
  <c r="E1364" i="113"/>
  <c r="G1364" i="113"/>
  <c r="M1364" i="113"/>
  <c r="F337" i="113"/>
  <c r="E337" i="113"/>
  <c r="G337" i="113"/>
  <c r="M337" i="113"/>
  <c r="F343" i="113"/>
  <c r="E343" i="113"/>
  <c r="G343" i="113"/>
  <c r="M343" i="113"/>
  <c r="F341" i="113"/>
  <c r="E341" i="113"/>
  <c r="G341" i="113"/>
  <c r="M341" i="113"/>
  <c r="F338" i="113"/>
  <c r="E338" i="113"/>
  <c r="G338" i="113"/>
  <c r="M338" i="113"/>
  <c r="F334" i="113"/>
  <c r="E334" i="113"/>
  <c r="G334" i="113"/>
  <c r="M334" i="113"/>
  <c r="F336" i="113"/>
  <c r="E336" i="113"/>
  <c r="G336" i="113"/>
  <c r="M336" i="113"/>
  <c r="F335" i="113"/>
  <c r="E335" i="113"/>
  <c r="G335" i="113"/>
  <c r="M335" i="113"/>
  <c r="F339" i="113"/>
  <c r="E339" i="113"/>
  <c r="G339" i="113"/>
  <c r="M339" i="113"/>
  <c r="F340" i="113"/>
  <c r="E340" i="113"/>
  <c r="G340" i="113"/>
  <c r="M340" i="113"/>
  <c r="F342" i="113"/>
  <c r="E342" i="113"/>
  <c r="G342" i="113"/>
  <c r="M342" i="113"/>
  <c r="F94" i="113"/>
  <c r="E94" i="113"/>
  <c r="G94" i="113"/>
  <c r="M94" i="113"/>
  <c r="F97" i="113"/>
  <c r="E97" i="113"/>
  <c r="G97" i="113"/>
  <c r="M97" i="113"/>
  <c r="F96" i="113"/>
  <c r="E96" i="113"/>
  <c r="G96" i="113"/>
  <c r="M96" i="113"/>
  <c r="F100" i="113"/>
  <c r="E100" i="113"/>
  <c r="G100" i="113"/>
  <c r="M100" i="113"/>
  <c r="F98" i="113"/>
  <c r="E98" i="113"/>
  <c r="G98" i="113"/>
  <c r="M98" i="113"/>
  <c r="F99" i="113"/>
  <c r="E99" i="113"/>
  <c r="G99" i="113"/>
  <c r="M99" i="113"/>
  <c r="F95" i="113"/>
  <c r="E95" i="113"/>
  <c r="G95" i="113"/>
  <c r="M95" i="113"/>
  <c r="F93" i="113"/>
  <c r="E93" i="113"/>
  <c r="G93" i="113"/>
  <c r="M93" i="113"/>
  <c r="M3" i="113"/>
  <c r="M4" i="113"/>
  <c r="M5" i="113"/>
  <c r="M6" i="113"/>
  <c r="F7" i="113"/>
  <c r="E7" i="113"/>
  <c r="G7" i="113"/>
  <c r="M7" i="113"/>
  <c r="F8" i="113"/>
  <c r="E8" i="113"/>
  <c r="G8" i="113"/>
  <c r="M8" i="113"/>
  <c r="F9" i="113"/>
  <c r="E9" i="113"/>
  <c r="G9" i="113"/>
  <c r="M9" i="113"/>
  <c r="F10" i="113"/>
  <c r="E10" i="113"/>
  <c r="G10" i="113"/>
  <c r="M10" i="113"/>
  <c r="F11" i="113"/>
  <c r="E11" i="113"/>
  <c r="G11" i="113"/>
  <c r="M11" i="113"/>
  <c r="F12" i="113"/>
  <c r="E12" i="113"/>
  <c r="G12" i="113"/>
  <c r="M12" i="113"/>
  <c r="F13" i="113"/>
  <c r="E13" i="113"/>
  <c r="G13" i="113"/>
  <c r="M13" i="113"/>
  <c r="F14" i="113"/>
  <c r="E14" i="113"/>
  <c r="G14" i="113"/>
  <c r="M14" i="113"/>
  <c r="F15" i="113"/>
  <c r="E15" i="113"/>
  <c r="G15" i="113"/>
  <c r="M15" i="113"/>
  <c r="F16" i="113"/>
  <c r="E16" i="113"/>
  <c r="G16" i="113"/>
  <c r="M16" i="113"/>
  <c r="F17" i="113"/>
  <c r="E17" i="113"/>
  <c r="G17" i="113"/>
  <c r="M17" i="113"/>
  <c r="F18" i="113"/>
  <c r="E18" i="113"/>
  <c r="G18" i="113"/>
  <c r="M18" i="113"/>
  <c r="F19" i="113"/>
  <c r="E19" i="113"/>
  <c r="G19" i="113"/>
  <c r="M19" i="113"/>
  <c r="F20" i="113"/>
  <c r="E20" i="113"/>
  <c r="G20" i="113"/>
  <c r="M20" i="113"/>
  <c r="F21" i="113"/>
  <c r="E21" i="113"/>
  <c r="G21" i="113"/>
  <c r="M21" i="113"/>
  <c r="F22" i="113"/>
  <c r="E22" i="113"/>
  <c r="G22" i="113"/>
  <c r="M22" i="113"/>
  <c r="F23" i="113"/>
  <c r="E23" i="113"/>
  <c r="G23" i="113"/>
  <c r="M23" i="113"/>
  <c r="M2" i="113"/>
  <c r="C8" i="113"/>
  <c r="D8" i="113"/>
  <c r="H8" i="113"/>
  <c r="C9" i="113"/>
  <c r="D9" i="113"/>
  <c r="H9" i="113"/>
  <c r="C10" i="113"/>
  <c r="C11" i="113"/>
  <c r="D11" i="113"/>
  <c r="H11" i="113"/>
  <c r="C12" i="113"/>
  <c r="D12" i="113"/>
  <c r="H12" i="113"/>
  <c r="C13" i="113"/>
  <c r="D13" i="113"/>
  <c r="H13" i="113"/>
  <c r="C14" i="113"/>
  <c r="D14" i="113"/>
  <c r="H14" i="113"/>
  <c r="C15" i="113"/>
  <c r="D15" i="113"/>
  <c r="H15" i="113"/>
  <c r="C16" i="113"/>
  <c r="D16" i="113"/>
  <c r="H16" i="113"/>
  <c r="C17" i="113"/>
  <c r="D17" i="113"/>
  <c r="H17" i="113"/>
  <c r="C18" i="113"/>
  <c r="D18" i="113"/>
  <c r="H18" i="113"/>
  <c r="C19" i="113"/>
  <c r="D19" i="113"/>
  <c r="H19" i="113"/>
  <c r="C20" i="113"/>
  <c r="C21" i="113"/>
  <c r="D21" i="113"/>
  <c r="H21" i="113"/>
  <c r="C22" i="113"/>
  <c r="D22" i="113"/>
  <c r="H22" i="113"/>
  <c r="C23" i="113"/>
  <c r="D23" i="113"/>
  <c r="H23" i="113"/>
  <c r="D7" i="113"/>
  <c r="H7" i="113"/>
  <c r="C7" i="113"/>
  <c r="D432" i="113"/>
  <c r="D338" i="113"/>
  <c r="H338" i="113"/>
  <c r="D339" i="113"/>
  <c r="H339" i="113"/>
  <c r="D340" i="113"/>
  <c r="H340" i="113"/>
  <c r="D341" i="113"/>
  <c r="H341" i="113"/>
  <c r="D343" i="113"/>
  <c r="H343" i="113"/>
  <c r="D342" i="113"/>
  <c r="H342" i="113"/>
  <c r="D1323" i="113"/>
  <c r="H1323" i="113"/>
  <c r="D1349" i="113"/>
  <c r="H1349" i="113"/>
  <c r="D448" i="113"/>
  <c r="D826" i="113"/>
  <c r="D1334" i="113"/>
  <c r="H1334" i="113"/>
  <c r="D1320" i="113"/>
  <c r="H1320" i="113"/>
  <c r="D825" i="113"/>
  <c r="D1322" i="113"/>
  <c r="H1322" i="113"/>
  <c r="D1324" i="113"/>
  <c r="H1324" i="113"/>
  <c r="D806" i="113"/>
  <c r="D805" i="113"/>
  <c r="D803" i="113"/>
  <c r="D802" i="113"/>
  <c r="D824" i="113"/>
  <c r="D95" i="113"/>
  <c r="H95" i="113"/>
  <c r="D801" i="113"/>
  <c r="D441" i="113"/>
  <c r="D804" i="113"/>
  <c r="D97" i="113"/>
  <c r="H97" i="113"/>
  <c r="D93" i="113"/>
  <c r="H93" i="113"/>
  <c r="D94" i="113"/>
  <c r="H94" i="113"/>
  <c r="D798" i="113"/>
  <c r="D823" i="113"/>
  <c r="D799" i="113"/>
  <c r="D96" i="113"/>
  <c r="H96" i="113"/>
  <c r="D818" i="113"/>
  <c r="D821" i="113"/>
  <c r="D800" i="113"/>
  <c r="D812" i="113"/>
  <c r="D820" i="113"/>
  <c r="D100" i="113"/>
  <c r="H100" i="113"/>
  <c r="D822" i="113"/>
  <c r="D99" i="113"/>
  <c r="H99" i="113"/>
  <c r="D817" i="113"/>
  <c r="D816" i="113"/>
  <c r="D98" i="113"/>
  <c r="H98" i="113"/>
  <c r="D797" i="113"/>
  <c r="D794" i="113"/>
  <c r="D792" i="113"/>
  <c r="D819" i="113"/>
  <c r="D793" i="113"/>
  <c r="D814" i="113"/>
  <c r="D795" i="113"/>
  <c r="D796" i="113"/>
  <c r="D815" i="113"/>
  <c r="D813" i="113"/>
  <c r="D334" i="113"/>
  <c r="H334" i="113"/>
  <c r="D335" i="113"/>
  <c r="H335" i="113"/>
  <c r="D440" i="113"/>
  <c r="D433" i="113"/>
  <c r="D431" i="113"/>
  <c r="D337" i="113"/>
  <c r="H337" i="113"/>
  <c r="D336" i="113"/>
  <c r="H336" i="113"/>
  <c r="D1319" i="113"/>
  <c r="H1319" i="113"/>
  <c r="D434" i="113"/>
  <c r="D1335" i="113"/>
  <c r="H1335" i="113"/>
  <c r="D447" i="113"/>
  <c r="D1405" i="113"/>
  <c r="H1405" i="113"/>
  <c r="D442" i="113"/>
  <c r="D1340" i="113"/>
  <c r="H1340" i="113"/>
  <c r="D1342" i="113"/>
  <c r="H1342" i="113"/>
  <c r="D1339" i="113"/>
  <c r="H1339" i="113"/>
  <c r="D1325" i="113"/>
  <c r="H1325" i="113"/>
  <c r="D1321" i="113"/>
  <c r="H1321" i="113"/>
  <c r="D1336" i="113"/>
  <c r="H1336" i="113"/>
  <c r="D1406" i="113"/>
  <c r="H1406" i="113"/>
  <c r="D453" i="113"/>
  <c r="D1415" i="113"/>
  <c r="H1415" i="113"/>
  <c r="D454" i="113"/>
  <c r="D1341" i="113"/>
  <c r="H1341" i="113"/>
  <c r="D1326" i="113"/>
  <c r="H1326" i="113"/>
  <c r="D445" i="113"/>
  <c r="D446" i="113"/>
  <c r="D436" i="113"/>
  <c r="D1364" i="113"/>
  <c r="H1364" i="113"/>
  <c r="D449" i="113"/>
  <c r="D1337" i="113"/>
  <c r="H1337" i="113"/>
  <c r="D435" i="113"/>
  <c r="D1347" i="113"/>
  <c r="H1347" i="113"/>
  <c r="E920" i="113"/>
  <c r="G920" i="113"/>
  <c r="D920" i="113"/>
  <c r="H920" i="113"/>
  <c r="D1388" i="113"/>
  <c r="H1388" i="113"/>
  <c r="D1389" i="113"/>
  <c r="H1389" i="113"/>
  <c r="D1346" i="113"/>
  <c r="H1346" i="113"/>
  <c r="D1332" i="113"/>
  <c r="H1332" i="113"/>
  <c r="D1369" i="113"/>
  <c r="H1369" i="113"/>
  <c r="D1344" i="113"/>
  <c r="H1344" i="113"/>
  <c r="D1387" i="113"/>
  <c r="H1387" i="113"/>
  <c r="D1370" i="113"/>
  <c r="H1370" i="113"/>
  <c r="D1353" i="113"/>
  <c r="H1353" i="113"/>
  <c r="D1345" i="113"/>
  <c r="H1345" i="113"/>
  <c r="D1338" i="113"/>
  <c r="H1338" i="113"/>
  <c r="D1343" i="113"/>
  <c r="H1343" i="113"/>
  <c r="D1414" i="113"/>
  <c r="H1414" i="113"/>
  <c r="D1354" i="113"/>
  <c r="H1354" i="113"/>
  <c r="D1352" i="113"/>
  <c r="H1352" i="113"/>
  <c r="D1328" i="113"/>
  <c r="H1328" i="113"/>
  <c r="D1368" i="113"/>
  <c r="H1368" i="113"/>
  <c r="D1408" i="113"/>
  <c r="H1408" i="113"/>
  <c r="D1367" i="113"/>
  <c r="H1367" i="113"/>
  <c r="D1366" i="113"/>
  <c r="H1366" i="113"/>
  <c r="D1330" i="113"/>
  <c r="H1330" i="113"/>
  <c r="D1372" i="113"/>
  <c r="H1372" i="113"/>
  <c r="D1373" i="113"/>
  <c r="H1373" i="113"/>
  <c r="D1351" i="113"/>
  <c r="H1351" i="113"/>
  <c r="D1350" i="113"/>
  <c r="H1350" i="113"/>
  <c r="D437" i="113"/>
  <c r="D1407" i="113"/>
  <c r="H1407" i="113"/>
  <c r="D444" i="113"/>
  <c r="D1409" i="113"/>
  <c r="H1409" i="113"/>
  <c r="D451" i="113"/>
  <c r="D443" i="113"/>
  <c r="D438" i="113"/>
  <c r="D439" i="113"/>
  <c r="D1412" i="113"/>
  <c r="H1412" i="113"/>
  <c r="D1327" i="113"/>
  <c r="H1327" i="113"/>
  <c r="D1411" i="113"/>
  <c r="H1411" i="113"/>
  <c r="D450" i="113"/>
  <c r="D1410" i="113"/>
  <c r="H1410" i="113"/>
  <c r="D1365" i="113"/>
  <c r="H1365" i="113"/>
  <c r="D452" i="113"/>
  <c r="E1029" i="113"/>
  <c r="G1029" i="113"/>
  <c r="D1375" i="113"/>
  <c r="H1375" i="113"/>
  <c r="D1356" i="113"/>
  <c r="H1356" i="113"/>
  <c r="E945" i="113"/>
  <c r="G945" i="113"/>
  <c r="D945" i="113"/>
  <c r="H945" i="113"/>
  <c r="E933" i="113"/>
  <c r="G933" i="113"/>
  <c r="D933" i="113"/>
  <c r="H933" i="113"/>
  <c r="E930" i="113"/>
  <c r="G930" i="113"/>
  <c r="D930" i="113"/>
  <c r="H930" i="113"/>
  <c r="E964" i="113"/>
  <c r="G964" i="113"/>
  <c r="D964" i="113"/>
  <c r="H964" i="113"/>
  <c r="E923" i="113"/>
  <c r="G923" i="113"/>
  <c r="D923" i="113"/>
  <c r="H923" i="113"/>
  <c r="D1386" i="113"/>
  <c r="H1386" i="113"/>
  <c r="E949" i="113"/>
  <c r="G949" i="113"/>
  <c r="D949" i="113"/>
  <c r="H949" i="113"/>
  <c r="D1329" i="113"/>
  <c r="H1329" i="113"/>
  <c r="D1392" i="113"/>
  <c r="H1392" i="113"/>
  <c r="D1385" i="113"/>
  <c r="H1385" i="113"/>
  <c r="D1359" i="113"/>
  <c r="H1359" i="113"/>
  <c r="D1390" i="113"/>
  <c r="H1390" i="113"/>
  <c r="D1348" i="113"/>
  <c r="H1348" i="113"/>
  <c r="D1417" i="113"/>
  <c r="H1417" i="113"/>
  <c r="E1360" i="113"/>
  <c r="G1360" i="113"/>
  <c r="D1360" i="113"/>
  <c r="H1360" i="113"/>
  <c r="D1333" i="113"/>
  <c r="H1333" i="113"/>
  <c r="D1331" i="113"/>
  <c r="H1331" i="113"/>
  <c r="E880" i="113"/>
  <c r="G880" i="113"/>
  <c r="D880" i="113"/>
  <c r="H880" i="113"/>
  <c r="D486" i="113"/>
  <c r="E883" i="113"/>
  <c r="G883" i="113"/>
  <c r="D883" i="113"/>
  <c r="H883" i="113"/>
  <c r="D485" i="113"/>
  <c r="E904" i="113"/>
  <c r="G904" i="113"/>
  <c r="D904" i="113"/>
  <c r="H904" i="113"/>
  <c r="E890" i="113"/>
  <c r="G890" i="113"/>
  <c r="D890" i="113"/>
  <c r="H890" i="113"/>
  <c r="E914" i="113"/>
  <c r="G914" i="113"/>
  <c r="D914" i="113"/>
  <c r="H914" i="113"/>
  <c r="E877" i="113"/>
  <c r="G877" i="113"/>
  <c r="D877" i="113"/>
  <c r="H877" i="113"/>
  <c r="E909" i="113"/>
  <c r="G909" i="113"/>
  <c r="D909" i="113"/>
  <c r="H909" i="113"/>
  <c r="E1402" i="113"/>
  <c r="G1402" i="113"/>
  <c r="D1402" i="113"/>
  <c r="H1402" i="113"/>
  <c r="D1358" i="113"/>
  <c r="H1358" i="113"/>
  <c r="E873" i="113"/>
  <c r="G873" i="113"/>
  <c r="D873" i="113"/>
  <c r="H873" i="113"/>
  <c r="E979" i="113"/>
  <c r="G979" i="113"/>
  <c r="D979" i="113"/>
  <c r="H979" i="113"/>
  <c r="E974" i="113"/>
  <c r="G974" i="113"/>
  <c r="E893" i="113"/>
  <c r="G893" i="113"/>
  <c r="D893" i="113"/>
  <c r="H893" i="113"/>
  <c r="E911" i="113"/>
  <c r="G911" i="113"/>
  <c r="D911" i="113"/>
  <c r="H911" i="113"/>
  <c r="E958" i="113"/>
  <c r="G958" i="113"/>
  <c r="D958" i="113"/>
  <c r="H958" i="113"/>
  <c r="E907" i="113"/>
  <c r="G907" i="113"/>
  <c r="D907" i="113"/>
  <c r="H907" i="113"/>
  <c r="E871" i="113"/>
  <c r="G871" i="113"/>
  <c r="D871" i="113"/>
  <c r="H871" i="113"/>
  <c r="E969" i="113"/>
  <c r="G969" i="113"/>
  <c r="D969" i="113"/>
  <c r="H969" i="113"/>
  <c r="E1047" i="113"/>
  <c r="G1047" i="113"/>
  <c r="E869" i="113"/>
  <c r="G869" i="113"/>
  <c r="D869" i="113"/>
  <c r="H869" i="113"/>
  <c r="E896" i="113"/>
  <c r="G896" i="113"/>
  <c r="E1050" i="113"/>
  <c r="G1050" i="113"/>
  <c r="E892" i="113"/>
  <c r="G892" i="113"/>
  <c r="E956" i="113"/>
  <c r="G956" i="113"/>
  <c r="E897" i="113"/>
  <c r="G897" i="113"/>
  <c r="D897" i="113"/>
  <c r="H897" i="113"/>
  <c r="E947" i="113"/>
  <c r="G947" i="113"/>
  <c r="D947" i="113"/>
  <c r="H947" i="113"/>
  <c r="D1377" i="113"/>
  <c r="H1377" i="113"/>
  <c r="D1357" i="113"/>
  <c r="H1357" i="113"/>
  <c r="E1361" i="113"/>
  <c r="G1361" i="113"/>
  <c r="D1361" i="113"/>
  <c r="H1361" i="113"/>
  <c r="E1363" i="113"/>
  <c r="G1363" i="113"/>
  <c r="D1363" i="113"/>
  <c r="H1363" i="113"/>
  <c r="E900" i="113"/>
  <c r="G900" i="113"/>
  <c r="D900" i="113"/>
  <c r="H900" i="113"/>
  <c r="E960" i="113"/>
  <c r="G960" i="113"/>
  <c r="E918" i="113"/>
  <c r="G918" i="113"/>
  <c r="D918" i="113"/>
  <c r="H918" i="113"/>
  <c r="E916" i="113"/>
  <c r="G916" i="113"/>
  <c r="D916" i="113"/>
  <c r="H916" i="113"/>
  <c r="E996" i="113"/>
  <c r="G996" i="113"/>
  <c r="E886" i="113"/>
  <c r="G886" i="113"/>
  <c r="D886" i="113"/>
  <c r="H886" i="113"/>
  <c r="E1041" i="113"/>
  <c r="G1041" i="113"/>
  <c r="E888" i="113"/>
  <c r="G888" i="113"/>
  <c r="D888" i="113"/>
  <c r="H888" i="113"/>
  <c r="E1030" i="113"/>
  <c r="G1030" i="113"/>
  <c r="E902" i="113"/>
  <c r="G902" i="113"/>
  <c r="D902" i="113"/>
  <c r="H902" i="113"/>
  <c r="E973" i="113"/>
  <c r="G973" i="113"/>
  <c r="E943" i="113"/>
  <c r="G943" i="113"/>
  <c r="D943" i="113"/>
  <c r="H943" i="113"/>
  <c r="E1044" i="113"/>
  <c r="G1044" i="113"/>
  <c r="E954" i="113"/>
  <c r="G954" i="113"/>
  <c r="D954" i="113"/>
  <c r="H954" i="113"/>
  <c r="E1034" i="113"/>
  <c r="G1034" i="113"/>
  <c r="E966" i="113"/>
  <c r="G966" i="113"/>
  <c r="D966" i="113"/>
  <c r="H966" i="113"/>
  <c r="E939" i="113"/>
  <c r="G939" i="113"/>
  <c r="D939" i="113"/>
  <c r="H939" i="113"/>
  <c r="E936" i="113"/>
  <c r="G936" i="113"/>
  <c r="D936" i="113"/>
  <c r="H936" i="113"/>
  <c r="E927" i="113"/>
  <c r="G927" i="113"/>
  <c r="D927" i="113"/>
  <c r="H927" i="113"/>
  <c r="D1395" i="113"/>
  <c r="H1395" i="113"/>
  <c r="E1403" i="113"/>
  <c r="G1403" i="113"/>
  <c r="D1403" i="113"/>
  <c r="H1403" i="113"/>
  <c r="E1362" i="113"/>
  <c r="G1362" i="113"/>
  <c r="D1362" i="113"/>
  <c r="H1362" i="113"/>
  <c r="D1355" i="113"/>
  <c r="H1355" i="113"/>
  <c r="E951" i="113"/>
  <c r="G951" i="113"/>
  <c r="D951" i="113"/>
  <c r="H951" i="113"/>
  <c r="E872" i="113"/>
  <c r="G872" i="113"/>
  <c r="D872" i="113"/>
  <c r="H872" i="113"/>
  <c r="B89" i="113"/>
  <c r="C89" i="113"/>
  <c r="H89" i="113"/>
  <c r="B91" i="113"/>
  <c r="C91" i="113"/>
  <c r="H91" i="113"/>
  <c r="B92" i="113"/>
  <c r="C92" i="113"/>
  <c r="H92" i="113"/>
  <c r="B90" i="113"/>
  <c r="C90" i="113"/>
  <c r="H90" i="113"/>
  <c r="H87" i="113"/>
  <c r="C87" i="113"/>
  <c r="B87" i="113"/>
  <c r="H88" i="113"/>
  <c r="C88" i="113"/>
  <c r="B88" i="113"/>
  <c r="B215" i="113"/>
  <c r="C215" i="113"/>
  <c r="B214" i="113"/>
  <c r="C214" i="113"/>
  <c r="B217" i="113"/>
  <c r="C217" i="113"/>
  <c r="B210" i="113"/>
  <c r="C210" i="113"/>
  <c r="B211" i="113"/>
  <c r="C211" i="113"/>
  <c r="B213" i="113"/>
  <c r="C213" i="113"/>
  <c r="C216" i="113"/>
  <c r="B216" i="113"/>
  <c r="C212" i="113"/>
  <c r="B212" i="113"/>
  <c r="C1456" i="113"/>
  <c r="P1456" i="113"/>
  <c r="C1459" i="113"/>
  <c r="P1459" i="113"/>
  <c r="C1460" i="113"/>
  <c r="P1460" i="113"/>
  <c r="C1461" i="113"/>
  <c r="P1461" i="113"/>
  <c r="C1462" i="113"/>
  <c r="P1462" i="113"/>
  <c r="C1463" i="113"/>
  <c r="P1463" i="113"/>
  <c r="C1464" i="113"/>
  <c r="P1464" i="113"/>
  <c r="C1465" i="113"/>
  <c r="P1465" i="113"/>
  <c r="C1466" i="113"/>
  <c r="P1466" i="113"/>
  <c r="C1467" i="113"/>
  <c r="P1467" i="113"/>
  <c r="C1468" i="113"/>
  <c r="P1468" i="113"/>
  <c r="C1469" i="113"/>
  <c r="P1469" i="113"/>
  <c r="C1470" i="113"/>
  <c r="P1470" i="113"/>
  <c r="C1471" i="113"/>
  <c r="P1471" i="113"/>
  <c r="C1472" i="113"/>
  <c r="P1472" i="113"/>
  <c r="C1473" i="113"/>
  <c r="P1473" i="113"/>
  <c r="C1474" i="113"/>
  <c r="P1474" i="113"/>
  <c r="C1475" i="113"/>
  <c r="P1475" i="113"/>
  <c r="C1476" i="113"/>
  <c r="P1476" i="113"/>
  <c r="C1477" i="113"/>
  <c r="P1477" i="113"/>
  <c r="P1455" i="113"/>
  <c r="C1455" i="113"/>
  <c r="D1424" i="113"/>
  <c r="D1427" i="113"/>
  <c r="D1425" i="113"/>
  <c r="D1426" i="113"/>
  <c r="D1428" i="113"/>
  <c r="D913" i="113"/>
  <c r="D970" i="113"/>
  <c r="D971" i="113"/>
  <c r="D868" i="113"/>
  <c r="D915" i="113"/>
  <c r="D975" i="113"/>
  <c r="D976" i="113"/>
  <c r="D977" i="113"/>
  <c r="D870" i="113"/>
  <c r="D917" i="113"/>
  <c r="D980" i="113"/>
  <c r="D981" i="113"/>
  <c r="D982" i="113"/>
  <c r="D1067" i="113"/>
  <c r="D919" i="113"/>
  <c r="D983" i="113"/>
  <c r="D874" i="113"/>
  <c r="D985" i="113"/>
  <c r="D986" i="113"/>
  <c r="D875" i="113"/>
  <c r="D921" i="113"/>
  <c r="D1080" i="113"/>
  <c r="D1082" i="113"/>
  <c r="D1083" i="113"/>
  <c r="D1086" i="113"/>
  <c r="D876" i="113"/>
  <c r="D989" i="113"/>
  <c r="D990" i="113"/>
  <c r="D992" i="113"/>
  <c r="D993" i="113"/>
  <c r="D922" i="113"/>
  <c r="D997" i="113"/>
  <c r="D878" i="113"/>
  <c r="D924" i="113"/>
  <c r="D998" i="113"/>
  <c r="D1090" i="113"/>
  <c r="D999" i="113"/>
  <c r="D1000" i="113"/>
  <c r="D1001" i="113"/>
  <c r="D1003" i="113"/>
  <c r="D1004" i="113"/>
  <c r="D1005" i="113"/>
  <c r="D1007" i="113"/>
  <c r="D879" i="113"/>
  <c r="D1008" i="113"/>
  <c r="D1009" i="113"/>
  <c r="D925" i="113"/>
  <c r="D1010" i="113"/>
  <c r="D1011" i="113"/>
  <c r="D1012" i="113"/>
  <c r="D1014" i="113"/>
  <c r="D1015" i="113"/>
  <c r="D1016" i="113"/>
  <c r="D1018" i="113"/>
  <c r="D1019" i="113"/>
  <c r="D1020" i="113"/>
  <c r="D1022" i="113"/>
  <c r="D1023" i="113"/>
  <c r="D881" i="113"/>
  <c r="D926" i="113"/>
  <c r="D882" i="113"/>
  <c r="D928" i="113"/>
  <c r="D884" i="113"/>
  <c r="D1093" i="113"/>
  <c r="D929" i="113"/>
  <c r="D931" i="113"/>
  <c r="D885" i="113"/>
  <c r="D1035" i="113"/>
  <c r="D1036" i="113"/>
  <c r="D1038" i="113"/>
  <c r="D1095" i="113"/>
  <c r="D932" i="113"/>
  <c r="D887" i="113"/>
  <c r="D934" i="113"/>
  <c r="D1097" i="113"/>
  <c r="D889" i="113"/>
  <c r="D935" i="113"/>
  <c r="D937" i="113"/>
  <c r="D891" i="113"/>
  <c r="D938" i="113"/>
  <c r="D940" i="113"/>
  <c r="D941" i="113"/>
  <c r="D1101" i="113"/>
  <c r="D1052" i="113"/>
  <c r="D894" i="113"/>
  <c r="D942" i="113"/>
  <c r="D1105" i="113"/>
  <c r="D895" i="113"/>
  <c r="D1108" i="113"/>
  <c r="D944" i="113"/>
  <c r="D898" i="113"/>
  <c r="D946" i="113"/>
  <c r="D899" i="113"/>
  <c r="D948" i="113"/>
  <c r="D901" i="113"/>
  <c r="D1111" i="113"/>
  <c r="D950" i="113"/>
  <c r="D903" i="113"/>
  <c r="D952" i="113"/>
  <c r="D953" i="113"/>
  <c r="D905" i="113"/>
  <c r="D955" i="113"/>
  <c r="D906" i="113"/>
  <c r="D908" i="113"/>
  <c r="D957" i="113"/>
  <c r="D910" i="113"/>
  <c r="D959" i="113"/>
  <c r="D912" i="113"/>
  <c r="D961" i="113"/>
  <c r="D962" i="113"/>
  <c r="D963" i="113"/>
  <c r="D965" i="113"/>
  <c r="D967" i="113"/>
  <c r="D968" i="113"/>
  <c r="D1371" i="113"/>
  <c r="D1413" i="113"/>
  <c r="D1374" i="113"/>
  <c r="D1416" i="113"/>
  <c r="D1391" i="113"/>
  <c r="D1376" i="113"/>
  <c r="D1418" i="113"/>
  <c r="D1419" i="113"/>
  <c r="D1379" i="113"/>
  <c r="D1380" i="113"/>
  <c r="D1420" i="113"/>
  <c r="D1394" i="113"/>
  <c r="D1381" i="113"/>
  <c r="D1382" i="113"/>
  <c r="D1384" i="113"/>
  <c r="D1421" i="113"/>
  <c r="D1396" i="113"/>
  <c r="D1422" i="113"/>
  <c r="D1397" i="113"/>
  <c r="D1399" i="113"/>
  <c r="D1400" i="113"/>
  <c r="D1401" i="113"/>
  <c r="D1423" i="113"/>
  <c r="D1404" i="113"/>
  <c r="D455" i="113"/>
  <c r="D456" i="113"/>
  <c r="D458" i="113"/>
  <c r="D463" i="113"/>
  <c r="D459" i="113"/>
  <c r="D464" i="113"/>
  <c r="D461" i="113"/>
  <c r="D465" i="113"/>
  <c r="D462" i="113"/>
  <c r="D457" i="113"/>
  <c r="D466" i="113"/>
  <c r="D460" i="113"/>
  <c r="D807" i="113"/>
  <c r="D827" i="113"/>
  <c r="D808" i="113"/>
  <c r="D828" i="113"/>
  <c r="D809" i="113"/>
  <c r="D829" i="113"/>
  <c r="D810" i="113"/>
  <c r="D811" i="113"/>
  <c r="D1231" i="113"/>
  <c r="D1254" i="113"/>
  <c r="D1290" i="113"/>
  <c r="D1255" i="113"/>
  <c r="D1291" i="113"/>
  <c r="D1256" i="113"/>
  <c r="D1292" i="113"/>
  <c r="D1257" i="113"/>
  <c r="D1293" i="113"/>
  <c r="D1232" i="113"/>
  <c r="D1258" i="113"/>
  <c r="D1294" i="113"/>
  <c r="D1259" i="113"/>
  <c r="D1260" i="113"/>
  <c r="D1295" i="113"/>
  <c r="D1261" i="113"/>
  <c r="D1296" i="113"/>
  <c r="D1262" i="113"/>
  <c r="D1297" i="113"/>
  <c r="D1233" i="113"/>
  <c r="D1234" i="113"/>
  <c r="D1299" i="113"/>
  <c r="D1298" i="113"/>
  <c r="D1263" i="113"/>
  <c r="D1235" i="113"/>
  <c r="D1300" i="113"/>
  <c r="D1264" i="113"/>
  <c r="D1301" i="113"/>
  <c r="D1236" i="113"/>
  <c r="D1237" i="113"/>
  <c r="D1265" i="113"/>
  <c r="D1238" i="113"/>
  <c r="D1266" i="113"/>
  <c r="D1239" i="113"/>
  <c r="D1302" i="113"/>
  <c r="D1240" i="113"/>
  <c r="D1267" i="113"/>
  <c r="D1303" i="113"/>
  <c r="D1241" i="113"/>
  <c r="D1268" i="113"/>
  <c r="D1304" i="113"/>
  <c r="D1242" i="113"/>
  <c r="D1269" i="113"/>
  <c r="D1305" i="113"/>
  <c r="D1243" i="113"/>
  <c r="D1270" i="113"/>
  <c r="D1306" i="113"/>
  <c r="D1244" i="113"/>
  <c r="D1271" i="113"/>
  <c r="D1307" i="113"/>
  <c r="D1245" i="113"/>
  <c r="D1272" i="113"/>
  <c r="D1308" i="113"/>
  <c r="D1246" i="113"/>
  <c r="D1273" i="113"/>
  <c r="D1309" i="113"/>
  <c r="D1247" i="113"/>
  <c r="D1274" i="113"/>
  <c r="D1310" i="113"/>
  <c r="D1248" i="113"/>
  <c r="D1275" i="113"/>
  <c r="D1311" i="113"/>
  <c r="D1249" i="113"/>
  <c r="D1276" i="113"/>
  <c r="D1312" i="113"/>
  <c r="D1250" i="113"/>
  <c r="D1277" i="113"/>
  <c r="D1313" i="113"/>
  <c r="D1251" i="113"/>
  <c r="D1278" i="113"/>
  <c r="D1314" i="113"/>
  <c r="D1252" i="113"/>
  <c r="D1279" i="113"/>
  <c r="D1315" i="113"/>
  <c r="D1253" i="113"/>
  <c r="D1280" i="113"/>
  <c r="D1316" i="113"/>
  <c r="D1281" i="113"/>
  <c r="D1317" i="113"/>
  <c r="D1282" i="113"/>
  <c r="D1318" i="113"/>
  <c r="D1283" i="113"/>
  <c r="D1284" i="113"/>
  <c r="D1285" i="113"/>
  <c r="D1286" i="113"/>
  <c r="D1287" i="113"/>
  <c r="D1288" i="113"/>
  <c r="D1289" i="113"/>
  <c r="P340" i="113"/>
  <c r="P335" i="113"/>
  <c r="P337" i="113"/>
  <c r="P339" i="113"/>
  <c r="P338" i="113"/>
  <c r="P341" i="113"/>
  <c r="P343" i="113"/>
  <c r="P342" i="113"/>
  <c r="B259" i="113"/>
  <c r="P259" i="113"/>
  <c r="B256" i="113"/>
  <c r="P256" i="113"/>
  <c r="B257" i="113"/>
  <c r="P257" i="113"/>
  <c r="B258" i="113"/>
  <c r="P258" i="113"/>
  <c r="B262" i="113"/>
  <c r="P262" i="113"/>
  <c r="B263" i="113"/>
  <c r="P263" i="113"/>
  <c r="B264" i="113"/>
  <c r="P264" i="113"/>
  <c r="B265" i="113"/>
  <c r="P265" i="113"/>
  <c r="B266" i="113"/>
  <c r="P266" i="113"/>
  <c r="B267" i="113"/>
  <c r="P267" i="113"/>
  <c r="B268" i="113"/>
  <c r="P268" i="113"/>
  <c r="B254" i="113"/>
  <c r="P254" i="113"/>
  <c r="B255" i="113"/>
  <c r="P255" i="113"/>
  <c r="P261" i="113"/>
  <c r="B261" i="113"/>
  <c r="P260" i="113"/>
  <c r="B260" i="113"/>
  <c r="F1391" i="113"/>
  <c r="F1399" i="113"/>
  <c r="B104" i="113"/>
  <c r="C104" i="113"/>
  <c r="B103" i="113"/>
  <c r="C103" i="113"/>
  <c r="C102" i="113"/>
  <c r="B102" i="113"/>
  <c r="C101" i="113"/>
  <c r="B101" i="113"/>
  <c r="B705" i="113"/>
  <c r="C705" i="113"/>
  <c r="P705" i="113"/>
  <c r="B706" i="113"/>
  <c r="C706" i="113"/>
  <c r="P706" i="113"/>
  <c r="B707" i="113"/>
  <c r="C707" i="113"/>
  <c r="P707" i="113"/>
  <c r="B708" i="113"/>
  <c r="C708" i="113"/>
  <c r="P708" i="113"/>
  <c r="B709" i="113"/>
  <c r="C709" i="113"/>
  <c r="P709" i="113"/>
  <c r="B710" i="113"/>
  <c r="C710" i="113"/>
  <c r="P710" i="113"/>
  <c r="B711" i="113"/>
  <c r="C711" i="113"/>
  <c r="P711" i="113"/>
  <c r="B712" i="113"/>
  <c r="C712" i="113"/>
  <c r="B713" i="113"/>
  <c r="C713" i="113"/>
  <c r="P713" i="113"/>
  <c r="B714" i="113"/>
  <c r="C714" i="113"/>
  <c r="P714" i="113"/>
  <c r="B715" i="113"/>
  <c r="C715" i="113"/>
  <c r="P715" i="113"/>
  <c r="B716" i="113"/>
  <c r="C716" i="113"/>
  <c r="P716" i="113"/>
  <c r="B717" i="113"/>
  <c r="C717" i="113"/>
  <c r="P717" i="113"/>
  <c r="B718" i="113"/>
  <c r="C718" i="113"/>
  <c r="P718" i="113"/>
  <c r="B719" i="113"/>
  <c r="C719" i="113"/>
  <c r="P719" i="113"/>
  <c r="B720" i="113"/>
  <c r="C720" i="113"/>
  <c r="P720" i="113"/>
  <c r="B721" i="113"/>
  <c r="C721" i="113"/>
  <c r="P721" i="113"/>
  <c r="P704" i="113"/>
  <c r="C704" i="113"/>
  <c r="B704" i="113"/>
  <c r="P703" i="113"/>
  <c r="C703" i="113"/>
  <c r="B703" i="113"/>
  <c r="B724" i="113"/>
  <c r="C724" i="113"/>
  <c r="P724" i="113"/>
  <c r="C731" i="113"/>
  <c r="P731" i="113"/>
  <c r="C732" i="113"/>
  <c r="P732" i="113"/>
  <c r="C733" i="113"/>
  <c r="P733" i="113"/>
  <c r="C740" i="113"/>
  <c r="C741" i="113"/>
  <c r="C742" i="113"/>
  <c r="C734" i="113"/>
  <c r="C735" i="113"/>
  <c r="P735" i="113"/>
  <c r="C736" i="113"/>
  <c r="P736" i="113"/>
  <c r="C728" i="113"/>
  <c r="P728" i="113"/>
  <c r="C729" i="113"/>
  <c r="P729" i="113"/>
  <c r="C730" i="113"/>
  <c r="P730" i="113"/>
  <c r="C725" i="113"/>
  <c r="P725" i="113"/>
  <c r="C726" i="113"/>
  <c r="P726" i="113"/>
  <c r="C727" i="113"/>
  <c r="P727" i="113"/>
  <c r="C737" i="113"/>
  <c r="P737" i="113"/>
  <c r="C738" i="113"/>
  <c r="P738" i="113"/>
  <c r="C739" i="113"/>
  <c r="P739" i="113"/>
  <c r="P723" i="113"/>
  <c r="C723" i="113"/>
  <c r="B723" i="113"/>
  <c r="P722" i="113"/>
  <c r="C722" i="113"/>
  <c r="B722" i="113"/>
  <c r="C791" i="113"/>
  <c r="C777" i="113"/>
  <c r="C778" i="113"/>
  <c r="C779" i="113"/>
  <c r="C780" i="113"/>
  <c r="C781" i="113"/>
  <c r="C782" i="113"/>
  <c r="C783" i="113"/>
  <c r="C784" i="113"/>
  <c r="C785" i="113"/>
  <c r="C786" i="113"/>
  <c r="C787" i="113"/>
  <c r="C788" i="113"/>
  <c r="C789" i="113"/>
  <c r="C790" i="113"/>
  <c r="C776" i="113"/>
  <c r="C329" i="113"/>
  <c r="C333" i="113"/>
  <c r="C325" i="113"/>
  <c r="C331" i="113"/>
  <c r="C326" i="113"/>
  <c r="C327" i="113"/>
  <c r="C330" i="113"/>
  <c r="C332" i="113"/>
  <c r="C328" i="113"/>
  <c r="C324" i="113"/>
  <c r="C323" i="113"/>
  <c r="C322" i="113"/>
  <c r="C321" i="113"/>
  <c r="C4" i="113"/>
  <c r="C5" i="113"/>
  <c r="C6" i="113"/>
  <c r="C3" i="113"/>
  <c r="C2" i="113"/>
  <c r="P423" i="113"/>
  <c r="P424" i="113"/>
  <c r="P425" i="113"/>
  <c r="P426" i="113"/>
  <c r="P427" i="113"/>
  <c r="P428" i="113"/>
  <c r="P429" i="113"/>
  <c r="P430" i="113"/>
  <c r="P422" i="113"/>
  <c r="B424" i="113"/>
  <c r="C424" i="113"/>
  <c r="B425" i="113"/>
  <c r="C425" i="113"/>
  <c r="B426" i="113"/>
  <c r="C426" i="113"/>
  <c r="B427" i="113"/>
  <c r="C427" i="113"/>
  <c r="B428" i="113"/>
  <c r="C428" i="113"/>
  <c r="B429" i="113"/>
  <c r="C429" i="113"/>
  <c r="B430" i="113"/>
  <c r="C430" i="113"/>
  <c r="C423" i="113"/>
  <c r="B423" i="113"/>
  <c r="C422" i="113"/>
  <c r="B422" i="113"/>
  <c r="P1056" i="113"/>
  <c r="P1063" i="113"/>
  <c r="P1055" i="113"/>
  <c r="P1069" i="113"/>
  <c r="P1057" i="113"/>
  <c r="P1054" i="113"/>
  <c r="P1064" i="113"/>
  <c r="P1067" i="113"/>
  <c r="P1073" i="113"/>
  <c r="P1078" i="113"/>
  <c r="P1074" i="113"/>
  <c r="P1077" i="113"/>
  <c r="P1081" i="113"/>
  <c r="P1053" i="113"/>
  <c r="P1080" i="113"/>
  <c r="P1058" i="113"/>
  <c r="P1082" i="113"/>
  <c r="P1060" i="113"/>
  <c r="P1061" i="113"/>
  <c r="P1062" i="113"/>
  <c r="P1083" i="113"/>
  <c r="P1086" i="113"/>
  <c r="P1065" i="113"/>
  <c r="P1066" i="113"/>
  <c r="P1088" i="113"/>
  <c r="P1068" i="113"/>
  <c r="P1090" i="113"/>
  <c r="P1070" i="113"/>
  <c r="P1091" i="113"/>
  <c r="P1071" i="113"/>
  <c r="P1093" i="113"/>
  <c r="P1072" i="113"/>
  <c r="P1095" i="113"/>
  <c r="P1075" i="113"/>
  <c r="P1097" i="113"/>
  <c r="P1076" i="113"/>
  <c r="P1099" i="113"/>
  <c r="P1101" i="113"/>
  <c r="P1103" i="113"/>
  <c r="P1105" i="113"/>
  <c r="P1108" i="113"/>
  <c r="P1110" i="113"/>
  <c r="P1111" i="113"/>
  <c r="P1112" i="113"/>
  <c r="P1113" i="113"/>
  <c r="P1059" i="113"/>
  <c r="P1115" i="113"/>
  <c r="P477" i="113"/>
  <c r="P478" i="113"/>
  <c r="P479" i="113"/>
  <c r="P480" i="113"/>
  <c r="P481" i="113"/>
  <c r="P482" i="113"/>
  <c r="P483" i="113"/>
  <c r="P484" i="113"/>
  <c r="P476" i="113"/>
  <c r="P190" i="113"/>
  <c r="P191" i="113"/>
  <c r="P192" i="113"/>
  <c r="P193" i="113"/>
  <c r="P194" i="113"/>
  <c r="P195" i="113"/>
  <c r="P196" i="113"/>
  <c r="P189" i="113"/>
  <c r="P198" i="113"/>
  <c r="P199" i="113"/>
  <c r="P200" i="113"/>
  <c r="P201" i="113"/>
  <c r="P202" i="113"/>
  <c r="P203" i="113"/>
  <c r="P204" i="113"/>
  <c r="P205" i="113"/>
  <c r="P206" i="113"/>
  <c r="P207" i="113"/>
  <c r="P208" i="113"/>
  <c r="P209" i="113"/>
  <c r="P197" i="113"/>
  <c r="P167" i="113"/>
  <c r="P168" i="113"/>
  <c r="P169" i="113"/>
  <c r="P170" i="113"/>
  <c r="P171" i="113"/>
  <c r="P172" i="113"/>
  <c r="P173" i="113"/>
  <c r="P174" i="113"/>
  <c r="P175" i="113"/>
  <c r="P176" i="113"/>
  <c r="P177" i="113"/>
  <c r="P178" i="113"/>
  <c r="P179" i="113"/>
  <c r="P180" i="113"/>
  <c r="P181" i="113"/>
  <c r="P182" i="113"/>
  <c r="P183" i="113"/>
  <c r="P184" i="113"/>
  <c r="P185" i="113"/>
  <c r="P186" i="113"/>
  <c r="P187" i="113"/>
  <c r="P188" i="113"/>
  <c r="P166" i="113"/>
  <c r="P150" i="113"/>
  <c r="P151" i="113"/>
  <c r="P152" i="113"/>
  <c r="P153" i="113"/>
  <c r="P154" i="113"/>
  <c r="P155" i="113"/>
  <c r="P156" i="113"/>
  <c r="P157" i="113"/>
  <c r="P158" i="113"/>
  <c r="P159" i="113"/>
  <c r="P160" i="113"/>
  <c r="P161" i="113"/>
  <c r="P162" i="113"/>
  <c r="P163" i="113"/>
  <c r="P164" i="113"/>
  <c r="P165" i="113"/>
  <c r="P149" i="113"/>
  <c r="J1392" i="113"/>
  <c r="J1393" i="113"/>
  <c r="J1394" i="113"/>
  <c r="J1395" i="113"/>
  <c r="J1396" i="113"/>
  <c r="J1398" i="113"/>
  <c r="J1399" i="113"/>
  <c r="J1400" i="113"/>
  <c r="J1359" i="113"/>
  <c r="J1361" i="113"/>
  <c r="J1362" i="113"/>
  <c r="J1363" i="113"/>
  <c r="J1428" i="113"/>
  <c r="P1593" i="113"/>
  <c r="P1594" i="113"/>
  <c r="P1595" i="113"/>
  <c r="P1596" i="113"/>
  <c r="P1597" i="113"/>
  <c r="P1598" i="113"/>
  <c r="P1599" i="113"/>
  <c r="P1600" i="113"/>
  <c r="P1601" i="113"/>
  <c r="P1602" i="113"/>
  <c r="P1603" i="113"/>
  <c r="P1604" i="113"/>
  <c r="P1605" i="113"/>
  <c r="P1592" i="113"/>
  <c r="P1580" i="113"/>
  <c r="P1581" i="113"/>
  <c r="P1582" i="113"/>
  <c r="P1583" i="113"/>
  <c r="P1584" i="113"/>
  <c r="P1585" i="113"/>
  <c r="P1586" i="113"/>
  <c r="P1587" i="113"/>
  <c r="P1588" i="113"/>
  <c r="P1589" i="113"/>
  <c r="P1590" i="113"/>
  <c r="P1591" i="113"/>
  <c r="P1579" i="113"/>
  <c r="P1578" i="113"/>
  <c r="P1577" i="113"/>
  <c r="P1565" i="113"/>
  <c r="P1566" i="113"/>
  <c r="P1567" i="113"/>
  <c r="P1568" i="113"/>
  <c r="P1569" i="113"/>
  <c r="P1570" i="113"/>
  <c r="P1571" i="113"/>
  <c r="P1572" i="113"/>
  <c r="P1573" i="113"/>
  <c r="P1574" i="113"/>
  <c r="P1575" i="113"/>
  <c r="P1576" i="113"/>
  <c r="P1564" i="113"/>
  <c r="P1291" i="113"/>
  <c r="P1292" i="113"/>
  <c r="P1293" i="113"/>
  <c r="P1294" i="113"/>
  <c r="P1295" i="113"/>
  <c r="P1296" i="113"/>
  <c r="P1297" i="113"/>
  <c r="P1299" i="113"/>
  <c r="P1298" i="113"/>
  <c r="P1300" i="113"/>
  <c r="P1301" i="113"/>
  <c r="P1302" i="113"/>
  <c r="P1303" i="113"/>
  <c r="P1304" i="113"/>
  <c r="P1305" i="113"/>
  <c r="P1306" i="113"/>
  <c r="P1307" i="113"/>
  <c r="P1308" i="113"/>
  <c r="P1309" i="113"/>
  <c r="P1310" i="113"/>
  <c r="P1311" i="113"/>
  <c r="P1312" i="113"/>
  <c r="P1313" i="113"/>
  <c r="P1314" i="113"/>
  <c r="P1315" i="113"/>
  <c r="P1316" i="113"/>
  <c r="P1317" i="113"/>
  <c r="P1318" i="113"/>
  <c r="P1290" i="113"/>
  <c r="P1232" i="113"/>
  <c r="P1233" i="113"/>
  <c r="P1234" i="113"/>
  <c r="P1235" i="113"/>
  <c r="P1236" i="113"/>
  <c r="P1238" i="113"/>
  <c r="P1239" i="113"/>
  <c r="P1240" i="113"/>
  <c r="P1241" i="113"/>
  <c r="P1242" i="113"/>
  <c r="P1243" i="113"/>
  <c r="P1244" i="113"/>
  <c r="P1245" i="113"/>
  <c r="P1246" i="113"/>
  <c r="P1247" i="113"/>
  <c r="P1248" i="113"/>
  <c r="P1249" i="113"/>
  <c r="P1250" i="113"/>
  <c r="P1251" i="113"/>
  <c r="P1252" i="113"/>
  <c r="P1253" i="113"/>
  <c r="P1231" i="113"/>
  <c r="P1255" i="113"/>
  <c r="P1256" i="113"/>
  <c r="P1257" i="113"/>
  <c r="P1258" i="113"/>
  <c r="P1259" i="113"/>
  <c r="P1260" i="113"/>
  <c r="P1261" i="113"/>
  <c r="P1262" i="113"/>
  <c r="P1263" i="113"/>
  <c r="P1264" i="113"/>
  <c r="P1265" i="113"/>
  <c r="P1266" i="113"/>
  <c r="P1267" i="113"/>
  <c r="P1268" i="113"/>
  <c r="P1269" i="113"/>
  <c r="P1270" i="113"/>
  <c r="P1271" i="113"/>
  <c r="P1272" i="113"/>
  <c r="P1273" i="113"/>
  <c r="P1274" i="113"/>
  <c r="P1275" i="113"/>
  <c r="P1276" i="113"/>
  <c r="P1277" i="113"/>
  <c r="P1278" i="113"/>
  <c r="P1279" i="113"/>
  <c r="P1280" i="113"/>
  <c r="P1281" i="113"/>
  <c r="P1282" i="113"/>
  <c r="P1283" i="113"/>
  <c r="P1284" i="113"/>
  <c r="P1285" i="113"/>
  <c r="P1286" i="113"/>
  <c r="P1289" i="113"/>
  <c r="P1254" i="113"/>
  <c r="P833" i="113"/>
  <c r="P836" i="113"/>
  <c r="P840" i="113"/>
  <c r="P842" i="113"/>
  <c r="P844" i="113"/>
  <c r="P830" i="113"/>
  <c r="P607" i="113"/>
  <c r="P608" i="113"/>
  <c r="P609" i="113"/>
  <c r="P610" i="113"/>
  <c r="P611" i="113"/>
  <c r="P612" i="113"/>
  <c r="P613" i="113"/>
  <c r="P614" i="113"/>
  <c r="P615" i="113"/>
  <c r="P616" i="113"/>
  <c r="P617" i="113"/>
  <c r="P618" i="113"/>
  <c r="P619" i="113"/>
  <c r="P620" i="113"/>
  <c r="P621" i="113"/>
  <c r="P622" i="113"/>
  <c r="P606" i="113"/>
  <c r="P602" i="113"/>
  <c r="P603" i="113"/>
  <c r="P604" i="113"/>
  <c r="P605" i="113"/>
  <c r="P601" i="113"/>
  <c r="P1479" i="113"/>
  <c r="P1480" i="113"/>
  <c r="P1481" i="113"/>
  <c r="P1482" i="113"/>
  <c r="P1483" i="113"/>
  <c r="P1484" i="113"/>
  <c r="P1485" i="113"/>
  <c r="P1486" i="113"/>
  <c r="P1487" i="113"/>
  <c r="P1488" i="113"/>
  <c r="P1489" i="113"/>
  <c r="P1490" i="113"/>
  <c r="P1491" i="113"/>
  <c r="P1492" i="113"/>
  <c r="P1493" i="113"/>
  <c r="P1495" i="113"/>
  <c r="P1494" i="113"/>
  <c r="P1496" i="113"/>
  <c r="P1497" i="113"/>
  <c r="P1498" i="113"/>
  <c r="P1499" i="113"/>
  <c r="P1500" i="113"/>
  <c r="P1501" i="113"/>
  <c r="P1502" i="113"/>
  <c r="P1507" i="113"/>
  <c r="P1508" i="113"/>
  <c r="P1509" i="113"/>
  <c r="P1510" i="113"/>
  <c r="P1511" i="113"/>
  <c r="P1512" i="113"/>
  <c r="P1513" i="113"/>
  <c r="P1514" i="113"/>
  <c r="P1515" i="113"/>
  <c r="P1516" i="113"/>
  <c r="P1517" i="113"/>
  <c r="P1518" i="113"/>
  <c r="P1519" i="113"/>
  <c r="P1520" i="113"/>
  <c r="P1521" i="113"/>
  <c r="P1522" i="113"/>
  <c r="P1523" i="113"/>
  <c r="P1524" i="113"/>
  <c r="P1525" i="113"/>
  <c r="P1526" i="113"/>
  <c r="P1527" i="113"/>
  <c r="P1528" i="113"/>
  <c r="P1529" i="113"/>
  <c r="P1530" i="113"/>
  <c r="P1531" i="113"/>
  <c r="P1532" i="113"/>
  <c r="P1533" i="113"/>
  <c r="P1534" i="113"/>
  <c r="P1535" i="113"/>
  <c r="P1536" i="113"/>
  <c r="P1537" i="113"/>
  <c r="P1538" i="113"/>
  <c r="P1539" i="113"/>
  <c r="P1540" i="113"/>
  <c r="P1541" i="113"/>
  <c r="P1542" i="113"/>
  <c r="P1543" i="113"/>
  <c r="P1544" i="113"/>
  <c r="P1545" i="113"/>
  <c r="P1546" i="113"/>
  <c r="P1547" i="113"/>
  <c r="P1548" i="113"/>
  <c r="P1549" i="113"/>
  <c r="P1550" i="113"/>
  <c r="P1551" i="113"/>
  <c r="P1552" i="113"/>
  <c r="P1553" i="113"/>
  <c r="P1554" i="113"/>
  <c r="P1555" i="113"/>
  <c r="P1558" i="113"/>
  <c r="P1559" i="113"/>
  <c r="P1560" i="113"/>
  <c r="P1561" i="113"/>
  <c r="P1562" i="113"/>
  <c r="P1563" i="113"/>
  <c r="P1478" i="113"/>
  <c r="P1430" i="113"/>
  <c r="P1431" i="113"/>
  <c r="P1432" i="113"/>
  <c r="P1433" i="113"/>
  <c r="P1434" i="113"/>
  <c r="P1435" i="113"/>
  <c r="P1436" i="113"/>
  <c r="P1437" i="113"/>
  <c r="P1438" i="113"/>
  <c r="P1439" i="113"/>
  <c r="P1440" i="113"/>
  <c r="P1441" i="113"/>
  <c r="P1442" i="113"/>
  <c r="P1443" i="113"/>
  <c r="P1444" i="113"/>
  <c r="P1445" i="113"/>
  <c r="P1446" i="113"/>
  <c r="P1447" i="113"/>
  <c r="P1448" i="113"/>
  <c r="P1449" i="113"/>
  <c r="P1450" i="113"/>
  <c r="P1451" i="113"/>
  <c r="P1452" i="113"/>
  <c r="P1453" i="113"/>
  <c r="P1454" i="113"/>
  <c r="P1429" i="113"/>
  <c r="P401" i="113"/>
  <c r="P399" i="113"/>
  <c r="P397" i="113"/>
  <c r="P402" i="113"/>
  <c r="P398" i="113"/>
  <c r="P396" i="113"/>
  <c r="P400" i="113"/>
  <c r="P393" i="113"/>
  <c r="P385" i="113"/>
  <c r="P394" i="113"/>
  <c r="P392" i="113"/>
  <c r="P391" i="113"/>
  <c r="P388" i="113"/>
  <c r="P395" i="113"/>
  <c r="P390" i="113"/>
  <c r="P389" i="113"/>
  <c r="P386" i="113"/>
  <c r="P387" i="113"/>
  <c r="P383" i="113"/>
  <c r="P379" i="113"/>
  <c r="P384" i="113"/>
  <c r="P382" i="113"/>
  <c r="P381" i="113"/>
  <c r="P380" i="113"/>
  <c r="P377" i="113"/>
  <c r="P375" i="113"/>
  <c r="P374" i="113"/>
  <c r="P372" i="113"/>
  <c r="P376" i="113"/>
  <c r="P378" i="113"/>
  <c r="P373" i="113"/>
  <c r="P403" i="113"/>
  <c r="P106" i="113"/>
  <c r="P107" i="113"/>
  <c r="P108" i="113"/>
  <c r="P109" i="113"/>
  <c r="P110" i="113"/>
  <c r="P112" i="113"/>
  <c r="P111" i="113"/>
  <c r="P113" i="113"/>
  <c r="P114" i="113"/>
  <c r="P115" i="113"/>
  <c r="P116" i="113"/>
  <c r="P117" i="113"/>
  <c r="P118" i="113"/>
  <c r="P119" i="113"/>
  <c r="P120" i="113"/>
  <c r="P121" i="113"/>
  <c r="P122" i="113"/>
  <c r="P123" i="113"/>
  <c r="P124" i="113"/>
  <c r="P125" i="113"/>
  <c r="P126" i="113"/>
  <c r="P127" i="113"/>
  <c r="P128" i="113"/>
  <c r="P129" i="113"/>
  <c r="P130" i="113"/>
  <c r="P131" i="113"/>
  <c r="P132" i="113"/>
  <c r="P133" i="113"/>
  <c r="P134" i="113"/>
  <c r="P135" i="113"/>
  <c r="P136" i="113"/>
  <c r="P105" i="113"/>
  <c r="C454" i="113"/>
  <c r="C445" i="113"/>
  <c r="C453" i="113"/>
  <c r="C442" i="113"/>
  <c r="C431" i="113"/>
  <c r="C475" i="113"/>
  <c r="C473" i="113"/>
  <c r="C474" i="113"/>
  <c r="C469" i="113"/>
  <c r="C467" i="113"/>
  <c r="C468" i="113"/>
  <c r="C470" i="113"/>
  <c r="C471" i="113"/>
  <c r="C472" i="113"/>
  <c r="C1404" i="113"/>
  <c r="C1397" i="113"/>
  <c r="C1398" i="113"/>
  <c r="C1399" i="113"/>
  <c r="C1400" i="113"/>
  <c r="C1401" i="113"/>
  <c r="C1402" i="113"/>
  <c r="C1403" i="113"/>
  <c r="C1384" i="113"/>
  <c r="C1385" i="113"/>
  <c r="C1386" i="113"/>
  <c r="C1387" i="113"/>
  <c r="C1388" i="113"/>
  <c r="C1389" i="113"/>
  <c r="C1390" i="113"/>
  <c r="C1391" i="113"/>
  <c r="C1392" i="113"/>
  <c r="C1393" i="113"/>
  <c r="C1394" i="113"/>
  <c r="C1395" i="113"/>
  <c r="C1396" i="113"/>
  <c r="C1378" i="113"/>
  <c r="C1379" i="113"/>
  <c r="C1380" i="113"/>
  <c r="I1380" i="113"/>
  <c r="C1381" i="113"/>
  <c r="I1381" i="113"/>
  <c r="C1382" i="113"/>
  <c r="C1383" i="113"/>
  <c r="C1375" i="113"/>
  <c r="C1376" i="113"/>
  <c r="C1377" i="113"/>
  <c r="C1368" i="113"/>
  <c r="C1369" i="113"/>
  <c r="C1370" i="113"/>
  <c r="C1371" i="113"/>
  <c r="C1372" i="113"/>
  <c r="C1373" i="113"/>
  <c r="C1374" i="113"/>
  <c r="C1406" i="113"/>
  <c r="C1407" i="113"/>
  <c r="C1408" i="113"/>
  <c r="C1409" i="113"/>
  <c r="C1410" i="113"/>
  <c r="C1411" i="113"/>
  <c r="C1412" i="113"/>
  <c r="C1413" i="113"/>
  <c r="C1414" i="113"/>
  <c r="C1415" i="113"/>
  <c r="C1416" i="113"/>
  <c r="C1417" i="113"/>
  <c r="C1418" i="113"/>
  <c r="C1419" i="113"/>
  <c r="C1420" i="113"/>
  <c r="C1421" i="113"/>
  <c r="C1422" i="113"/>
  <c r="C1423" i="113"/>
  <c r="C1364" i="113"/>
  <c r="C1365" i="113"/>
  <c r="C1366" i="113"/>
  <c r="C1367" i="113"/>
  <c r="C1405" i="113"/>
  <c r="C1362" i="113"/>
  <c r="L1362" i="113"/>
  <c r="C1363" i="113"/>
  <c r="L1363" i="113"/>
  <c r="C1427" i="113"/>
  <c r="L1427" i="113"/>
  <c r="C1361" i="113"/>
  <c r="L1361" i="113"/>
  <c r="C1428" i="113"/>
  <c r="L1428" i="113"/>
  <c r="C1359" i="113"/>
  <c r="L1359" i="113"/>
  <c r="C1357" i="113"/>
  <c r="L1357" i="113"/>
  <c r="C1425" i="113"/>
  <c r="L1425" i="113"/>
  <c r="C1358" i="113"/>
  <c r="L1358" i="113"/>
  <c r="C1426" i="113"/>
  <c r="L1426" i="113"/>
  <c r="C1360" i="113"/>
  <c r="L1360" i="113"/>
  <c r="C1320" i="113"/>
  <c r="L1320" i="113"/>
  <c r="C1321" i="113"/>
  <c r="L1321" i="113"/>
  <c r="C1322" i="113"/>
  <c r="L1322" i="113"/>
  <c r="C1323" i="113"/>
  <c r="L1323" i="113"/>
  <c r="C1324" i="113"/>
  <c r="L1324" i="113"/>
  <c r="C1325" i="113"/>
  <c r="L1325" i="113"/>
  <c r="C1326" i="113"/>
  <c r="L1326" i="113"/>
  <c r="C1327" i="113"/>
  <c r="L1327" i="113"/>
  <c r="C1328" i="113"/>
  <c r="L1328" i="113"/>
  <c r="C1329" i="113"/>
  <c r="L1329" i="113"/>
  <c r="C1331" i="113"/>
  <c r="L1331" i="113"/>
  <c r="C1330" i="113"/>
  <c r="L1330" i="113"/>
  <c r="C1332" i="113"/>
  <c r="L1332" i="113"/>
  <c r="C1333" i="113"/>
  <c r="L1333" i="113"/>
  <c r="C1424" i="113"/>
  <c r="L1424" i="113"/>
  <c r="C1334" i="113"/>
  <c r="L1334" i="113"/>
  <c r="C1335" i="113"/>
  <c r="L1335" i="113"/>
  <c r="C1336" i="113"/>
  <c r="L1336" i="113"/>
  <c r="C1337" i="113"/>
  <c r="L1337" i="113"/>
  <c r="C1338" i="113"/>
  <c r="L1338" i="113"/>
  <c r="C1339" i="113"/>
  <c r="L1339" i="113"/>
  <c r="C1340" i="113"/>
  <c r="L1340" i="113"/>
  <c r="C1341" i="113"/>
  <c r="L1341" i="113"/>
  <c r="C1342" i="113"/>
  <c r="L1342" i="113"/>
  <c r="C1343" i="113"/>
  <c r="L1343" i="113"/>
  <c r="C1344" i="113"/>
  <c r="L1344" i="113"/>
  <c r="C1345" i="113"/>
  <c r="L1345" i="113"/>
  <c r="C1346" i="113"/>
  <c r="L1346" i="113"/>
  <c r="C1347" i="113"/>
  <c r="L1347" i="113"/>
  <c r="C1348" i="113"/>
  <c r="L1348" i="113"/>
  <c r="C1349" i="113"/>
  <c r="L1349" i="113"/>
  <c r="C1350" i="113"/>
  <c r="L1350" i="113"/>
  <c r="C1351" i="113"/>
  <c r="L1351" i="113"/>
  <c r="C1352" i="113"/>
  <c r="L1352" i="113"/>
  <c r="C1353" i="113"/>
  <c r="L1353" i="113"/>
  <c r="C1354" i="113"/>
  <c r="L1354" i="113"/>
  <c r="C1355" i="113"/>
  <c r="L1355" i="113"/>
  <c r="C1356" i="113"/>
  <c r="L1356" i="113"/>
  <c r="L1319" i="113"/>
  <c r="C1319" i="113"/>
  <c r="C1249" i="113"/>
  <c r="C1250" i="113"/>
  <c r="C1251" i="113"/>
  <c r="C1252" i="113"/>
  <c r="C1253" i="113"/>
  <c r="C1235" i="113"/>
  <c r="C1236" i="113"/>
  <c r="C1237" i="113"/>
  <c r="C1238" i="113"/>
  <c r="C1233" i="113"/>
  <c r="C1239" i="113"/>
  <c r="C1240" i="113"/>
  <c r="C1241" i="113"/>
  <c r="C1242" i="113"/>
  <c r="C1243" i="113"/>
  <c r="C1244" i="113"/>
  <c r="C1245" i="113"/>
  <c r="C1246" i="113"/>
  <c r="C1247" i="113"/>
  <c r="C1248" i="113"/>
  <c r="C1314" i="113"/>
  <c r="C1315" i="113"/>
  <c r="C1316" i="113"/>
  <c r="C1317" i="113"/>
  <c r="C1318" i="113"/>
  <c r="C1231" i="113"/>
  <c r="C1232" i="113"/>
  <c r="C1234" i="113"/>
  <c r="C1298" i="113"/>
  <c r="C1302" i="113"/>
  <c r="C1303" i="113"/>
  <c r="C1304" i="113"/>
  <c r="C1305" i="113"/>
  <c r="C1306" i="113"/>
  <c r="C1307" i="113"/>
  <c r="C1308" i="113"/>
  <c r="C1309" i="113"/>
  <c r="C1310" i="113"/>
  <c r="C1311" i="113"/>
  <c r="C1312" i="113"/>
  <c r="C1313" i="113"/>
  <c r="C1292" i="113"/>
  <c r="C1293" i="113"/>
  <c r="C1294" i="113"/>
  <c r="C1295" i="113"/>
  <c r="C1296" i="113"/>
  <c r="C1297" i="113"/>
  <c r="C1299" i="113"/>
  <c r="C1300" i="113"/>
  <c r="C1301" i="113"/>
  <c r="C1255" i="113"/>
  <c r="C1256" i="113"/>
  <c r="C1257" i="113"/>
  <c r="C1258" i="113"/>
  <c r="C1259" i="113"/>
  <c r="C1260" i="113"/>
  <c r="C1261" i="113"/>
  <c r="C1262" i="113"/>
  <c r="C1263" i="113"/>
  <c r="C1264" i="113"/>
  <c r="C1265" i="113"/>
  <c r="C1266" i="113"/>
  <c r="C1267" i="113"/>
  <c r="C1268" i="113"/>
  <c r="C1269" i="113"/>
  <c r="C1270" i="113"/>
  <c r="C1271" i="113"/>
  <c r="C1272" i="113"/>
  <c r="C1273" i="113"/>
  <c r="C1274" i="113"/>
  <c r="C1275" i="113"/>
  <c r="C1276" i="113"/>
  <c r="C1277" i="113"/>
  <c r="C1278" i="113"/>
  <c r="C1279" i="113"/>
  <c r="C1280" i="113"/>
  <c r="C1281" i="113"/>
  <c r="C1282" i="113"/>
  <c r="C1283" i="113"/>
  <c r="C1284" i="113"/>
  <c r="C1285" i="113"/>
  <c r="C1286" i="113"/>
  <c r="C1287" i="113"/>
  <c r="C1288" i="113"/>
  <c r="C1289" i="113"/>
  <c r="C1290" i="113"/>
  <c r="C1291" i="113"/>
  <c r="C1254" i="113"/>
  <c r="C483" i="113"/>
  <c r="C484" i="113"/>
  <c r="C477" i="113"/>
  <c r="C478" i="113"/>
  <c r="C479" i="113"/>
  <c r="C480" i="113"/>
  <c r="C481" i="113"/>
  <c r="C482" i="113"/>
  <c r="C476" i="113"/>
  <c r="C886" i="113"/>
  <c r="C887" i="113"/>
  <c r="C888" i="113"/>
  <c r="C889" i="113"/>
  <c r="C890" i="113"/>
  <c r="C891" i="113"/>
  <c r="C892" i="113"/>
  <c r="C893" i="113"/>
  <c r="C894" i="113"/>
  <c r="C895" i="113"/>
  <c r="C896" i="113"/>
  <c r="C897" i="113"/>
  <c r="C898" i="113"/>
  <c r="C899" i="113"/>
  <c r="C900" i="113"/>
  <c r="C901" i="113"/>
  <c r="C902" i="113"/>
  <c r="C903" i="113"/>
  <c r="C904" i="113"/>
  <c r="C905" i="113"/>
  <c r="C906" i="113"/>
  <c r="C907" i="113"/>
  <c r="C908" i="113"/>
  <c r="C909" i="113"/>
  <c r="C910" i="113"/>
  <c r="C911" i="113"/>
  <c r="C912" i="113"/>
  <c r="C913" i="113"/>
  <c r="C914" i="113"/>
  <c r="C915" i="113"/>
  <c r="C916" i="113"/>
  <c r="C917" i="113"/>
  <c r="C918" i="113"/>
  <c r="C919" i="113"/>
  <c r="C920" i="113"/>
  <c r="C921" i="113"/>
  <c r="C922" i="113"/>
  <c r="C923" i="113"/>
  <c r="C924" i="113"/>
  <c r="C925" i="113"/>
  <c r="C926" i="113"/>
  <c r="C927" i="113"/>
  <c r="C928" i="113"/>
  <c r="C929" i="113"/>
  <c r="C930" i="113"/>
  <c r="C931" i="113"/>
  <c r="C932" i="113"/>
  <c r="C933" i="113"/>
  <c r="C934" i="113"/>
  <c r="C935" i="113"/>
  <c r="C936" i="113"/>
  <c r="C937" i="113"/>
  <c r="C938" i="113"/>
  <c r="C939" i="113"/>
  <c r="C940" i="113"/>
  <c r="C941" i="113"/>
  <c r="C942" i="113"/>
  <c r="C943" i="113"/>
  <c r="C944" i="113"/>
  <c r="C945" i="113"/>
  <c r="C946" i="113"/>
  <c r="C947" i="113"/>
  <c r="C948" i="113"/>
  <c r="C949" i="113"/>
  <c r="C950" i="113"/>
  <c r="C951" i="113"/>
  <c r="C952" i="113"/>
  <c r="C953" i="113"/>
  <c r="C954" i="113"/>
  <c r="C955" i="113"/>
  <c r="C956" i="113"/>
  <c r="C957" i="113"/>
  <c r="C958" i="113"/>
  <c r="C959" i="113"/>
  <c r="C960" i="113"/>
  <c r="C961" i="113"/>
  <c r="C962" i="113"/>
  <c r="C963" i="113"/>
  <c r="C964" i="113"/>
  <c r="C965" i="113"/>
  <c r="C966" i="113"/>
  <c r="C967" i="113"/>
  <c r="C968" i="113"/>
  <c r="C969" i="113"/>
  <c r="C970" i="113"/>
  <c r="C971" i="113"/>
  <c r="I971" i="113"/>
  <c r="C972" i="113"/>
  <c r="I972" i="113"/>
  <c r="C973" i="113"/>
  <c r="C974" i="113"/>
  <c r="C975" i="113"/>
  <c r="C976" i="113"/>
  <c r="I976" i="113"/>
  <c r="C977" i="113"/>
  <c r="I977" i="113"/>
  <c r="C978" i="113"/>
  <c r="C979" i="113"/>
  <c r="C980" i="113"/>
  <c r="C981" i="113"/>
  <c r="C982" i="113"/>
  <c r="I982" i="113"/>
  <c r="C983" i="113"/>
  <c r="I983" i="113"/>
  <c r="C984" i="113"/>
  <c r="C985" i="113"/>
  <c r="C986" i="113"/>
  <c r="I986" i="113"/>
  <c r="C987" i="113"/>
  <c r="I987" i="113"/>
  <c r="C988" i="113"/>
  <c r="I988" i="113"/>
  <c r="C989" i="113"/>
  <c r="I989" i="113"/>
  <c r="C990" i="113"/>
  <c r="I990" i="113"/>
  <c r="C991" i="113"/>
  <c r="C992" i="113"/>
  <c r="C993" i="113"/>
  <c r="C994" i="113"/>
  <c r="I994" i="113"/>
  <c r="C995" i="113"/>
  <c r="I995" i="113"/>
  <c r="C996" i="113"/>
  <c r="C997" i="113"/>
  <c r="C998" i="113"/>
  <c r="I998" i="113"/>
  <c r="C999" i="113"/>
  <c r="C1000" i="113"/>
  <c r="I1000" i="113"/>
  <c r="C1001" i="113"/>
  <c r="C1002" i="113"/>
  <c r="C1003" i="113"/>
  <c r="C1004" i="113"/>
  <c r="I1004" i="113"/>
  <c r="C1005" i="113"/>
  <c r="I1005" i="113"/>
  <c r="C1006" i="113"/>
  <c r="C1007" i="113"/>
  <c r="C1008" i="113"/>
  <c r="I1008" i="113"/>
  <c r="C1009" i="113"/>
  <c r="C1010" i="113"/>
  <c r="I1010" i="113"/>
  <c r="C1011" i="113"/>
  <c r="I1011" i="113"/>
  <c r="C1012" i="113"/>
  <c r="I1012" i="113"/>
  <c r="C1013" i="113"/>
  <c r="C1014" i="113"/>
  <c r="C1015" i="113"/>
  <c r="I1015" i="113"/>
  <c r="C1016" i="113"/>
  <c r="I1016" i="113"/>
  <c r="C1017" i="113"/>
  <c r="C1018" i="113"/>
  <c r="C1019" i="113"/>
  <c r="I1019" i="113"/>
  <c r="C1020" i="113"/>
  <c r="I1020" i="113"/>
  <c r="C1021" i="113"/>
  <c r="C1022" i="113"/>
  <c r="C1023" i="113"/>
  <c r="I1023" i="113"/>
  <c r="C1024" i="113"/>
  <c r="C1025" i="113"/>
  <c r="I1025" i="113"/>
  <c r="C1026" i="113"/>
  <c r="I1026" i="113"/>
  <c r="C1027" i="113"/>
  <c r="I1027" i="113"/>
  <c r="C1028" i="113"/>
  <c r="I1028" i="113"/>
  <c r="C1029" i="113"/>
  <c r="C1030" i="113"/>
  <c r="C1031" i="113"/>
  <c r="I1031" i="113"/>
  <c r="C1032" i="113"/>
  <c r="I1032" i="113"/>
  <c r="C1033" i="113"/>
  <c r="I1033" i="113"/>
  <c r="C1034" i="113"/>
  <c r="C1035" i="113"/>
  <c r="I1035" i="113"/>
  <c r="C1036" i="113"/>
  <c r="I1036" i="113"/>
  <c r="C1037" i="113"/>
  <c r="C1038" i="113"/>
  <c r="C1039" i="113"/>
  <c r="I1039" i="113"/>
  <c r="C1040" i="113"/>
  <c r="I1040" i="113"/>
  <c r="C1041" i="113"/>
  <c r="C1042" i="113"/>
  <c r="I1042" i="113"/>
  <c r="C1043" i="113"/>
  <c r="I1043" i="113"/>
  <c r="C1044" i="113"/>
  <c r="C1045" i="113"/>
  <c r="I1045" i="113"/>
  <c r="C1046" i="113"/>
  <c r="I1046" i="113"/>
  <c r="C1047" i="113"/>
  <c r="C1048" i="113"/>
  <c r="I1048" i="113"/>
  <c r="C1049" i="113"/>
  <c r="I1049" i="113"/>
  <c r="C1050" i="113"/>
  <c r="C1051" i="113"/>
  <c r="C1052" i="113"/>
  <c r="C1056" i="113"/>
  <c r="I1056" i="113"/>
  <c r="C1067" i="113"/>
  <c r="I1067" i="113"/>
  <c r="C1080" i="113"/>
  <c r="I1080" i="113"/>
  <c r="C1082" i="113"/>
  <c r="I1082" i="113"/>
  <c r="C1083" i="113"/>
  <c r="I1083" i="113"/>
  <c r="C1086" i="113"/>
  <c r="I1086" i="113"/>
  <c r="C1088" i="113"/>
  <c r="I1088" i="113"/>
  <c r="C1090" i="113"/>
  <c r="I1090" i="113"/>
  <c r="I1091" i="113"/>
  <c r="C1093" i="113"/>
  <c r="I1093" i="113"/>
  <c r="C1095" i="113"/>
  <c r="I1095" i="113"/>
  <c r="C1097" i="113"/>
  <c r="I1097" i="113"/>
  <c r="C1099" i="113"/>
  <c r="I1099" i="113"/>
  <c r="C1101" i="113"/>
  <c r="I1101" i="113"/>
  <c r="C1103" i="113"/>
  <c r="I1103" i="113"/>
  <c r="C1105" i="113"/>
  <c r="C1108" i="113"/>
  <c r="I1108" i="113"/>
  <c r="C1110" i="113"/>
  <c r="I1110" i="113"/>
  <c r="C1111" i="113"/>
  <c r="C1112" i="113"/>
  <c r="I1112" i="113"/>
  <c r="C1113" i="113"/>
  <c r="I1113" i="113"/>
  <c r="C869" i="113"/>
  <c r="C870" i="113"/>
  <c r="C871" i="113"/>
  <c r="C872" i="113"/>
  <c r="C873" i="113"/>
  <c r="C874" i="113"/>
  <c r="C875" i="113"/>
  <c r="C876" i="113"/>
  <c r="C877" i="113"/>
  <c r="C878" i="113"/>
  <c r="C879" i="113"/>
  <c r="C880" i="113"/>
  <c r="C881" i="113"/>
  <c r="C882" i="113"/>
  <c r="C883" i="113"/>
  <c r="C884" i="113"/>
  <c r="C885" i="113"/>
  <c r="C868" i="113"/>
  <c r="N1081" i="113"/>
  <c r="J308" i="114"/>
  <c r="K1077" i="113"/>
  <c r="I87" i="147"/>
  <c r="N349" i="113"/>
  <c r="I88" i="147"/>
  <c r="N350" i="113"/>
  <c r="I89" i="147"/>
  <c r="N351" i="113"/>
  <c r="I90" i="147"/>
  <c r="N352" i="113"/>
  <c r="I91" i="147"/>
  <c r="N353" i="113"/>
  <c r="I92" i="147"/>
  <c r="N354" i="113"/>
  <c r="I93" i="147"/>
  <c r="N355" i="113"/>
  <c r="I94" i="147"/>
  <c r="N356" i="113"/>
  <c r="I95" i="147"/>
  <c r="N357" i="113"/>
  <c r="I96" i="147"/>
  <c r="N358" i="113"/>
  <c r="I71" i="147"/>
  <c r="N361" i="113"/>
  <c r="I72" i="147"/>
  <c r="N362" i="113"/>
  <c r="I73" i="147"/>
  <c r="N363" i="113"/>
  <c r="I74" i="147"/>
  <c r="N364" i="113"/>
  <c r="I75" i="147"/>
  <c r="N365" i="113"/>
  <c r="I76" i="147"/>
  <c r="N366" i="113"/>
  <c r="I77" i="147"/>
  <c r="N367" i="113"/>
  <c r="I78" i="147"/>
  <c r="N368" i="113"/>
  <c r="I79" i="147"/>
  <c r="N369" i="113"/>
  <c r="I80" i="147"/>
  <c r="N370" i="113"/>
  <c r="I81" i="147"/>
  <c r="N371" i="113"/>
  <c r="I82" i="147"/>
  <c r="N344" i="113"/>
  <c r="I84" i="147"/>
  <c r="N346" i="113"/>
  <c r="I70" i="147"/>
  <c r="N360" i="113"/>
  <c r="I69" i="147"/>
  <c r="N359" i="113"/>
  <c r="D7" i="148"/>
  <c r="C139" i="113"/>
  <c r="E7" i="148"/>
  <c r="D139" i="113"/>
  <c r="F7" i="148"/>
  <c r="E139" i="113"/>
  <c r="G139" i="113"/>
  <c r="H139" i="113"/>
  <c r="D8" i="148"/>
  <c r="C140" i="113"/>
  <c r="E8" i="148"/>
  <c r="D140" i="113"/>
  <c r="F8" i="148"/>
  <c r="E140" i="113"/>
  <c r="G140" i="113"/>
  <c r="H140" i="113"/>
  <c r="D9" i="148"/>
  <c r="C141" i="113"/>
  <c r="E9" i="148"/>
  <c r="D141" i="113"/>
  <c r="F9" i="148"/>
  <c r="E141" i="113"/>
  <c r="G141" i="113"/>
  <c r="H141" i="113"/>
  <c r="D10" i="148"/>
  <c r="C142" i="113"/>
  <c r="E10" i="148"/>
  <c r="D142" i="113"/>
  <c r="F10" i="148"/>
  <c r="E142" i="113"/>
  <c r="G142" i="113"/>
  <c r="H142" i="113"/>
  <c r="D11" i="148"/>
  <c r="C143" i="113"/>
  <c r="E11" i="148"/>
  <c r="D143" i="113"/>
  <c r="F11" i="148"/>
  <c r="E143" i="113"/>
  <c r="G143" i="113"/>
  <c r="H143" i="113"/>
  <c r="D12" i="148"/>
  <c r="C144" i="113"/>
  <c r="D144" i="113"/>
  <c r="F12" i="148"/>
  <c r="E144" i="113"/>
  <c r="G144" i="113"/>
  <c r="H144" i="113"/>
  <c r="D13" i="148"/>
  <c r="C145" i="113"/>
  <c r="E13" i="148"/>
  <c r="D145" i="113"/>
  <c r="E145" i="113"/>
  <c r="G145" i="113"/>
  <c r="H145" i="113"/>
  <c r="D14" i="148"/>
  <c r="C146" i="113"/>
  <c r="E14" i="148"/>
  <c r="D146" i="113"/>
  <c r="F14" i="148"/>
  <c r="E146" i="113"/>
  <c r="G146" i="113"/>
  <c r="H146" i="113"/>
  <c r="D15" i="148"/>
  <c r="C147" i="113"/>
  <c r="E15" i="148"/>
  <c r="D147" i="113"/>
  <c r="F15" i="148"/>
  <c r="E147" i="113"/>
  <c r="G147" i="113"/>
  <c r="H147" i="113"/>
  <c r="D16" i="148"/>
  <c r="C148" i="113"/>
  <c r="E16" i="148"/>
  <c r="D148" i="113"/>
  <c r="F16" i="148"/>
  <c r="E148" i="113"/>
  <c r="G148" i="113"/>
  <c r="H148" i="113"/>
  <c r="E6" i="148"/>
  <c r="D138" i="113"/>
  <c r="F6" i="148"/>
  <c r="E138" i="113"/>
  <c r="G138" i="113"/>
  <c r="H138" i="113"/>
  <c r="D6" i="148"/>
  <c r="C138" i="113"/>
  <c r="E5" i="148"/>
  <c r="D137" i="113"/>
  <c r="F5" i="148"/>
  <c r="E137" i="113"/>
  <c r="G137" i="113"/>
  <c r="H137" i="113"/>
  <c r="D5" i="148"/>
  <c r="C137" i="113"/>
  <c r="F12" i="118"/>
  <c r="J1221" i="113"/>
  <c r="K1221" i="113"/>
  <c r="G50" i="87"/>
  <c r="B3" i="87"/>
  <c r="H50" i="87"/>
  <c r="L628" i="113"/>
  <c r="J50" i="87"/>
  <c r="K50" i="87"/>
  <c r="J628" i="113"/>
  <c r="N628" i="113"/>
  <c r="G7" i="37"/>
  <c r="L607" i="113"/>
  <c r="D7" i="37"/>
  <c r="E7" i="37"/>
  <c r="J607" i="113"/>
  <c r="N607" i="113"/>
  <c r="G6" i="37"/>
  <c r="L606" i="113"/>
  <c r="D6" i="37"/>
  <c r="E6" i="37"/>
  <c r="J606" i="113"/>
  <c r="N606" i="113"/>
  <c r="I5" i="38"/>
  <c r="J5" i="38"/>
  <c r="L595" i="113"/>
  <c r="F5" i="38"/>
  <c r="G5" i="38"/>
  <c r="J595" i="113"/>
  <c r="N595" i="113"/>
  <c r="F9" i="129"/>
  <c r="C696" i="113"/>
  <c r="A4" i="129"/>
  <c r="G9" i="129"/>
  <c r="D696" i="113"/>
  <c r="F10" i="129"/>
  <c r="C697" i="113"/>
  <c r="G10" i="129"/>
  <c r="D697" i="113"/>
  <c r="F11" i="129"/>
  <c r="C698" i="113"/>
  <c r="G11" i="129"/>
  <c r="D698" i="113"/>
  <c r="F12" i="129"/>
  <c r="C699" i="113"/>
  <c r="G12" i="129"/>
  <c r="D699" i="113"/>
  <c r="F13" i="129"/>
  <c r="C700" i="113"/>
  <c r="G13" i="129"/>
  <c r="D700" i="113"/>
  <c r="F14" i="129"/>
  <c r="C701" i="113"/>
  <c r="G14" i="129"/>
  <c r="D701" i="113"/>
  <c r="F15" i="129"/>
  <c r="C702" i="113"/>
  <c r="G15" i="129"/>
  <c r="D702" i="113"/>
  <c r="F16" i="129"/>
  <c r="C679" i="113"/>
  <c r="G16" i="129"/>
  <c r="D679" i="113"/>
  <c r="F17" i="129"/>
  <c r="C680" i="113"/>
  <c r="G17" i="129"/>
  <c r="D680" i="113"/>
  <c r="F18" i="129"/>
  <c r="C681" i="113"/>
  <c r="G18" i="129"/>
  <c r="D681" i="113"/>
  <c r="F19" i="129"/>
  <c r="C682" i="113"/>
  <c r="G19" i="129"/>
  <c r="D682" i="113"/>
  <c r="F20" i="129"/>
  <c r="C683" i="113"/>
  <c r="G20" i="129"/>
  <c r="D683" i="113"/>
  <c r="F21" i="129"/>
  <c r="C684" i="113"/>
  <c r="G21" i="129"/>
  <c r="D684" i="113"/>
  <c r="F22" i="129"/>
  <c r="C685" i="113"/>
  <c r="G22" i="129"/>
  <c r="D685" i="113"/>
  <c r="F23" i="129"/>
  <c r="C686" i="113"/>
  <c r="G23" i="129"/>
  <c r="D686" i="113"/>
  <c r="F24" i="129"/>
  <c r="C687" i="113"/>
  <c r="G24" i="129"/>
  <c r="D687" i="113"/>
  <c r="F25" i="129"/>
  <c r="C688" i="113"/>
  <c r="G25" i="129"/>
  <c r="D688" i="113"/>
  <c r="F26" i="129"/>
  <c r="C689" i="113"/>
  <c r="G26" i="129"/>
  <c r="D689" i="113"/>
  <c r="F27" i="129"/>
  <c r="C690" i="113"/>
  <c r="G27" i="129"/>
  <c r="D690" i="113"/>
  <c r="F28" i="129"/>
  <c r="C691" i="113"/>
  <c r="G28" i="129"/>
  <c r="D691" i="113"/>
  <c r="F29" i="129"/>
  <c r="C692" i="113"/>
  <c r="G29" i="129"/>
  <c r="D692" i="113"/>
  <c r="F30" i="129"/>
  <c r="C693" i="113"/>
  <c r="G30" i="129"/>
  <c r="D693" i="113"/>
  <c r="F31" i="129"/>
  <c r="C694" i="113"/>
  <c r="G31" i="129"/>
  <c r="D694" i="113"/>
  <c r="G8" i="129"/>
  <c r="D695" i="113"/>
  <c r="I13" i="129"/>
  <c r="F700" i="113"/>
  <c r="H13" i="129"/>
  <c r="E700" i="113"/>
  <c r="G700" i="113"/>
  <c r="M700" i="113"/>
  <c r="B11" i="43"/>
  <c r="AQ517" i="113"/>
  <c r="E20" i="36"/>
  <c r="F20" i="36"/>
  <c r="B2" i="36"/>
  <c r="G20" i="36"/>
  <c r="I1577" i="113"/>
  <c r="I20" i="36"/>
  <c r="J20" i="36"/>
  <c r="K20" i="36"/>
  <c r="J1577" i="113"/>
  <c r="K1577" i="113"/>
  <c r="N1577" i="113"/>
  <c r="E21" i="36"/>
  <c r="F21" i="36"/>
  <c r="G21" i="36"/>
  <c r="I1578" i="113"/>
  <c r="I21" i="36"/>
  <c r="J21" i="36"/>
  <c r="K21" i="36"/>
  <c r="J1578" i="113"/>
  <c r="K1578" i="113"/>
  <c r="N1578" i="113"/>
  <c r="N6" i="36"/>
  <c r="O6" i="36"/>
  <c r="P6" i="36"/>
  <c r="I1579" i="113"/>
  <c r="R6" i="36"/>
  <c r="S6" i="36"/>
  <c r="T6" i="36"/>
  <c r="J1579" i="113"/>
  <c r="K1579" i="113"/>
  <c r="N1579" i="113"/>
  <c r="N7" i="36"/>
  <c r="O7" i="36"/>
  <c r="P7" i="36"/>
  <c r="I1580" i="113"/>
  <c r="R7" i="36"/>
  <c r="S7" i="36"/>
  <c r="T7" i="36"/>
  <c r="J1580" i="113"/>
  <c r="K1580" i="113"/>
  <c r="N1580" i="113"/>
  <c r="N9" i="36"/>
  <c r="O9" i="36"/>
  <c r="P9" i="36"/>
  <c r="I1581" i="113"/>
  <c r="R9" i="36"/>
  <c r="S9" i="36"/>
  <c r="T9" i="36"/>
  <c r="J1581" i="113"/>
  <c r="K1581" i="113"/>
  <c r="N1581" i="113"/>
  <c r="N10" i="36"/>
  <c r="O10" i="36"/>
  <c r="P10" i="36"/>
  <c r="I1582" i="113"/>
  <c r="R10" i="36"/>
  <c r="S10" i="36"/>
  <c r="T10" i="36"/>
  <c r="J1582" i="113"/>
  <c r="K1582" i="113"/>
  <c r="N1582" i="113"/>
  <c r="N11" i="36"/>
  <c r="O11" i="36"/>
  <c r="P11" i="36"/>
  <c r="I1583" i="113"/>
  <c r="R11" i="36"/>
  <c r="S11" i="36"/>
  <c r="T11" i="36"/>
  <c r="J1583" i="113"/>
  <c r="K1583" i="113"/>
  <c r="N1583" i="113"/>
  <c r="N13" i="36"/>
  <c r="O13" i="36"/>
  <c r="P13" i="36"/>
  <c r="I1585" i="113"/>
  <c r="R13" i="36"/>
  <c r="S13" i="36"/>
  <c r="T13" i="36"/>
  <c r="J1585" i="113"/>
  <c r="K1585" i="113"/>
  <c r="N1585" i="113"/>
  <c r="N14" i="36"/>
  <c r="O14" i="36"/>
  <c r="P14" i="36"/>
  <c r="I1586" i="113"/>
  <c r="R14" i="36"/>
  <c r="S14" i="36"/>
  <c r="T14" i="36"/>
  <c r="J1586" i="113"/>
  <c r="K1586" i="113"/>
  <c r="N1586" i="113"/>
  <c r="W6" i="36"/>
  <c r="X6" i="36"/>
  <c r="Y6" i="36"/>
  <c r="I1592" i="113"/>
  <c r="AA6" i="36"/>
  <c r="AB6" i="36"/>
  <c r="AC6" i="36"/>
  <c r="J1592" i="113"/>
  <c r="K1592" i="113"/>
  <c r="N1592" i="113"/>
  <c r="W7" i="36"/>
  <c r="X7" i="36"/>
  <c r="Y7" i="36"/>
  <c r="I1593" i="113"/>
  <c r="AA7" i="36"/>
  <c r="AB7" i="36"/>
  <c r="AC7" i="36"/>
  <c r="J1593" i="113"/>
  <c r="K1593" i="113"/>
  <c r="N1593" i="113"/>
  <c r="W8" i="36"/>
  <c r="X8" i="36"/>
  <c r="Y8" i="36"/>
  <c r="I1594" i="113"/>
  <c r="AA8" i="36"/>
  <c r="AB8" i="36"/>
  <c r="AC8" i="36"/>
  <c r="J1594" i="113"/>
  <c r="K1594" i="113"/>
  <c r="N1594" i="113"/>
  <c r="W9" i="36"/>
  <c r="X9" i="36"/>
  <c r="Y9" i="36"/>
  <c r="I1595" i="113"/>
  <c r="AA9" i="36"/>
  <c r="AB9" i="36"/>
  <c r="AC9" i="36"/>
  <c r="J1595" i="113"/>
  <c r="K1595" i="113"/>
  <c r="N1595" i="113"/>
  <c r="W10" i="36"/>
  <c r="X10" i="36"/>
  <c r="Y10" i="36"/>
  <c r="I1596" i="113"/>
  <c r="AA10" i="36"/>
  <c r="AB10" i="36"/>
  <c r="AC10" i="36"/>
  <c r="J1596" i="113"/>
  <c r="K1596" i="113"/>
  <c r="N1596" i="113"/>
  <c r="W16" i="36"/>
  <c r="X16" i="36"/>
  <c r="Y16" i="36"/>
  <c r="I1601" i="113"/>
  <c r="AA16" i="36"/>
  <c r="AB16" i="36"/>
  <c r="AC16" i="36"/>
  <c r="J1601" i="113"/>
  <c r="K1601" i="113"/>
  <c r="N1601" i="113"/>
  <c r="W20" i="36"/>
  <c r="X20" i="36"/>
  <c r="Y20" i="36"/>
  <c r="I1604" i="113"/>
  <c r="AA20" i="36"/>
  <c r="AB20" i="36"/>
  <c r="AC20" i="36"/>
  <c r="J1604" i="113"/>
  <c r="K1604" i="113"/>
  <c r="N1604" i="113"/>
  <c r="N41" i="119"/>
  <c r="I1514" i="113"/>
  <c r="O41" i="119"/>
  <c r="J1514" i="113"/>
  <c r="K1514" i="113"/>
  <c r="N1514" i="113"/>
  <c r="N43" i="119"/>
  <c r="I1516" i="113"/>
  <c r="O43" i="119"/>
  <c r="J1516" i="113"/>
  <c r="K1516" i="113"/>
  <c r="N1516" i="113"/>
  <c r="N46" i="119"/>
  <c r="I1519" i="113"/>
  <c r="O46" i="119"/>
  <c r="J1519" i="113"/>
  <c r="K1519" i="113"/>
  <c r="N1519" i="113"/>
  <c r="N47" i="119"/>
  <c r="I1520" i="113"/>
  <c r="O47" i="119"/>
  <c r="J1520" i="113"/>
  <c r="K1520" i="113"/>
  <c r="N1520" i="113"/>
  <c r="N52" i="119"/>
  <c r="I1525" i="113"/>
  <c r="O52" i="119"/>
  <c r="J1525" i="113"/>
  <c r="K1525" i="113"/>
  <c r="N1525" i="113"/>
  <c r="N54" i="119"/>
  <c r="I1527" i="113"/>
  <c r="O54" i="119"/>
  <c r="J1527" i="113"/>
  <c r="K1527" i="113"/>
  <c r="N1527" i="113"/>
  <c r="N55" i="119"/>
  <c r="I1528" i="113"/>
  <c r="O55" i="119"/>
  <c r="J1528" i="113"/>
  <c r="K1528" i="113"/>
  <c r="N1528" i="113"/>
  <c r="N57" i="119"/>
  <c r="I1530" i="113"/>
  <c r="O57" i="119"/>
  <c r="J1530" i="113"/>
  <c r="K1530" i="113"/>
  <c r="N1530" i="113"/>
  <c r="N59" i="119"/>
  <c r="I1532" i="113"/>
  <c r="O59" i="119"/>
  <c r="J1532" i="113"/>
  <c r="K1532" i="113"/>
  <c r="N1532" i="113"/>
  <c r="N61" i="119"/>
  <c r="I1534" i="113"/>
  <c r="O61" i="119"/>
  <c r="J1534" i="113"/>
  <c r="K1534" i="113"/>
  <c r="N1534" i="113"/>
  <c r="N64" i="119"/>
  <c r="I1537" i="113"/>
  <c r="O64" i="119"/>
  <c r="J1537" i="113"/>
  <c r="K1537" i="113"/>
  <c r="N1537" i="113"/>
  <c r="N65" i="119"/>
  <c r="I1538" i="113"/>
  <c r="O65" i="119"/>
  <c r="J1538" i="113"/>
  <c r="K1538" i="113"/>
  <c r="N1538" i="113"/>
  <c r="N66" i="119"/>
  <c r="I1539" i="113"/>
  <c r="O66" i="119"/>
  <c r="J1539" i="113"/>
  <c r="K1539" i="113"/>
  <c r="N1539" i="113"/>
  <c r="N67" i="119"/>
  <c r="I1540" i="113"/>
  <c r="O67" i="119"/>
  <c r="J1540" i="113"/>
  <c r="K1540" i="113"/>
  <c r="N1540" i="113"/>
  <c r="N68" i="119"/>
  <c r="I1541" i="113"/>
  <c r="O68" i="119"/>
  <c r="J1541" i="113"/>
  <c r="K1541" i="113"/>
  <c r="N1541" i="113"/>
  <c r="N70" i="119"/>
  <c r="I1543" i="113"/>
  <c r="O70" i="119"/>
  <c r="J1543" i="113"/>
  <c r="K1543" i="113"/>
  <c r="N1543" i="113"/>
  <c r="N72" i="119"/>
  <c r="I1545" i="113"/>
  <c r="O72" i="119"/>
  <c r="J1545" i="113"/>
  <c r="K1545" i="113"/>
  <c r="N1545" i="113"/>
  <c r="N74" i="119"/>
  <c r="I1547" i="113"/>
  <c r="O74" i="119"/>
  <c r="J1547" i="113"/>
  <c r="K1547" i="113"/>
  <c r="N1547" i="113"/>
  <c r="N78" i="119"/>
  <c r="I1551" i="113"/>
  <c r="O78" i="119"/>
  <c r="J1551" i="113"/>
  <c r="K1551" i="113"/>
  <c r="N1551" i="113"/>
  <c r="N81" i="119"/>
  <c r="I1554" i="113"/>
  <c r="O81" i="119"/>
  <c r="J1554" i="113"/>
  <c r="K1554" i="113"/>
  <c r="N1554" i="113"/>
  <c r="N89" i="119"/>
  <c r="I1562" i="113"/>
  <c r="O89" i="119"/>
  <c r="J1562" i="113"/>
  <c r="K1562" i="113"/>
  <c r="N1562" i="113"/>
  <c r="N90" i="119"/>
  <c r="I1563" i="113"/>
  <c r="O90" i="119"/>
  <c r="J1563" i="113"/>
  <c r="K1563" i="113"/>
  <c r="N1563" i="113"/>
  <c r="E6" i="36"/>
  <c r="F6" i="36"/>
  <c r="G6" i="36"/>
  <c r="I1564" i="113"/>
  <c r="I6" i="36"/>
  <c r="J6" i="36"/>
  <c r="K6" i="36"/>
  <c r="J1564" i="113"/>
  <c r="K1564" i="113"/>
  <c r="N1564" i="113"/>
  <c r="E7" i="36"/>
  <c r="F7" i="36"/>
  <c r="G7" i="36"/>
  <c r="I1565" i="113"/>
  <c r="I7" i="36"/>
  <c r="J7" i="36"/>
  <c r="K7" i="36"/>
  <c r="J1565" i="113"/>
  <c r="K1565" i="113"/>
  <c r="N1565" i="113"/>
  <c r="E8" i="36"/>
  <c r="F8" i="36"/>
  <c r="G8" i="36"/>
  <c r="I1566" i="113"/>
  <c r="I8" i="36"/>
  <c r="J8" i="36"/>
  <c r="K8" i="36"/>
  <c r="J1566" i="113"/>
  <c r="K1566" i="113"/>
  <c r="N1566" i="113"/>
  <c r="E9" i="36"/>
  <c r="F9" i="36"/>
  <c r="G9" i="36"/>
  <c r="I1567" i="113"/>
  <c r="K1567" i="113"/>
  <c r="N1567" i="113"/>
  <c r="E10" i="36"/>
  <c r="F10" i="36"/>
  <c r="G10" i="36"/>
  <c r="I1568" i="113"/>
  <c r="I10" i="36"/>
  <c r="J10" i="36"/>
  <c r="K10" i="36"/>
  <c r="J1568" i="113"/>
  <c r="K1568" i="113"/>
  <c r="N1568" i="113"/>
  <c r="E11" i="36"/>
  <c r="F11" i="36"/>
  <c r="G11" i="36"/>
  <c r="I1569" i="113"/>
  <c r="I11" i="36"/>
  <c r="J11" i="36"/>
  <c r="K11" i="36"/>
  <c r="J1569" i="113"/>
  <c r="K1569" i="113"/>
  <c r="N1569" i="113"/>
  <c r="E12" i="36"/>
  <c r="F12" i="36"/>
  <c r="G12" i="36"/>
  <c r="I1570" i="113"/>
  <c r="I12" i="36"/>
  <c r="J12" i="36"/>
  <c r="K12" i="36"/>
  <c r="J1570" i="113"/>
  <c r="K1570" i="113"/>
  <c r="N1570" i="113"/>
  <c r="E13" i="36"/>
  <c r="F13" i="36"/>
  <c r="G13" i="36"/>
  <c r="I1571" i="113"/>
  <c r="I13" i="36"/>
  <c r="J13" i="36"/>
  <c r="K13" i="36"/>
  <c r="J1571" i="113"/>
  <c r="K1571" i="113"/>
  <c r="N1571" i="113"/>
  <c r="E14" i="36"/>
  <c r="F14" i="36"/>
  <c r="G14" i="36"/>
  <c r="I1572" i="113"/>
  <c r="I14" i="36"/>
  <c r="J14" i="36"/>
  <c r="K14" i="36"/>
  <c r="J1572" i="113"/>
  <c r="K1572" i="113"/>
  <c r="N1572" i="113"/>
  <c r="E15" i="36"/>
  <c r="F15" i="36"/>
  <c r="G15" i="36"/>
  <c r="I1573" i="113"/>
  <c r="I15" i="36"/>
  <c r="J15" i="36"/>
  <c r="K15" i="36"/>
  <c r="J1573" i="113"/>
  <c r="K1573" i="113"/>
  <c r="N1573" i="113"/>
  <c r="E16" i="36"/>
  <c r="F16" i="36"/>
  <c r="G16" i="36"/>
  <c r="I1574" i="113"/>
  <c r="I16" i="36"/>
  <c r="J16" i="36"/>
  <c r="K16" i="36"/>
  <c r="J1574" i="113"/>
  <c r="K1574" i="113"/>
  <c r="N1574" i="113"/>
  <c r="E17" i="36"/>
  <c r="F17" i="36"/>
  <c r="G17" i="36"/>
  <c r="I1575" i="113"/>
  <c r="I17" i="36"/>
  <c r="J17" i="36"/>
  <c r="K17" i="36"/>
  <c r="J1575" i="113"/>
  <c r="K1575" i="113"/>
  <c r="N1575" i="113"/>
  <c r="E18" i="36"/>
  <c r="F18" i="36"/>
  <c r="G18" i="36"/>
  <c r="I1576" i="113"/>
  <c r="I18" i="36"/>
  <c r="J18" i="36"/>
  <c r="K18" i="36"/>
  <c r="J1576" i="113"/>
  <c r="K1576" i="113"/>
  <c r="N1576" i="113"/>
  <c r="N5" i="119"/>
  <c r="I1478" i="113"/>
  <c r="O5" i="119"/>
  <c r="J1478" i="113"/>
  <c r="K1478" i="113"/>
  <c r="N1478" i="113"/>
  <c r="N6" i="119"/>
  <c r="I1479" i="113"/>
  <c r="O6" i="119"/>
  <c r="J1479" i="113"/>
  <c r="K1479" i="113"/>
  <c r="N1479" i="113"/>
  <c r="N7" i="119"/>
  <c r="I1480" i="113"/>
  <c r="O7" i="119"/>
  <c r="J1480" i="113"/>
  <c r="K1480" i="113"/>
  <c r="N1480" i="113"/>
  <c r="N8" i="119"/>
  <c r="I1481" i="113"/>
  <c r="O8" i="119"/>
  <c r="J1481" i="113"/>
  <c r="K1481" i="113"/>
  <c r="N1481" i="113"/>
  <c r="N10" i="119"/>
  <c r="I1483" i="113"/>
  <c r="O10" i="119"/>
  <c r="J1483" i="113"/>
  <c r="K1483" i="113"/>
  <c r="N1483" i="113"/>
  <c r="N18" i="119"/>
  <c r="I1491" i="113"/>
  <c r="O18" i="119"/>
  <c r="J1491" i="113"/>
  <c r="K1491" i="113"/>
  <c r="N1491" i="113"/>
  <c r="N21" i="119"/>
  <c r="I1495" i="113"/>
  <c r="O21" i="119"/>
  <c r="J1495" i="113"/>
  <c r="K1495" i="113"/>
  <c r="N1495" i="113"/>
  <c r="N27" i="119"/>
  <c r="I1500" i="113"/>
  <c r="O27" i="119"/>
  <c r="J1500" i="113"/>
  <c r="K1500" i="113"/>
  <c r="N1500" i="113"/>
  <c r="N29" i="119"/>
  <c r="I1502" i="113"/>
  <c r="O29" i="119"/>
  <c r="J1502" i="113"/>
  <c r="K1502" i="113"/>
  <c r="N1502" i="113"/>
  <c r="N34" i="119"/>
  <c r="I1507" i="113"/>
  <c r="O34" i="119"/>
  <c r="J1507" i="113"/>
  <c r="K1507" i="113"/>
  <c r="N1507" i="113"/>
  <c r="N36" i="119"/>
  <c r="I1509" i="113"/>
  <c r="O36" i="119"/>
  <c r="J1509" i="113"/>
  <c r="K1509" i="113"/>
  <c r="N1509" i="113"/>
  <c r="N37" i="119"/>
  <c r="I1510" i="113"/>
  <c r="O37" i="119"/>
  <c r="J1510" i="113"/>
  <c r="K1510" i="113"/>
  <c r="N1510" i="113"/>
  <c r="N39" i="119"/>
  <c r="I1512" i="113"/>
  <c r="O39" i="119"/>
  <c r="J1512" i="113"/>
  <c r="K1512" i="113"/>
  <c r="N1512" i="113"/>
  <c r="M4" i="120"/>
  <c r="I1429" i="113"/>
  <c r="N4" i="120"/>
  <c r="J1429" i="113"/>
  <c r="K1429" i="113"/>
  <c r="N1429" i="113"/>
  <c r="M5" i="120"/>
  <c r="I1430" i="113"/>
  <c r="N5" i="120"/>
  <c r="J1430" i="113"/>
  <c r="K1430" i="113"/>
  <c r="N1430" i="113"/>
  <c r="M6" i="120"/>
  <c r="I1431" i="113"/>
  <c r="N6" i="120"/>
  <c r="J1431" i="113"/>
  <c r="K1431" i="113"/>
  <c r="N1431" i="113"/>
  <c r="M7" i="120"/>
  <c r="I1432" i="113"/>
  <c r="N7" i="120"/>
  <c r="J1432" i="113"/>
  <c r="K1432" i="113"/>
  <c r="N1432" i="113"/>
  <c r="M8" i="120"/>
  <c r="I1433" i="113"/>
  <c r="N8" i="120"/>
  <c r="J1433" i="113"/>
  <c r="K1433" i="113"/>
  <c r="N1433" i="113"/>
  <c r="M9" i="120"/>
  <c r="I1434" i="113"/>
  <c r="N9" i="120"/>
  <c r="J1434" i="113"/>
  <c r="K1434" i="113"/>
  <c r="N1434" i="113"/>
  <c r="M10" i="120"/>
  <c r="I1435" i="113"/>
  <c r="N10" i="120"/>
  <c r="J1435" i="113"/>
  <c r="K1435" i="113"/>
  <c r="N1435" i="113"/>
  <c r="M11" i="120"/>
  <c r="I1436" i="113"/>
  <c r="N11" i="120"/>
  <c r="J1436" i="113"/>
  <c r="K1436" i="113"/>
  <c r="N1436" i="113"/>
  <c r="M12" i="120"/>
  <c r="I1437" i="113"/>
  <c r="N12" i="120"/>
  <c r="J1437" i="113"/>
  <c r="K1437" i="113"/>
  <c r="N1437" i="113"/>
  <c r="M13" i="120"/>
  <c r="I1438" i="113"/>
  <c r="N13" i="120"/>
  <c r="J1438" i="113"/>
  <c r="K1438" i="113"/>
  <c r="N1438" i="113"/>
  <c r="M14" i="120"/>
  <c r="I1439" i="113"/>
  <c r="N14" i="120"/>
  <c r="J1439" i="113"/>
  <c r="K1439" i="113"/>
  <c r="N1439" i="113"/>
  <c r="M15" i="120"/>
  <c r="I1440" i="113"/>
  <c r="N15" i="120"/>
  <c r="J1440" i="113"/>
  <c r="K1440" i="113"/>
  <c r="N1440" i="113"/>
  <c r="M16" i="120"/>
  <c r="I1441" i="113"/>
  <c r="N16" i="120"/>
  <c r="J1441" i="113"/>
  <c r="K1441" i="113"/>
  <c r="N1441" i="113"/>
  <c r="M17" i="120"/>
  <c r="I1442" i="113"/>
  <c r="N17" i="120"/>
  <c r="J1442" i="113"/>
  <c r="K1442" i="113"/>
  <c r="N1442" i="113"/>
  <c r="M18" i="120"/>
  <c r="I1443" i="113"/>
  <c r="N18" i="120"/>
  <c r="J1443" i="113"/>
  <c r="K1443" i="113"/>
  <c r="N1443" i="113"/>
  <c r="M19" i="120"/>
  <c r="I1444" i="113"/>
  <c r="N19" i="120"/>
  <c r="J1444" i="113"/>
  <c r="K1444" i="113"/>
  <c r="N1444" i="113"/>
  <c r="M20" i="120"/>
  <c r="I1445" i="113"/>
  <c r="N20" i="120"/>
  <c r="J1445" i="113"/>
  <c r="K1445" i="113"/>
  <c r="N1445" i="113"/>
  <c r="M21" i="120"/>
  <c r="I1446" i="113"/>
  <c r="N21" i="120"/>
  <c r="J1446" i="113"/>
  <c r="K1446" i="113"/>
  <c r="N1446" i="113"/>
  <c r="M22" i="120"/>
  <c r="I1447" i="113"/>
  <c r="N22" i="120"/>
  <c r="J1447" i="113"/>
  <c r="K1447" i="113"/>
  <c r="N1447" i="113"/>
  <c r="M23" i="120"/>
  <c r="I1448" i="113"/>
  <c r="N23" i="120"/>
  <c r="J1448" i="113"/>
  <c r="K1448" i="113"/>
  <c r="N1448" i="113"/>
  <c r="M24" i="120"/>
  <c r="I1449" i="113"/>
  <c r="N24" i="120"/>
  <c r="J1449" i="113"/>
  <c r="K1449" i="113"/>
  <c r="N1449" i="113"/>
  <c r="M25" i="120"/>
  <c r="I1450" i="113"/>
  <c r="N25" i="120"/>
  <c r="J1450" i="113"/>
  <c r="K1450" i="113"/>
  <c r="N1450" i="113"/>
  <c r="M26" i="120"/>
  <c r="I1451" i="113"/>
  <c r="N26" i="120"/>
  <c r="J1451" i="113"/>
  <c r="K1451" i="113"/>
  <c r="N1451" i="113"/>
  <c r="M27" i="120"/>
  <c r="I1452" i="113"/>
  <c r="N27" i="120"/>
  <c r="J1452" i="113"/>
  <c r="K1452" i="113"/>
  <c r="N1452" i="113"/>
  <c r="M29" i="120"/>
  <c r="I1454" i="113"/>
  <c r="N29" i="120"/>
  <c r="J1454" i="113"/>
  <c r="K1454" i="113"/>
  <c r="N1454" i="113"/>
  <c r="E4" i="118"/>
  <c r="I1213" i="113"/>
  <c r="F4" i="118"/>
  <c r="J1213" i="113"/>
  <c r="K1213" i="113"/>
  <c r="N1213" i="113"/>
  <c r="E5" i="118"/>
  <c r="I1214" i="113"/>
  <c r="F5" i="118"/>
  <c r="J1214" i="113"/>
  <c r="K1214" i="113"/>
  <c r="N1214" i="113"/>
  <c r="E6" i="118"/>
  <c r="I1215" i="113"/>
  <c r="F6" i="118"/>
  <c r="J1215" i="113"/>
  <c r="K1215" i="113"/>
  <c r="N1215" i="113"/>
  <c r="E7" i="118"/>
  <c r="I1216" i="113"/>
  <c r="F7" i="118"/>
  <c r="J1216" i="113"/>
  <c r="K1216" i="113"/>
  <c r="N1216" i="113"/>
  <c r="E8" i="118"/>
  <c r="I1217" i="113"/>
  <c r="F8" i="118"/>
  <c r="J1217" i="113"/>
  <c r="K1217" i="113"/>
  <c r="N1217" i="113"/>
  <c r="E9" i="118"/>
  <c r="I1218" i="113"/>
  <c r="F9" i="118"/>
  <c r="J1218" i="113"/>
  <c r="K1218" i="113"/>
  <c r="N1218" i="113"/>
  <c r="E10" i="118"/>
  <c r="I1219" i="113"/>
  <c r="F10" i="118"/>
  <c r="J1219" i="113"/>
  <c r="K1219" i="113"/>
  <c r="N1219" i="113"/>
  <c r="E11" i="118"/>
  <c r="I1220" i="113"/>
  <c r="F11" i="118"/>
  <c r="J1220" i="113"/>
  <c r="K1220" i="113"/>
  <c r="N1220" i="113"/>
  <c r="E13" i="118"/>
  <c r="I1222" i="113"/>
  <c r="F13" i="118"/>
  <c r="J1222" i="113"/>
  <c r="K1222" i="113"/>
  <c r="N1222" i="113"/>
  <c r="E14" i="118"/>
  <c r="I1223" i="113"/>
  <c r="F14" i="118"/>
  <c r="J1223" i="113"/>
  <c r="K1223" i="113"/>
  <c r="N1223" i="113"/>
  <c r="E15" i="118"/>
  <c r="I1224" i="113"/>
  <c r="F15" i="118"/>
  <c r="J1224" i="113"/>
  <c r="K1224" i="113"/>
  <c r="N1224" i="113"/>
  <c r="E16" i="118"/>
  <c r="I1225" i="113"/>
  <c r="F16" i="118"/>
  <c r="J1225" i="113"/>
  <c r="K1225" i="113"/>
  <c r="N1225" i="113"/>
  <c r="E17" i="118"/>
  <c r="I1226" i="113"/>
  <c r="F17" i="118"/>
  <c r="J1226" i="113"/>
  <c r="K1226" i="113"/>
  <c r="N1226" i="113"/>
  <c r="E18" i="118"/>
  <c r="I1227" i="113"/>
  <c r="F18" i="118"/>
  <c r="J1227" i="113"/>
  <c r="K1227" i="113"/>
  <c r="N1227" i="113"/>
  <c r="E19" i="118"/>
  <c r="I1228" i="113"/>
  <c r="F19" i="118"/>
  <c r="J1228" i="113"/>
  <c r="K1228" i="113"/>
  <c r="N1228" i="113"/>
  <c r="E20" i="118"/>
  <c r="I1229" i="113"/>
  <c r="F20" i="118"/>
  <c r="J1229" i="113"/>
  <c r="K1229" i="113"/>
  <c r="N1229" i="113"/>
  <c r="E21" i="118"/>
  <c r="I1230" i="113"/>
  <c r="F21" i="118"/>
  <c r="J1230" i="113"/>
  <c r="K1230" i="113"/>
  <c r="N1230" i="113"/>
  <c r="E3" i="118"/>
  <c r="I1212" i="113"/>
  <c r="F3" i="118"/>
  <c r="J1212" i="113"/>
  <c r="K1212" i="113"/>
  <c r="N1212" i="113"/>
  <c r="J288" i="114"/>
  <c r="K1056" i="113"/>
  <c r="N1056" i="113"/>
  <c r="J299" i="114"/>
  <c r="K1067" i="113"/>
  <c r="N1067" i="113"/>
  <c r="J313" i="114"/>
  <c r="K1080" i="113"/>
  <c r="N1080" i="113"/>
  <c r="J315" i="114"/>
  <c r="K1082" i="113"/>
  <c r="N1082" i="113"/>
  <c r="J321" i="114"/>
  <c r="K1083" i="113"/>
  <c r="N1083" i="113"/>
  <c r="J322" i="114"/>
  <c r="K1086" i="113"/>
  <c r="N1086" i="113"/>
  <c r="J326" i="114"/>
  <c r="K1088" i="113"/>
  <c r="N1088" i="113"/>
  <c r="J330" i="114"/>
  <c r="K1090" i="113"/>
  <c r="N1090" i="113"/>
  <c r="J332" i="114"/>
  <c r="K1091" i="113"/>
  <c r="N1091" i="113"/>
  <c r="J335" i="114"/>
  <c r="K1093" i="113"/>
  <c r="N1093" i="113"/>
  <c r="J338" i="114"/>
  <c r="K1095" i="113"/>
  <c r="N1095" i="113"/>
  <c r="J342" i="114"/>
  <c r="K1097" i="113"/>
  <c r="N1097" i="113"/>
  <c r="J344" i="114"/>
  <c r="K1099" i="113"/>
  <c r="N1099" i="113"/>
  <c r="J346" i="114"/>
  <c r="K1101" i="113"/>
  <c r="N1101" i="113"/>
  <c r="J349" i="114"/>
  <c r="K1103" i="113"/>
  <c r="N1103" i="113"/>
  <c r="J355" i="114"/>
  <c r="K1108" i="113"/>
  <c r="N1108" i="113"/>
  <c r="J359" i="114"/>
  <c r="K1110" i="113"/>
  <c r="N1110" i="113"/>
  <c r="J364" i="114"/>
  <c r="K1112" i="113"/>
  <c r="N1112" i="113"/>
  <c r="J366" i="114"/>
  <c r="K1113" i="113"/>
  <c r="N1113" i="113"/>
  <c r="J110" i="114"/>
  <c r="K976" i="113"/>
  <c r="N976" i="113"/>
  <c r="J111" i="114"/>
  <c r="K977" i="113"/>
  <c r="N977" i="113"/>
  <c r="J116" i="114"/>
  <c r="K982" i="113"/>
  <c r="N982" i="113"/>
  <c r="J117" i="114"/>
  <c r="K983" i="113"/>
  <c r="N983" i="113"/>
  <c r="J120" i="114"/>
  <c r="K986" i="113"/>
  <c r="N986" i="113"/>
  <c r="J121" i="114"/>
  <c r="K987" i="113"/>
  <c r="N987" i="113"/>
  <c r="J122" i="114"/>
  <c r="K988" i="113"/>
  <c r="N988" i="113"/>
  <c r="J123" i="114"/>
  <c r="K989" i="113"/>
  <c r="N989" i="113"/>
  <c r="J124" i="114"/>
  <c r="K990" i="113"/>
  <c r="N990" i="113"/>
  <c r="J128" i="114"/>
  <c r="K994" i="113"/>
  <c r="N994" i="113"/>
  <c r="J129" i="114"/>
  <c r="K995" i="113"/>
  <c r="N995" i="113"/>
  <c r="J132" i="114"/>
  <c r="K998" i="113"/>
  <c r="N998" i="113"/>
  <c r="J134" i="114"/>
  <c r="K1000" i="113"/>
  <c r="N1000" i="113"/>
  <c r="J138" i="114"/>
  <c r="K1004" i="113"/>
  <c r="N1004" i="113"/>
  <c r="J139" i="114"/>
  <c r="K1005" i="113"/>
  <c r="N1005" i="113"/>
  <c r="J142" i="114"/>
  <c r="K1008" i="113"/>
  <c r="N1008" i="113"/>
  <c r="J144" i="114"/>
  <c r="K1010" i="113"/>
  <c r="N1010" i="113"/>
  <c r="J145" i="114"/>
  <c r="K1011" i="113"/>
  <c r="N1011" i="113"/>
  <c r="J146" i="114"/>
  <c r="K1012" i="113"/>
  <c r="N1012" i="113"/>
  <c r="J149" i="114"/>
  <c r="K1015" i="113"/>
  <c r="N1015" i="113"/>
  <c r="J150" i="114"/>
  <c r="K1016" i="113"/>
  <c r="N1016" i="113"/>
  <c r="J153" i="114"/>
  <c r="K1019" i="113"/>
  <c r="N1019" i="113"/>
  <c r="J154" i="114"/>
  <c r="K1020" i="113"/>
  <c r="N1020" i="113"/>
  <c r="J157" i="114"/>
  <c r="K1023" i="113"/>
  <c r="N1023" i="113"/>
  <c r="J159" i="114"/>
  <c r="K1025" i="113"/>
  <c r="N1025" i="113"/>
  <c r="J160" i="114"/>
  <c r="K1026" i="113"/>
  <c r="N1026" i="113"/>
  <c r="J161" i="114"/>
  <c r="K1027" i="113"/>
  <c r="N1027" i="113"/>
  <c r="J162" i="114"/>
  <c r="K1028" i="113"/>
  <c r="N1028" i="113"/>
  <c r="J165" i="114"/>
  <c r="K1031" i="113"/>
  <c r="N1031" i="113"/>
  <c r="J166" i="114"/>
  <c r="K1032" i="113"/>
  <c r="N1032" i="113"/>
  <c r="J167" i="114"/>
  <c r="K1033" i="113"/>
  <c r="N1033" i="113"/>
  <c r="J169" i="114"/>
  <c r="K1035" i="113"/>
  <c r="N1035" i="113"/>
  <c r="J170" i="114"/>
  <c r="K1036" i="113"/>
  <c r="N1036" i="113"/>
  <c r="J173" i="114"/>
  <c r="K1039" i="113"/>
  <c r="N1039" i="113"/>
  <c r="J174" i="114"/>
  <c r="K1040" i="113"/>
  <c r="N1040" i="113"/>
  <c r="J176" i="114"/>
  <c r="K1042" i="113"/>
  <c r="N1042" i="113"/>
  <c r="J177" i="114"/>
  <c r="K1043" i="113"/>
  <c r="N1043" i="113"/>
  <c r="J179" i="114"/>
  <c r="K1045" i="113"/>
  <c r="N1045" i="113"/>
  <c r="J180" i="114"/>
  <c r="K1046" i="113"/>
  <c r="N1046" i="113"/>
  <c r="J182" i="114"/>
  <c r="K1048" i="113"/>
  <c r="N1048" i="113"/>
  <c r="J183" i="114"/>
  <c r="K1049" i="113"/>
  <c r="N1049" i="113"/>
  <c r="J105" i="114"/>
  <c r="K971" i="113"/>
  <c r="N971" i="113"/>
  <c r="J106" i="114"/>
  <c r="K972" i="113"/>
  <c r="N972" i="113"/>
  <c r="G34" i="87"/>
  <c r="H34" i="87"/>
  <c r="L671" i="113"/>
  <c r="J34" i="87"/>
  <c r="K34" i="87"/>
  <c r="J671" i="113"/>
  <c r="N671" i="113"/>
  <c r="Q6" i="37"/>
  <c r="R6" i="37"/>
  <c r="L601" i="113"/>
  <c r="N6" i="37"/>
  <c r="J601" i="113"/>
  <c r="N601" i="113"/>
  <c r="Q7" i="37"/>
  <c r="R7" i="37"/>
  <c r="L602" i="113"/>
  <c r="N7" i="37"/>
  <c r="J602" i="113"/>
  <c r="N602" i="113"/>
  <c r="Q8" i="37"/>
  <c r="R8" i="37"/>
  <c r="L603" i="113"/>
  <c r="N8" i="37"/>
  <c r="J603" i="113"/>
  <c r="N603" i="113"/>
  <c r="Q9" i="37"/>
  <c r="R9" i="37"/>
  <c r="L604" i="113"/>
  <c r="N604" i="113"/>
  <c r="Q10" i="37"/>
  <c r="R10" i="37"/>
  <c r="L605" i="113"/>
  <c r="N605" i="113"/>
  <c r="G8" i="37"/>
  <c r="L608" i="113"/>
  <c r="D8" i="37"/>
  <c r="E8" i="37"/>
  <c r="J608" i="113"/>
  <c r="N608" i="113"/>
  <c r="G9" i="37"/>
  <c r="L609" i="113"/>
  <c r="D9" i="37"/>
  <c r="E9" i="37"/>
  <c r="J609" i="113"/>
  <c r="N609" i="113"/>
  <c r="G10" i="37"/>
  <c r="L610" i="113"/>
  <c r="D10" i="37"/>
  <c r="E10" i="37"/>
  <c r="J610" i="113"/>
  <c r="N610" i="113"/>
  <c r="G11" i="37"/>
  <c r="L611" i="113"/>
  <c r="D11" i="37"/>
  <c r="E11" i="37"/>
  <c r="J611" i="113"/>
  <c r="N611" i="113"/>
  <c r="G12" i="37"/>
  <c r="L612" i="113"/>
  <c r="D12" i="37"/>
  <c r="E12" i="37"/>
  <c r="J612" i="113"/>
  <c r="N612" i="113"/>
  <c r="G13" i="37"/>
  <c r="L613" i="113"/>
  <c r="D13" i="37"/>
  <c r="E13" i="37"/>
  <c r="J613" i="113"/>
  <c r="N613" i="113"/>
  <c r="G14" i="37"/>
  <c r="L614" i="113"/>
  <c r="D14" i="37"/>
  <c r="E14" i="37"/>
  <c r="J614" i="113"/>
  <c r="N614" i="113"/>
  <c r="G15" i="37"/>
  <c r="L615" i="113"/>
  <c r="D15" i="37"/>
  <c r="E15" i="37"/>
  <c r="J615" i="113"/>
  <c r="N615" i="113"/>
  <c r="G16" i="37"/>
  <c r="L616" i="113"/>
  <c r="D16" i="37"/>
  <c r="E16" i="37"/>
  <c r="J616" i="113"/>
  <c r="N616" i="113"/>
  <c r="G17" i="37"/>
  <c r="L617" i="113"/>
  <c r="D17" i="37"/>
  <c r="E17" i="37"/>
  <c r="J617" i="113"/>
  <c r="N617" i="113"/>
  <c r="G20" i="37"/>
  <c r="L620" i="113"/>
  <c r="D20" i="37"/>
  <c r="E20" i="37"/>
  <c r="J620" i="113"/>
  <c r="N620" i="113"/>
  <c r="G45" i="87"/>
  <c r="H45" i="87"/>
  <c r="L623" i="113"/>
  <c r="J45" i="87"/>
  <c r="K45" i="87"/>
  <c r="J623" i="113"/>
  <c r="N623" i="113"/>
  <c r="G46" i="87"/>
  <c r="H46" i="87"/>
  <c r="L624" i="113"/>
  <c r="J46" i="87"/>
  <c r="K46" i="87"/>
  <c r="J624" i="113"/>
  <c r="N624" i="113"/>
  <c r="G47" i="87"/>
  <c r="H47" i="87"/>
  <c r="L625" i="113"/>
  <c r="J47" i="87"/>
  <c r="K47" i="87"/>
  <c r="J625" i="113"/>
  <c r="N625" i="113"/>
  <c r="G48" i="87"/>
  <c r="H48" i="87"/>
  <c r="L626" i="113"/>
  <c r="J48" i="87"/>
  <c r="K48" i="87"/>
  <c r="J626" i="113"/>
  <c r="N626" i="113"/>
  <c r="G49" i="87"/>
  <c r="H49" i="87"/>
  <c r="L627" i="113"/>
  <c r="N627" i="113"/>
  <c r="G51" i="87"/>
  <c r="H51" i="87"/>
  <c r="L629" i="113"/>
  <c r="J51" i="87"/>
  <c r="K51" i="87"/>
  <c r="J629" i="113"/>
  <c r="N629" i="113"/>
  <c r="G52" i="87"/>
  <c r="H52" i="87"/>
  <c r="L630" i="113"/>
  <c r="N630" i="113"/>
  <c r="G53" i="87"/>
  <c r="H53" i="87"/>
  <c r="L631" i="113"/>
  <c r="N631" i="113"/>
  <c r="G54" i="87"/>
  <c r="H54" i="87"/>
  <c r="L632" i="113"/>
  <c r="N632" i="113"/>
  <c r="G55" i="87"/>
  <c r="H55" i="87"/>
  <c r="L633" i="113"/>
  <c r="N633" i="113"/>
  <c r="G56" i="87"/>
  <c r="H56" i="87"/>
  <c r="L634" i="113"/>
  <c r="N634" i="113"/>
  <c r="G61" i="87"/>
  <c r="H61" i="87"/>
  <c r="L635" i="113"/>
  <c r="J61" i="87"/>
  <c r="K61" i="87"/>
  <c r="J635" i="113"/>
  <c r="N635" i="113"/>
  <c r="G62" i="87"/>
  <c r="H62" i="87"/>
  <c r="L636" i="113"/>
  <c r="J63" i="87"/>
  <c r="K63" i="87"/>
  <c r="J636" i="113"/>
  <c r="N636" i="113"/>
  <c r="G63" i="87"/>
  <c r="H63" i="87"/>
  <c r="L637" i="113"/>
  <c r="J62" i="87"/>
  <c r="K62" i="87"/>
  <c r="J637" i="113"/>
  <c r="N637" i="113"/>
  <c r="G64" i="87"/>
  <c r="H64" i="87"/>
  <c r="L638" i="113"/>
  <c r="J64" i="87"/>
  <c r="K64" i="87"/>
  <c r="J638" i="113"/>
  <c r="N638" i="113"/>
  <c r="G65" i="87"/>
  <c r="H65" i="87"/>
  <c r="L639" i="113"/>
  <c r="J65" i="87"/>
  <c r="K65" i="87"/>
  <c r="J639" i="113"/>
  <c r="N639" i="113"/>
  <c r="G66" i="87"/>
  <c r="H66" i="87"/>
  <c r="L640" i="113"/>
  <c r="N640" i="113"/>
  <c r="G69" i="87"/>
  <c r="H69" i="87"/>
  <c r="L643" i="113"/>
  <c r="N643" i="113"/>
  <c r="G70" i="87"/>
  <c r="H70" i="87"/>
  <c r="L644" i="113"/>
  <c r="N644" i="113"/>
  <c r="G6" i="87"/>
  <c r="H6" i="87"/>
  <c r="L646" i="113"/>
  <c r="J6" i="87"/>
  <c r="K6" i="87"/>
  <c r="J646" i="113"/>
  <c r="N646" i="113"/>
  <c r="G8" i="87"/>
  <c r="H8" i="87"/>
  <c r="L648" i="113"/>
  <c r="J8" i="87"/>
  <c r="K8" i="87"/>
  <c r="J648" i="113"/>
  <c r="N648" i="113"/>
  <c r="G16" i="87"/>
  <c r="H16" i="87"/>
  <c r="L656" i="113"/>
  <c r="N656" i="113"/>
  <c r="G17" i="87"/>
  <c r="H17" i="87"/>
  <c r="L657" i="113"/>
  <c r="N657" i="113"/>
  <c r="G18" i="87"/>
  <c r="H18" i="87"/>
  <c r="L658" i="113"/>
  <c r="N658" i="113"/>
  <c r="G19" i="87"/>
  <c r="H19" i="87"/>
  <c r="L659" i="113"/>
  <c r="N659" i="113"/>
  <c r="G20" i="87"/>
  <c r="H20" i="87"/>
  <c r="L660" i="113"/>
  <c r="N660" i="113"/>
  <c r="G25" i="87"/>
  <c r="H25" i="87"/>
  <c r="L662" i="113"/>
  <c r="J25" i="87"/>
  <c r="K25" i="87"/>
  <c r="J662" i="113"/>
  <c r="N662" i="113"/>
  <c r="G26" i="87"/>
  <c r="H26" i="87"/>
  <c r="L663" i="113"/>
  <c r="J26" i="87"/>
  <c r="K26" i="87"/>
  <c r="J663" i="113"/>
  <c r="N663" i="113"/>
  <c r="I6" i="38"/>
  <c r="J6" i="38"/>
  <c r="L596" i="113"/>
  <c r="F6" i="38"/>
  <c r="G6" i="38"/>
  <c r="J596" i="113"/>
  <c r="N596" i="113"/>
  <c r="I7" i="38"/>
  <c r="J7" i="38"/>
  <c r="L597" i="113"/>
  <c r="F7" i="38"/>
  <c r="G7" i="38"/>
  <c r="J597" i="113"/>
  <c r="N597" i="113"/>
  <c r="I8" i="38"/>
  <c r="J8" i="38"/>
  <c r="L598" i="113"/>
  <c r="F8" i="38"/>
  <c r="G8" i="38"/>
  <c r="J598" i="113"/>
  <c r="N598" i="113"/>
  <c r="I9" i="38"/>
  <c r="J9" i="38"/>
  <c r="L599" i="113"/>
  <c r="F9" i="38"/>
  <c r="G9" i="38"/>
  <c r="J599" i="113"/>
  <c r="N599" i="113"/>
  <c r="I10" i="38"/>
  <c r="J10" i="38"/>
  <c r="L600" i="113"/>
  <c r="F10" i="38"/>
  <c r="G10" i="38"/>
  <c r="J600" i="113"/>
  <c r="N600" i="113"/>
  <c r="G15" i="138"/>
  <c r="I255" i="113"/>
  <c r="H15" i="138"/>
  <c r="J255" i="113"/>
  <c r="K255" i="113"/>
  <c r="N255" i="113"/>
  <c r="G16" i="138"/>
  <c r="I256" i="113"/>
  <c r="H16" i="138"/>
  <c r="J256" i="113"/>
  <c r="K256" i="113"/>
  <c r="N256" i="113"/>
  <c r="G17" i="138"/>
  <c r="I257" i="113"/>
  <c r="H17" i="138"/>
  <c r="J257" i="113"/>
  <c r="K257" i="113"/>
  <c r="N257" i="113"/>
  <c r="G18" i="138"/>
  <c r="I258" i="113"/>
  <c r="H18" i="138"/>
  <c r="J258" i="113"/>
  <c r="K258" i="113"/>
  <c r="N258" i="113"/>
  <c r="G19" i="138"/>
  <c r="I259" i="113"/>
  <c r="H19" i="138"/>
  <c r="J259" i="113"/>
  <c r="K259" i="113"/>
  <c r="N259" i="113"/>
  <c r="G5" i="138"/>
  <c r="I260" i="113"/>
  <c r="H5" i="138"/>
  <c r="J260" i="113"/>
  <c r="K260" i="113"/>
  <c r="N260" i="113"/>
  <c r="G6" i="138"/>
  <c r="I261" i="113"/>
  <c r="H6" i="138"/>
  <c r="J261" i="113"/>
  <c r="K261" i="113"/>
  <c r="N261" i="113"/>
  <c r="G7" i="138"/>
  <c r="I262" i="113"/>
  <c r="K262" i="113"/>
  <c r="N262" i="113"/>
  <c r="G8" i="138"/>
  <c r="I263" i="113"/>
  <c r="H8" i="138"/>
  <c r="J263" i="113"/>
  <c r="K263" i="113"/>
  <c r="N263" i="113"/>
  <c r="G9" i="138"/>
  <c r="I264" i="113"/>
  <c r="H9" i="138"/>
  <c r="J264" i="113"/>
  <c r="K264" i="113"/>
  <c r="N264" i="113"/>
  <c r="G10" i="138"/>
  <c r="I265" i="113"/>
  <c r="H10" i="138"/>
  <c r="J265" i="113"/>
  <c r="K265" i="113"/>
  <c r="N265" i="113"/>
  <c r="G11" i="138"/>
  <c r="I266" i="113"/>
  <c r="H11" i="138"/>
  <c r="J266" i="113"/>
  <c r="K266" i="113"/>
  <c r="N266" i="113"/>
  <c r="G12" i="138"/>
  <c r="I267" i="113"/>
  <c r="H12" i="138"/>
  <c r="J267" i="113"/>
  <c r="K267" i="113"/>
  <c r="N267" i="113"/>
  <c r="G13" i="138"/>
  <c r="I268" i="113"/>
  <c r="H13" i="138"/>
  <c r="J268" i="113"/>
  <c r="K268" i="113"/>
  <c r="N268" i="113"/>
  <c r="G14" i="138"/>
  <c r="I254" i="113"/>
  <c r="H14" i="138"/>
  <c r="J254" i="113"/>
  <c r="K254" i="113"/>
  <c r="N254" i="113"/>
  <c r="X9" i="117"/>
  <c r="N192" i="113"/>
  <c r="X10" i="117"/>
  <c r="N193" i="113"/>
  <c r="X11" i="117"/>
  <c r="N194" i="113"/>
  <c r="X12" i="117"/>
  <c r="N195" i="113"/>
  <c r="X13" i="117"/>
  <c r="N196" i="113"/>
  <c r="X7" i="117"/>
  <c r="N190" i="113"/>
  <c r="X8" i="117"/>
  <c r="N191" i="113"/>
  <c r="X6" i="117"/>
  <c r="N189" i="113"/>
  <c r="AF8" i="117"/>
  <c r="N199" i="113"/>
  <c r="AF9" i="117"/>
  <c r="N200" i="113"/>
  <c r="AF10" i="117"/>
  <c r="N201" i="113"/>
  <c r="AF11" i="117"/>
  <c r="N202" i="113"/>
  <c r="AF12" i="117"/>
  <c r="N203" i="113"/>
  <c r="AF13" i="117"/>
  <c r="N204" i="113"/>
  <c r="AF14" i="117"/>
  <c r="N205" i="113"/>
  <c r="AF15" i="117"/>
  <c r="N206" i="113"/>
  <c r="AF16" i="117"/>
  <c r="N207" i="113"/>
  <c r="AF17" i="117"/>
  <c r="N208" i="113"/>
  <c r="AF18" i="117"/>
  <c r="N209" i="113"/>
  <c r="AF7" i="117"/>
  <c r="N198" i="113"/>
  <c r="AF6" i="117"/>
  <c r="N197" i="113"/>
  <c r="P7" i="117"/>
  <c r="N167" i="113"/>
  <c r="P8" i="117"/>
  <c r="N168" i="113"/>
  <c r="P9" i="117"/>
  <c r="N169" i="113"/>
  <c r="P10" i="117"/>
  <c r="N170" i="113"/>
  <c r="P11" i="117"/>
  <c r="N171" i="113"/>
  <c r="P12" i="117"/>
  <c r="N172" i="113"/>
  <c r="P13" i="117"/>
  <c r="N173" i="113"/>
  <c r="P14" i="117"/>
  <c r="N174" i="113"/>
  <c r="P15" i="117"/>
  <c r="N175" i="113"/>
  <c r="P16" i="117"/>
  <c r="N176" i="113"/>
  <c r="P17" i="117"/>
  <c r="N177" i="113"/>
  <c r="P18" i="117"/>
  <c r="N178" i="113"/>
  <c r="P19" i="117"/>
  <c r="N179" i="113"/>
  <c r="P20" i="117"/>
  <c r="N180" i="113"/>
  <c r="P21" i="117"/>
  <c r="N181" i="113"/>
  <c r="P22" i="117"/>
  <c r="N182" i="113"/>
  <c r="P23" i="117"/>
  <c r="N183" i="113"/>
  <c r="P24" i="117"/>
  <c r="N184" i="113"/>
  <c r="P25" i="117"/>
  <c r="N185" i="113"/>
  <c r="P26" i="117"/>
  <c r="N186" i="113"/>
  <c r="P27" i="117"/>
  <c r="N187" i="113"/>
  <c r="P28" i="117"/>
  <c r="N188" i="113"/>
  <c r="P6" i="117"/>
  <c r="N166" i="113"/>
  <c r="H7" i="117"/>
  <c r="N150" i="113"/>
  <c r="H8" i="117"/>
  <c r="N151" i="113"/>
  <c r="H9" i="117"/>
  <c r="N152" i="113"/>
  <c r="H10" i="117"/>
  <c r="N153" i="113"/>
  <c r="H11" i="117"/>
  <c r="N154" i="113"/>
  <c r="H12" i="117"/>
  <c r="N155" i="113"/>
  <c r="H13" i="117"/>
  <c r="N156" i="113"/>
  <c r="H14" i="117"/>
  <c r="N157" i="113"/>
  <c r="H15" i="117"/>
  <c r="N158" i="113"/>
  <c r="H16" i="117"/>
  <c r="N159" i="113"/>
  <c r="H17" i="117"/>
  <c r="N160" i="113"/>
  <c r="H18" i="117"/>
  <c r="N161" i="113"/>
  <c r="H19" i="117"/>
  <c r="N162" i="113"/>
  <c r="H20" i="117"/>
  <c r="N163" i="113"/>
  <c r="H21" i="117"/>
  <c r="N164" i="113"/>
  <c r="H22" i="117"/>
  <c r="N165" i="113"/>
  <c r="H6" i="117"/>
  <c r="N149" i="113"/>
  <c r="G7" i="34"/>
  <c r="H7" i="34"/>
  <c r="I108" i="113"/>
  <c r="D7" i="34"/>
  <c r="E7" i="34"/>
  <c r="J108" i="113"/>
  <c r="K108" i="113"/>
  <c r="N108" i="113"/>
  <c r="G11" i="34"/>
  <c r="H11" i="34"/>
  <c r="I111" i="113"/>
  <c r="D11" i="34"/>
  <c r="E11" i="34"/>
  <c r="J111" i="113"/>
  <c r="K111" i="113"/>
  <c r="N111" i="113"/>
  <c r="G12" i="34"/>
  <c r="H12" i="34"/>
  <c r="I113" i="113"/>
  <c r="D12" i="34"/>
  <c r="E12" i="34"/>
  <c r="J113" i="113"/>
  <c r="K113" i="113"/>
  <c r="N113" i="113"/>
  <c r="G15" i="34"/>
  <c r="H15" i="34"/>
  <c r="I116" i="113"/>
  <c r="D15" i="34"/>
  <c r="E15" i="34"/>
  <c r="J116" i="113"/>
  <c r="K116" i="113"/>
  <c r="N116" i="113"/>
  <c r="G18" i="34"/>
  <c r="H18" i="34"/>
  <c r="I119" i="113"/>
  <c r="D18" i="34"/>
  <c r="E18" i="34"/>
  <c r="J119" i="113"/>
  <c r="K119" i="113"/>
  <c r="N119" i="113"/>
  <c r="G20" i="34"/>
  <c r="H20" i="34"/>
  <c r="I121" i="113"/>
  <c r="D20" i="34"/>
  <c r="E20" i="34"/>
  <c r="J121" i="113"/>
  <c r="K121" i="113"/>
  <c r="N121" i="113"/>
  <c r="G21" i="34"/>
  <c r="H21" i="34"/>
  <c r="I122" i="113"/>
  <c r="D21" i="34"/>
  <c r="E21" i="34"/>
  <c r="J122" i="113"/>
  <c r="K122" i="113"/>
  <c r="N122" i="113"/>
  <c r="G22" i="34"/>
  <c r="H22" i="34"/>
  <c r="I123" i="113"/>
  <c r="D22" i="34"/>
  <c r="E22" i="34"/>
  <c r="J123" i="113"/>
  <c r="K123" i="113"/>
  <c r="N123" i="113"/>
  <c r="G23" i="34"/>
  <c r="H23" i="34"/>
  <c r="I124" i="113"/>
  <c r="D23" i="34"/>
  <c r="E23" i="34"/>
  <c r="J124" i="113"/>
  <c r="K124" i="113"/>
  <c r="N124" i="113"/>
  <c r="G24" i="34"/>
  <c r="H24" i="34"/>
  <c r="I125" i="113"/>
  <c r="D24" i="34"/>
  <c r="E24" i="34"/>
  <c r="J125" i="113"/>
  <c r="K125" i="113"/>
  <c r="N125" i="113"/>
  <c r="G25" i="34"/>
  <c r="H25" i="34"/>
  <c r="I126" i="113"/>
  <c r="D25" i="34"/>
  <c r="E25" i="34"/>
  <c r="J126" i="113"/>
  <c r="K126" i="113"/>
  <c r="N126" i="113"/>
  <c r="G26" i="34"/>
  <c r="H26" i="34"/>
  <c r="I127" i="113"/>
  <c r="D26" i="34"/>
  <c r="E26" i="34"/>
  <c r="J127" i="113"/>
  <c r="K127" i="113"/>
  <c r="N127" i="113"/>
  <c r="G28" i="34"/>
  <c r="H28" i="34"/>
  <c r="I129" i="113"/>
  <c r="D28" i="34"/>
  <c r="E28" i="34"/>
  <c r="J129" i="113"/>
  <c r="K129" i="113"/>
  <c r="N129" i="113"/>
  <c r="G30" i="34"/>
  <c r="H30" i="34"/>
  <c r="I131" i="113"/>
  <c r="D30" i="34"/>
  <c r="E30" i="34"/>
  <c r="J131" i="113"/>
  <c r="K131" i="113"/>
  <c r="N131" i="113"/>
  <c r="G32" i="34"/>
  <c r="H32" i="34"/>
  <c r="I133" i="113"/>
  <c r="D32" i="34"/>
  <c r="E32" i="34"/>
  <c r="J133" i="113"/>
  <c r="K133" i="113"/>
  <c r="N133" i="113"/>
  <c r="G7" i="40"/>
  <c r="D101" i="113"/>
  <c r="H7" i="40"/>
  <c r="E101" i="113"/>
  <c r="I7" i="40"/>
  <c r="F101" i="113"/>
  <c r="G101" i="113"/>
  <c r="H101" i="113"/>
  <c r="D102" i="113"/>
  <c r="H8" i="40"/>
  <c r="E102" i="113"/>
  <c r="I8" i="40"/>
  <c r="F102" i="113"/>
  <c r="G102" i="113"/>
  <c r="H102" i="113"/>
  <c r="G10" i="40"/>
  <c r="D103" i="113"/>
  <c r="H10" i="40"/>
  <c r="E103" i="113"/>
  <c r="I10" i="40"/>
  <c r="F103" i="113"/>
  <c r="G103" i="113"/>
  <c r="H103" i="113"/>
  <c r="G9" i="40"/>
  <c r="D104" i="113"/>
  <c r="H9" i="40"/>
  <c r="E104" i="113"/>
  <c r="I9" i="40"/>
  <c r="F104" i="113"/>
  <c r="G104" i="113"/>
  <c r="H104" i="113"/>
  <c r="G8" i="132"/>
  <c r="D321" i="113"/>
  <c r="J8" i="132"/>
  <c r="E321" i="113"/>
  <c r="G321" i="113"/>
  <c r="H321" i="113"/>
  <c r="G9" i="132"/>
  <c r="D322" i="113"/>
  <c r="J9" i="132"/>
  <c r="E322" i="113"/>
  <c r="G322" i="113"/>
  <c r="H322" i="113"/>
  <c r="G10" i="132"/>
  <c r="D323" i="113"/>
  <c r="J10" i="132"/>
  <c r="E323" i="113"/>
  <c r="G323" i="113"/>
  <c r="H323" i="113"/>
  <c r="G11" i="132"/>
  <c r="D324" i="113"/>
  <c r="J11" i="132"/>
  <c r="E324" i="113"/>
  <c r="K11" i="132"/>
  <c r="F324" i="113"/>
  <c r="G324" i="113"/>
  <c r="H324" i="113"/>
  <c r="G15" i="132"/>
  <c r="D325" i="113"/>
  <c r="J15" i="132"/>
  <c r="E325" i="113"/>
  <c r="K15" i="132"/>
  <c r="F325" i="113"/>
  <c r="G325" i="113"/>
  <c r="H325" i="113"/>
  <c r="G17" i="132"/>
  <c r="D326" i="113"/>
  <c r="J17" i="132"/>
  <c r="E326" i="113"/>
  <c r="K17" i="132"/>
  <c r="F326" i="113"/>
  <c r="G326" i="113"/>
  <c r="H326" i="113"/>
  <c r="G18" i="132"/>
  <c r="D327" i="113"/>
  <c r="J18" i="132"/>
  <c r="E327" i="113"/>
  <c r="K18" i="132"/>
  <c r="F327" i="113"/>
  <c r="G327" i="113"/>
  <c r="H327" i="113"/>
  <c r="G12" i="132"/>
  <c r="D328" i="113"/>
  <c r="J12" i="132"/>
  <c r="E328" i="113"/>
  <c r="K12" i="132"/>
  <c r="F328" i="113"/>
  <c r="G328" i="113"/>
  <c r="H328" i="113"/>
  <c r="G13" i="132"/>
  <c r="D329" i="113"/>
  <c r="J13" i="132"/>
  <c r="E329" i="113"/>
  <c r="K13" i="132"/>
  <c r="F329" i="113"/>
  <c r="G329" i="113"/>
  <c r="H329" i="113"/>
  <c r="G19" i="132"/>
  <c r="D330" i="113"/>
  <c r="J19" i="132"/>
  <c r="E330" i="113"/>
  <c r="K19" i="132"/>
  <c r="F330" i="113"/>
  <c r="G330" i="113"/>
  <c r="H330" i="113"/>
  <c r="G16" i="132"/>
  <c r="D331" i="113"/>
  <c r="J16" i="132"/>
  <c r="E331" i="113"/>
  <c r="K16" i="132"/>
  <c r="F331" i="113"/>
  <c r="G331" i="113"/>
  <c r="H331" i="113"/>
  <c r="G14" i="132"/>
  <c r="D333" i="113"/>
  <c r="J14" i="132"/>
  <c r="E333" i="113"/>
  <c r="K14" i="132"/>
  <c r="F333" i="113"/>
  <c r="G333" i="113"/>
  <c r="H333" i="113"/>
  <c r="G20" i="132"/>
  <c r="D332" i="113"/>
  <c r="J20" i="132"/>
  <c r="E332" i="113"/>
  <c r="K20" i="132"/>
  <c r="F332" i="113"/>
  <c r="G332" i="113"/>
  <c r="H332" i="113"/>
  <c r="N27" i="61"/>
  <c r="D469" i="113"/>
  <c r="J27" i="61"/>
  <c r="K27" i="61"/>
  <c r="O27" i="61"/>
  <c r="E469" i="113"/>
  <c r="L27" i="61"/>
  <c r="E27" i="61"/>
  <c r="F27" i="61"/>
  <c r="M27" i="61"/>
  <c r="P27" i="61"/>
  <c r="F469" i="113"/>
  <c r="G469" i="113"/>
  <c r="H469" i="113"/>
  <c r="N26" i="61"/>
  <c r="D468" i="113"/>
  <c r="J26" i="61"/>
  <c r="K26" i="61"/>
  <c r="O26" i="61"/>
  <c r="E468" i="113"/>
  <c r="L26" i="61"/>
  <c r="E26" i="61"/>
  <c r="F26" i="61"/>
  <c r="M26" i="61"/>
  <c r="P26" i="61"/>
  <c r="F468" i="113"/>
  <c r="G468" i="113"/>
  <c r="H468" i="113"/>
  <c r="N28" i="61"/>
  <c r="D467" i="113"/>
  <c r="J28" i="61"/>
  <c r="K28" i="61"/>
  <c r="O28" i="61"/>
  <c r="E467" i="113"/>
  <c r="L28" i="61"/>
  <c r="E28" i="61"/>
  <c r="F28" i="61"/>
  <c r="M28" i="61"/>
  <c r="P28" i="61"/>
  <c r="F467" i="113"/>
  <c r="G467" i="113"/>
  <c r="H467" i="113"/>
  <c r="N17" i="61"/>
  <c r="D472" i="113"/>
  <c r="J17" i="61"/>
  <c r="K17" i="61"/>
  <c r="O17" i="61"/>
  <c r="E472" i="113"/>
  <c r="L17" i="61"/>
  <c r="E17" i="61"/>
  <c r="F17" i="61"/>
  <c r="M17" i="61"/>
  <c r="P17" i="61"/>
  <c r="F472" i="113"/>
  <c r="G472" i="113"/>
  <c r="H472" i="113"/>
  <c r="N18" i="61"/>
  <c r="D470" i="113"/>
  <c r="O18" i="61"/>
  <c r="E470" i="113"/>
  <c r="E18" i="61"/>
  <c r="F18" i="61"/>
  <c r="M18" i="61"/>
  <c r="P18" i="61"/>
  <c r="F470" i="113"/>
  <c r="G470" i="113"/>
  <c r="H470" i="113"/>
  <c r="N19" i="61"/>
  <c r="D471" i="113"/>
  <c r="J19" i="61"/>
  <c r="K19" i="61"/>
  <c r="O19" i="61"/>
  <c r="E471" i="113"/>
  <c r="E19" i="61"/>
  <c r="F19" i="61"/>
  <c r="M19" i="61"/>
  <c r="P19" i="61"/>
  <c r="F471" i="113"/>
  <c r="G471" i="113"/>
  <c r="H471" i="113"/>
  <c r="N34" i="61"/>
  <c r="D474" i="113"/>
  <c r="J34" i="61"/>
  <c r="K34" i="61"/>
  <c r="O34" i="61"/>
  <c r="E474" i="113"/>
  <c r="L34" i="61"/>
  <c r="E34" i="61"/>
  <c r="F34" i="61"/>
  <c r="M34" i="61"/>
  <c r="P34" i="61"/>
  <c r="F474" i="113"/>
  <c r="G474" i="113"/>
  <c r="H474" i="113"/>
  <c r="N35" i="61"/>
  <c r="D475" i="113"/>
  <c r="J35" i="61"/>
  <c r="K35" i="61"/>
  <c r="O35" i="61"/>
  <c r="E475" i="113"/>
  <c r="L35" i="61"/>
  <c r="E35" i="61"/>
  <c r="F35" i="61"/>
  <c r="M35" i="61"/>
  <c r="P35" i="61"/>
  <c r="F475" i="113"/>
  <c r="G475" i="113"/>
  <c r="H475" i="113"/>
  <c r="N36" i="61"/>
  <c r="D473" i="113"/>
  <c r="J36" i="61"/>
  <c r="K36" i="61"/>
  <c r="O36" i="61"/>
  <c r="E473" i="113"/>
  <c r="L36" i="61"/>
  <c r="E36" i="61"/>
  <c r="F36" i="61"/>
  <c r="M36" i="61"/>
  <c r="P36" i="61"/>
  <c r="F473" i="113"/>
  <c r="G473" i="113"/>
  <c r="H473" i="113"/>
  <c r="K7" i="45"/>
  <c r="L7" i="45"/>
  <c r="D488" i="113"/>
  <c r="E7" i="45"/>
  <c r="F7" i="45"/>
  <c r="E488" i="113"/>
  <c r="H7" i="45"/>
  <c r="I7" i="45"/>
  <c r="F488" i="113"/>
  <c r="G488" i="113"/>
  <c r="H488" i="113"/>
  <c r="K8" i="45"/>
  <c r="L8" i="45"/>
  <c r="D489" i="113"/>
  <c r="E8" i="45"/>
  <c r="F8" i="45"/>
  <c r="E489" i="113"/>
  <c r="H8" i="45"/>
  <c r="I8" i="45"/>
  <c r="F489" i="113"/>
  <c r="G489" i="113"/>
  <c r="H489" i="113"/>
  <c r="K9" i="45"/>
  <c r="L9" i="45"/>
  <c r="D490" i="113"/>
  <c r="E9" i="45"/>
  <c r="F9" i="45"/>
  <c r="E490" i="113"/>
  <c r="H9" i="45"/>
  <c r="I9" i="45"/>
  <c r="F490" i="113"/>
  <c r="G490" i="113"/>
  <c r="H490" i="113"/>
  <c r="K10" i="45"/>
  <c r="L10" i="45"/>
  <c r="D491" i="113"/>
  <c r="E10" i="45"/>
  <c r="F10" i="45"/>
  <c r="E491" i="113"/>
  <c r="H10" i="45"/>
  <c r="I10" i="45"/>
  <c r="F491" i="113"/>
  <c r="G491" i="113"/>
  <c r="H491" i="113"/>
  <c r="K11" i="45"/>
  <c r="L11" i="45"/>
  <c r="D492" i="113"/>
  <c r="E11" i="45"/>
  <c r="F11" i="45"/>
  <c r="E492" i="113"/>
  <c r="H11" i="45"/>
  <c r="I11" i="45"/>
  <c r="F492" i="113"/>
  <c r="G492" i="113"/>
  <c r="H492" i="113"/>
  <c r="K12" i="45"/>
  <c r="L12" i="45"/>
  <c r="D493" i="113"/>
  <c r="E12" i="45"/>
  <c r="F12" i="45"/>
  <c r="E493" i="113"/>
  <c r="H12" i="45"/>
  <c r="I12" i="45"/>
  <c r="F493" i="113"/>
  <c r="G493" i="113"/>
  <c r="H493" i="113"/>
  <c r="K13" i="45"/>
  <c r="L13" i="45"/>
  <c r="D494" i="113"/>
  <c r="E13" i="45"/>
  <c r="F13" i="45"/>
  <c r="E494" i="113"/>
  <c r="H13" i="45"/>
  <c r="I13" i="45"/>
  <c r="F494" i="113"/>
  <c r="G494" i="113"/>
  <c r="H494" i="113"/>
  <c r="K14" i="45"/>
  <c r="L14" i="45"/>
  <c r="D495" i="113"/>
  <c r="E14" i="45"/>
  <c r="F14" i="45"/>
  <c r="E495" i="113"/>
  <c r="H14" i="45"/>
  <c r="I14" i="45"/>
  <c r="F495" i="113"/>
  <c r="G495" i="113"/>
  <c r="H495" i="113"/>
  <c r="K15" i="45"/>
  <c r="L15" i="45"/>
  <c r="D496" i="113"/>
  <c r="E15" i="45"/>
  <c r="F15" i="45"/>
  <c r="E496" i="113"/>
  <c r="H15" i="45"/>
  <c r="I15" i="45"/>
  <c r="F496" i="113"/>
  <c r="G496" i="113"/>
  <c r="H496" i="113"/>
  <c r="K16" i="45"/>
  <c r="L16" i="45"/>
  <c r="D497" i="113"/>
  <c r="E16" i="45"/>
  <c r="F16" i="45"/>
  <c r="E497" i="113"/>
  <c r="H16" i="45"/>
  <c r="I16" i="45"/>
  <c r="F497" i="113"/>
  <c r="G497" i="113"/>
  <c r="H497" i="113"/>
  <c r="K17" i="45"/>
  <c r="L17" i="45"/>
  <c r="D498" i="113"/>
  <c r="E17" i="45"/>
  <c r="F17" i="45"/>
  <c r="E498" i="113"/>
  <c r="H17" i="45"/>
  <c r="I17" i="45"/>
  <c r="F498" i="113"/>
  <c r="G498" i="113"/>
  <c r="H498" i="113"/>
  <c r="K18" i="45"/>
  <c r="L18" i="45"/>
  <c r="D499" i="113"/>
  <c r="E18" i="45"/>
  <c r="F18" i="45"/>
  <c r="E499" i="113"/>
  <c r="H18" i="45"/>
  <c r="I18" i="45"/>
  <c r="F499" i="113"/>
  <c r="G499" i="113"/>
  <c r="H499" i="113"/>
  <c r="K19" i="45"/>
  <c r="L19" i="45"/>
  <c r="D500" i="113"/>
  <c r="E19" i="45"/>
  <c r="F19" i="45"/>
  <c r="E500" i="113"/>
  <c r="H19" i="45"/>
  <c r="I19" i="45"/>
  <c r="F500" i="113"/>
  <c r="G500" i="113"/>
  <c r="H500" i="113"/>
  <c r="K20" i="45"/>
  <c r="L20" i="45"/>
  <c r="D501" i="113"/>
  <c r="E20" i="45"/>
  <c r="F20" i="45"/>
  <c r="E501" i="113"/>
  <c r="H20" i="45"/>
  <c r="I20" i="45"/>
  <c r="F501" i="113"/>
  <c r="G501" i="113"/>
  <c r="H501" i="113"/>
  <c r="K21" i="45"/>
  <c r="L21" i="45"/>
  <c r="D502" i="113"/>
  <c r="E21" i="45"/>
  <c r="F21" i="45"/>
  <c r="E502" i="113"/>
  <c r="H21" i="45"/>
  <c r="I21" i="45"/>
  <c r="F502" i="113"/>
  <c r="G502" i="113"/>
  <c r="H502" i="113"/>
  <c r="K23" i="45"/>
  <c r="L23" i="45"/>
  <c r="D504" i="113"/>
  <c r="E23" i="45"/>
  <c r="F23" i="45"/>
  <c r="E504" i="113"/>
  <c r="H23" i="45"/>
  <c r="I23" i="45"/>
  <c r="F504" i="113"/>
  <c r="G504" i="113"/>
  <c r="H504" i="113"/>
  <c r="D19" i="43"/>
  <c r="E19" i="43"/>
  <c r="D511" i="113"/>
  <c r="G19" i="43"/>
  <c r="H19" i="43"/>
  <c r="E511" i="113"/>
  <c r="J19" i="43"/>
  <c r="K19" i="43"/>
  <c r="F511" i="113"/>
  <c r="G511" i="113"/>
  <c r="H511" i="113"/>
  <c r="D16" i="43"/>
  <c r="E16" i="43"/>
  <c r="D513" i="113"/>
  <c r="G16" i="43"/>
  <c r="H16" i="43"/>
  <c r="E513" i="113"/>
  <c r="J16" i="43"/>
  <c r="K16" i="43"/>
  <c r="F513" i="113"/>
  <c r="G513" i="113"/>
  <c r="H513" i="113"/>
  <c r="D18" i="43"/>
  <c r="E18" i="43"/>
  <c r="D512" i="113"/>
  <c r="G18" i="43"/>
  <c r="H18" i="43"/>
  <c r="E512" i="113"/>
  <c r="J18" i="43"/>
  <c r="K18" i="43"/>
  <c r="F512" i="113"/>
  <c r="G512" i="113"/>
  <c r="H512" i="113"/>
  <c r="D17" i="43"/>
  <c r="E17" i="43"/>
  <c r="D514" i="113"/>
  <c r="G17" i="43"/>
  <c r="H17" i="43"/>
  <c r="E514" i="113"/>
  <c r="J17" i="43"/>
  <c r="K17" i="43"/>
  <c r="F514" i="113"/>
  <c r="G514" i="113"/>
  <c r="H514" i="113"/>
  <c r="D24" i="43"/>
  <c r="E24" i="43"/>
  <c r="D508" i="113"/>
  <c r="G24" i="43"/>
  <c r="H24" i="43"/>
  <c r="E508" i="113"/>
  <c r="J24" i="43"/>
  <c r="K24" i="43"/>
  <c r="F508" i="113"/>
  <c r="G508" i="113"/>
  <c r="H508" i="113"/>
  <c r="D23" i="43"/>
  <c r="E23" i="43"/>
  <c r="D510" i="113"/>
  <c r="G23" i="43"/>
  <c r="H23" i="43"/>
  <c r="E510" i="113"/>
  <c r="J23" i="43"/>
  <c r="K23" i="43"/>
  <c r="F510" i="113"/>
  <c r="G510" i="113"/>
  <c r="H510" i="113"/>
  <c r="D25" i="43"/>
  <c r="E25" i="43"/>
  <c r="D509" i="113"/>
  <c r="G25" i="43"/>
  <c r="H25" i="43"/>
  <c r="E509" i="113"/>
  <c r="J25" i="43"/>
  <c r="K25" i="43"/>
  <c r="F509" i="113"/>
  <c r="G509" i="113"/>
  <c r="H509" i="113"/>
  <c r="D27" i="43"/>
  <c r="E27" i="43"/>
  <c r="D506" i="113"/>
  <c r="G27" i="43"/>
  <c r="H27" i="43"/>
  <c r="E506" i="113"/>
  <c r="J27" i="43"/>
  <c r="K27" i="43"/>
  <c r="F506" i="113"/>
  <c r="G506" i="113"/>
  <c r="H506" i="113"/>
  <c r="D26" i="43"/>
  <c r="E26" i="43"/>
  <c r="D507" i="113"/>
  <c r="G26" i="43"/>
  <c r="H26" i="43"/>
  <c r="E507" i="113"/>
  <c r="J26" i="43"/>
  <c r="K26" i="43"/>
  <c r="F507" i="113"/>
  <c r="G507" i="113"/>
  <c r="H507" i="113"/>
  <c r="D12" i="43"/>
  <c r="E12" i="43"/>
  <c r="D522" i="113"/>
  <c r="G12" i="43"/>
  <c r="H12" i="43"/>
  <c r="E522" i="113"/>
  <c r="J12" i="43"/>
  <c r="K12" i="43"/>
  <c r="F522" i="113"/>
  <c r="G522" i="113"/>
  <c r="H522" i="113"/>
  <c r="D33" i="43"/>
  <c r="E33" i="43"/>
  <c r="D519" i="113"/>
  <c r="G33" i="43"/>
  <c r="H33" i="43"/>
  <c r="E519" i="113"/>
  <c r="J33" i="43"/>
  <c r="K33" i="43"/>
  <c r="F519" i="113"/>
  <c r="G519" i="113"/>
  <c r="H519" i="113"/>
  <c r="D9" i="43"/>
  <c r="E9" i="43"/>
  <c r="D516" i="113"/>
  <c r="G9" i="43"/>
  <c r="H9" i="43"/>
  <c r="E516" i="113"/>
  <c r="J9" i="43"/>
  <c r="K9" i="43"/>
  <c r="F516" i="113"/>
  <c r="G516" i="113"/>
  <c r="H516" i="113"/>
  <c r="D10" i="43"/>
  <c r="E10" i="43"/>
  <c r="D525" i="113"/>
  <c r="G10" i="43"/>
  <c r="H10" i="43"/>
  <c r="E525" i="113"/>
  <c r="J10" i="43"/>
  <c r="K10" i="43"/>
  <c r="F525" i="113"/>
  <c r="G525" i="113"/>
  <c r="H525" i="113"/>
  <c r="D7" i="43"/>
  <c r="E7" i="43"/>
  <c r="D518" i="113"/>
  <c r="G7" i="43"/>
  <c r="H7" i="43"/>
  <c r="E518" i="113"/>
  <c r="J7" i="43"/>
  <c r="K7" i="43"/>
  <c r="F518" i="113"/>
  <c r="G518" i="113"/>
  <c r="H518" i="113"/>
  <c r="D8" i="43"/>
  <c r="E8" i="43"/>
  <c r="D515" i="113"/>
  <c r="G8" i="43"/>
  <c r="H8" i="43"/>
  <c r="E515" i="113"/>
  <c r="J8" i="43"/>
  <c r="K8" i="43"/>
  <c r="F515" i="113"/>
  <c r="G515" i="113"/>
  <c r="H515" i="113"/>
  <c r="D31" i="43"/>
  <c r="E31" i="43"/>
  <c r="D521" i="113"/>
  <c r="G31" i="43"/>
  <c r="H31" i="43"/>
  <c r="E521" i="113"/>
  <c r="J31" i="43"/>
  <c r="K31" i="43"/>
  <c r="F521" i="113"/>
  <c r="G521" i="113"/>
  <c r="H521" i="113"/>
  <c r="D34" i="43"/>
  <c r="E34" i="43"/>
  <c r="D523" i="113"/>
  <c r="G34" i="43"/>
  <c r="H34" i="43"/>
  <c r="E523" i="113"/>
  <c r="J34" i="43"/>
  <c r="K34" i="43"/>
  <c r="F523" i="113"/>
  <c r="G523" i="113"/>
  <c r="H523" i="113"/>
  <c r="D32" i="43"/>
  <c r="E32" i="43"/>
  <c r="D520" i="113"/>
  <c r="G32" i="43"/>
  <c r="H32" i="43"/>
  <c r="E520" i="113"/>
  <c r="J32" i="43"/>
  <c r="K32" i="43"/>
  <c r="F520" i="113"/>
  <c r="G520" i="113"/>
  <c r="H520" i="113"/>
  <c r="D35" i="43"/>
  <c r="E35" i="43"/>
  <c r="D524" i="113"/>
  <c r="G35" i="43"/>
  <c r="H35" i="43"/>
  <c r="E524" i="113"/>
  <c r="J35" i="43"/>
  <c r="K35" i="43"/>
  <c r="F524" i="113"/>
  <c r="G524" i="113"/>
  <c r="H524" i="113"/>
  <c r="B32" i="43"/>
  <c r="AQ523" i="113"/>
  <c r="B33" i="43"/>
  <c r="AQ520" i="113"/>
  <c r="B34" i="43"/>
  <c r="AQ521" i="113"/>
  <c r="B35" i="43"/>
  <c r="AQ519" i="113"/>
  <c r="B31" i="43"/>
  <c r="AQ524" i="113"/>
  <c r="B8" i="43"/>
  <c r="AQ518" i="113"/>
  <c r="B9" i="43"/>
  <c r="AQ522" i="113"/>
  <c r="B10" i="43"/>
  <c r="AQ515" i="113"/>
  <c r="AQ516" i="113"/>
  <c r="B7" i="43"/>
  <c r="AQ525" i="113"/>
  <c r="B17" i="43"/>
  <c r="AQ512" i="113"/>
  <c r="B18" i="43"/>
  <c r="AQ514" i="113"/>
  <c r="B19" i="43"/>
  <c r="AQ511" i="113"/>
  <c r="B16" i="43"/>
  <c r="AQ513" i="113"/>
  <c r="B24" i="43"/>
  <c r="AQ509" i="113"/>
  <c r="B25" i="43"/>
  <c r="AQ508" i="113"/>
  <c r="B26" i="43"/>
  <c r="AQ507" i="113"/>
  <c r="B27" i="43"/>
  <c r="AQ506" i="113"/>
  <c r="B23" i="43"/>
  <c r="AQ510" i="113"/>
  <c r="E7" i="82"/>
  <c r="D218" i="113"/>
  <c r="H7" i="82"/>
  <c r="E218" i="113"/>
  <c r="G218" i="113"/>
  <c r="H218" i="113"/>
  <c r="L21" i="119"/>
  <c r="D1495" i="113"/>
  <c r="M21" i="119"/>
  <c r="E1495" i="113"/>
  <c r="G1495" i="113"/>
  <c r="H1495" i="113"/>
  <c r="M5" i="119"/>
  <c r="E1478" i="113"/>
  <c r="G1478" i="113"/>
  <c r="M1478" i="113"/>
  <c r="M6" i="119"/>
  <c r="E1479" i="113"/>
  <c r="G1479" i="113"/>
  <c r="M1479" i="113"/>
  <c r="M7" i="119"/>
  <c r="E1480" i="113"/>
  <c r="G1480" i="113"/>
  <c r="M1480" i="113"/>
  <c r="M8" i="119"/>
  <c r="E1481" i="113"/>
  <c r="G1481" i="113"/>
  <c r="M1481" i="113"/>
  <c r="L5" i="120"/>
  <c r="F1430" i="113"/>
  <c r="K5" i="120"/>
  <c r="E1430" i="113"/>
  <c r="G1430" i="113"/>
  <c r="M1430" i="113"/>
  <c r="L6" i="120"/>
  <c r="F1431" i="113"/>
  <c r="K6" i="120"/>
  <c r="E1431" i="113"/>
  <c r="G1431" i="113"/>
  <c r="M1431" i="113"/>
  <c r="L7" i="120"/>
  <c r="F1432" i="113"/>
  <c r="K7" i="120"/>
  <c r="E1432" i="113"/>
  <c r="G1432" i="113"/>
  <c r="M1432" i="113"/>
  <c r="L8" i="120"/>
  <c r="F1433" i="113"/>
  <c r="K8" i="120"/>
  <c r="E1433" i="113"/>
  <c r="G1433" i="113"/>
  <c r="M1433" i="113"/>
  <c r="L9" i="120"/>
  <c r="F1434" i="113"/>
  <c r="K9" i="120"/>
  <c r="E1434" i="113"/>
  <c r="G1434" i="113"/>
  <c r="M1434" i="113"/>
  <c r="L10" i="120"/>
  <c r="F1435" i="113"/>
  <c r="K10" i="120"/>
  <c r="E1435" i="113"/>
  <c r="G1435" i="113"/>
  <c r="M1435" i="113"/>
  <c r="L11" i="120"/>
  <c r="F1436" i="113"/>
  <c r="K11" i="120"/>
  <c r="E1436" i="113"/>
  <c r="G1436" i="113"/>
  <c r="M1436" i="113"/>
  <c r="L4" i="120"/>
  <c r="F1429" i="113"/>
  <c r="K4" i="120"/>
  <c r="E1429" i="113"/>
  <c r="G1429" i="113"/>
  <c r="M1429" i="113"/>
  <c r="I34" i="54"/>
  <c r="F813" i="113"/>
  <c r="G34" i="54"/>
  <c r="E813" i="113"/>
  <c r="G813" i="113"/>
  <c r="M813" i="113"/>
  <c r="I35" i="54"/>
  <c r="F814" i="113"/>
  <c r="G35" i="54"/>
  <c r="E814" i="113"/>
  <c r="G814" i="113"/>
  <c r="M814" i="113"/>
  <c r="I36" i="54"/>
  <c r="F815" i="113"/>
  <c r="G36" i="54"/>
  <c r="E815" i="113"/>
  <c r="G815" i="113"/>
  <c r="M815" i="113"/>
  <c r="I37" i="54"/>
  <c r="F816" i="113"/>
  <c r="G37" i="54"/>
  <c r="E816" i="113"/>
  <c r="G816" i="113"/>
  <c r="M816" i="113"/>
  <c r="I38" i="54"/>
  <c r="F817" i="113"/>
  <c r="G38" i="54"/>
  <c r="E817" i="113"/>
  <c r="G817" i="113"/>
  <c r="M817" i="113"/>
  <c r="I39" i="54"/>
  <c r="F818" i="113"/>
  <c r="G39" i="54"/>
  <c r="E818" i="113"/>
  <c r="G818" i="113"/>
  <c r="M818" i="113"/>
  <c r="I40" i="54"/>
  <c r="F819" i="113"/>
  <c r="G40" i="54"/>
  <c r="E819" i="113"/>
  <c r="G819" i="113"/>
  <c r="M819" i="113"/>
  <c r="I41" i="54"/>
  <c r="F820" i="113"/>
  <c r="G41" i="54"/>
  <c r="E820" i="113"/>
  <c r="G820" i="113"/>
  <c r="M820" i="113"/>
  <c r="I42" i="54"/>
  <c r="F821" i="113"/>
  <c r="G42" i="54"/>
  <c r="E821" i="113"/>
  <c r="G821" i="113"/>
  <c r="M821" i="113"/>
  <c r="I46" i="54"/>
  <c r="F825" i="113"/>
  <c r="G46" i="54"/>
  <c r="E825" i="113"/>
  <c r="G825" i="113"/>
  <c r="M825" i="113"/>
  <c r="I47" i="54"/>
  <c r="F826" i="113"/>
  <c r="G47" i="54"/>
  <c r="E826" i="113"/>
  <c r="G826" i="113"/>
  <c r="M826" i="113"/>
  <c r="I33" i="54"/>
  <c r="F812" i="113"/>
  <c r="G33" i="54"/>
  <c r="E812" i="113"/>
  <c r="G812" i="113"/>
  <c r="M812" i="113"/>
  <c r="I6" i="133"/>
  <c r="F776" i="113"/>
  <c r="H6" i="133"/>
  <c r="E776" i="113"/>
  <c r="G776" i="113"/>
  <c r="M776" i="113"/>
  <c r="I7" i="133"/>
  <c r="F777" i="113"/>
  <c r="H7" i="133"/>
  <c r="E777" i="113"/>
  <c r="G777" i="113"/>
  <c r="M777" i="113"/>
  <c r="I8" i="133"/>
  <c r="F778" i="113"/>
  <c r="H8" i="133"/>
  <c r="E778" i="113"/>
  <c r="G778" i="113"/>
  <c r="M778" i="113"/>
  <c r="I9" i="133"/>
  <c r="F779" i="113"/>
  <c r="H9" i="133"/>
  <c r="E779" i="113"/>
  <c r="G779" i="113"/>
  <c r="M779" i="113"/>
  <c r="I10" i="133"/>
  <c r="F780" i="113"/>
  <c r="H10" i="133"/>
  <c r="E780" i="113"/>
  <c r="G780" i="113"/>
  <c r="M780" i="113"/>
  <c r="I11" i="133"/>
  <c r="F781" i="113"/>
  <c r="H11" i="133"/>
  <c r="E781" i="113"/>
  <c r="G781" i="113"/>
  <c r="M781" i="113"/>
  <c r="I12" i="133"/>
  <c r="F782" i="113"/>
  <c r="H12" i="133"/>
  <c r="E782" i="113"/>
  <c r="G782" i="113"/>
  <c r="M782" i="113"/>
  <c r="I13" i="133"/>
  <c r="F783" i="113"/>
  <c r="H13" i="133"/>
  <c r="E783" i="113"/>
  <c r="G783" i="113"/>
  <c r="M783" i="113"/>
  <c r="I14" i="133"/>
  <c r="F784" i="113"/>
  <c r="H14" i="133"/>
  <c r="E784" i="113"/>
  <c r="G784" i="113"/>
  <c r="M784" i="113"/>
  <c r="I15" i="133"/>
  <c r="F785" i="113"/>
  <c r="H15" i="133"/>
  <c r="E785" i="113"/>
  <c r="G785" i="113"/>
  <c r="M785" i="113"/>
  <c r="I16" i="133"/>
  <c r="F786" i="113"/>
  <c r="H16" i="133"/>
  <c r="E786" i="113"/>
  <c r="G786" i="113"/>
  <c r="M786" i="113"/>
  <c r="I17" i="133"/>
  <c r="F787" i="113"/>
  <c r="H17" i="133"/>
  <c r="E787" i="113"/>
  <c r="G787" i="113"/>
  <c r="M787" i="113"/>
  <c r="I18" i="133"/>
  <c r="F788" i="113"/>
  <c r="H18" i="133"/>
  <c r="E788" i="113"/>
  <c r="G788" i="113"/>
  <c r="M788" i="113"/>
  <c r="I19" i="133"/>
  <c r="F789" i="113"/>
  <c r="H19" i="133"/>
  <c r="E789" i="113"/>
  <c r="G789" i="113"/>
  <c r="M789" i="113"/>
  <c r="I20" i="133"/>
  <c r="F790" i="113"/>
  <c r="H20" i="133"/>
  <c r="E790" i="113"/>
  <c r="G790" i="113"/>
  <c r="M790" i="113"/>
  <c r="I21" i="133"/>
  <c r="F791" i="113"/>
  <c r="H21" i="133"/>
  <c r="E791" i="113"/>
  <c r="G791" i="113"/>
  <c r="M791" i="113"/>
  <c r="I6" i="54"/>
  <c r="F792" i="113"/>
  <c r="G6" i="54"/>
  <c r="E792" i="113"/>
  <c r="G792" i="113"/>
  <c r="M792" i="113"/>
  <c r="I7" i="54"/>
  <c r="F793" i="113"/>
  <c r="G7" i="54"/>
  <c r="E793" i="113"/>
  <c r="G793" i="113"/>
  <c r="M793" i="113"/>
  <c r="I8" i="54"/>
  <c r="F794" i="113"/>
  <c r="G8" i="54"/>
  <c r="E794" i="113"/>
  <c r="G794" i="113"/>
  <c r="M794" i="113"/>
  <c r="I9" i="54"/>
  <c r="F795" i="113"/>
  <c r="G9" i="54"/>
  <c r="E795" i="113"/>
  <c r="G795" i="113"/>
  <c r="M795" i="113"/>
  <c r="I10" i="54"/>
  <c r="F796" i="113"/>
  <c r="G10" i="54"/>
  <c r="E796" i="113"/>
  <c r="G796" i="113"/>
  <c r="M796" i="113"/>
  <c r="I11" i="54"/>
  <c r="F797" i="113"/>
  <c r="G11" i="54"/>
  <c r="E797" i="113"/>
  <c r="G797" i="113"/>
  <c r="M797" i="113"/>
  <c r="I12" i="54"/>
  <c r="F798" i="113"/>
  <c r="G12" i="54"/>
  <c r="E798" i="113"/>
  <c r="G798" i="113"/>
  <c r="M798" i="113"/>
  <c r="I13" i="54"/>
  <c r="F799" i="113"/>
  <c r="G13" i="54"/>
  <c r="E799" i="113"/>
  <c r="G799" i="113"/>
  <c r="M799" i="113"/>
  <c r="I14" i="54"/>
  <c r="F800" i="113"/>
  <c r="G14" i="54"/>
  <c r="E800" i="113"/>
  <c r="G800" i="113"/>
  <c r="M800" i="113"/>
  <c r="I15" i="54"/>
  <c r="F801" i="113"/>
  <c r="G15" i="54"/>
  <c r="E801" i="113"/>
  <c r="G801" i="113"/>
  <c r="M801" i="113"/>
  <c r="G16" i="54"/>
  <c r="E802" i="113"/>
  <c r="G802" i="113"/>
  <c r="M802" i="113"/>
  <c r="G17" i="54"/>
  <c r="E803" i="113"/>
  <c r="G803" i="113"/>
  <c r="M803" i="113"/>
  <c r="G18" i="54"/>
  <c r="E804" i="113"/>
  <c r="G804" i="113"/>
  <c r="M804" i="113"/>
  <c r="I19" i="54"/>
  <c r="F805" i="113"/>
  <c r="G19" i="54"/>
  <c r="E805" i="113"/>
  <c r="G805" i="113"/>
  <c r="M805" i="113"/>
  <c r="I20" i="54"/>
  <c r="F806" i="113"/>
  <c r="G20" i="54"/>
  <c r="E806" i="113"/>
  <c r="G806" i="113"/>
  <c r="M806" i="113"/>
  <c r="I5" i="133"/>
  <c r="F775" i="113"/>
  <c r="H5" i="133"/>
  <c r="E775" i="113"/>
  <c r="G775" i="113"/>
  <c r="M775" i="113"/>
  <c r="E7" i="86"/>
  <c r="F7" i="86"/>
  <c r="J7" i="86"/>
  <c r="F750" i="113"/>
  <c r="H7" i="86"/>
  <c r="E750" i="113"/>
  <c r="G750" i="113"/>
  <c r="M750" i="113"/>
  <c r="E8" i="86"/>
  <c r="F8" i="86"/>
  <c r="J8" i="86"/>
  <c r="F751" i="113"/>
  <c r="H8" i="86"/>
  <c r="E751" i="113"/>
  <c r="G751" i="113"/>
  <c r="M751" i="113"/>
  <c r="E9" i="86"/>
  <c r="F9" i="86"/>
  <c r="J9" i="86"/>
  <c r="F752" i="113"/>
  <c r="H9" i="86"/>
  <c r="E752" i="113"/>
  <c r="G752" i="113"/>
  <c r="M752" i="113"/>
  <c r="E10" i="86"/>
  <c r="F10" i="86"/>
  <c r="J10" i="86"/>
  <c r="F753" i="113"/>
  <c r="H10" i="86"/>
  <c r="E753" i="113"/>
  <c r="G753" i="113"/>
  <c r="M753" i="113"/>
  <c r="E6" i="86"/>
  <c r="F6" i="86"/>
  <c r="J6" i="86"/>
  <c r="F749" i="113"/>
  <c r="H6" i="86"/>
  <c r="E749" i="113"/>
  <c r="G749" i="113"/>
  <c r="M749" i="113"/>
  <c r="J19" i="134"/>
  <c r="F728" i="113"/>
  <c r="I19" i="134"/>
  <c r="E728" i="113"/>
  <c r="G728" i="113"/>
  <c r="M728" i="113"/>
  <c r="J20" i="134"/>
  <c r="F729" i="113"/>
  <c r="I20" i="134"/>
  <c r="E729" i="113"/>
  <c r="G729" i="113"/>
  <c r="M729" i="113"/>
  <c r="J23" i="134"/>
  <c r="F726" i="113"/>
  <c r="I23" i="134"/>
  <c r="E726" i="113"/>
  <c r="G726" i="113"/>
  <c r="M726" i="113"/>
  <c r="J21" i="134"/>
  <c r="F730" i="113"/>
  <c r="I21" i="134"/>
  <c r="E730" i="113"/>
  <c r="G730" i="113"/>
  <c r="M730" i="113"/>
  <c r="J24" i="134"/>
  <c r="F727" i="113"/>
  <c r="I24" i="134"/>
  <c r="E727" i="113"/>
  <c r="G727" i="113"/>
  <c r="M727" i="113"/>
  <c r="J10" i="134"/>
  <c r="F731" i="113"/>
  <c r="I10" i="134"/>
  <c r="E731" i="113"/>
  <c r="G731" i="113"/>
  <c r="M731" i="113"/>
  <c r="J11" i="134"/>
  <c r="F732" i="113"/>
  <c r="I11" i="134"/>
  <c r="E732" i="113"/>
  <c r="G732" i="113"/>
  <c r="M732" i="113"/>
  <c r="J12" i="134"/>
  <c r="F733" i="113"/>
  <c r="I12" i="134"/>
  <c r="E733" i="113"/>
  <c r="G733" i="113"/>
  <c r="M733" i="113"/>
  <c r="J25" i="134"/>
  <c r="F737" i="113"/>
  <c r="I25" i="134"/>
  <c r="E737" i="113"/>
  <c r="G737" i="113"/>
  <c r="M737" i="113"/>
  <c r="J26" i="134"/>
  <c r="F738" i="113"/>
  <c r="I26" i="134"/>
  <c r="E738" i="113"/>
  <c r="G738" i="113"/>
  <c r="M738" i="113"/>
  <c r="J27" i="134"/>
  <c r="F739" i="113"/>
  <c r="I27" i="134"/>
  <c r="E739" i="113"/>
  <c r="G739" i="113"/>
  <c r="M739" i="113"/>
  <c r="J16" i="134"/>
  <c r="F734" i="113"/>
  <c r="I16" i="134"/>
  <c r="E734" i="113"/>
  <c r="G734" i="113"/>
  <c r="M734" i="113"/>
  <c r="J17" i="134"/>
  <c r="F735" i="113"/>
  <c r="I17" i="134"/>
  <c r="E735" i="113"/>
  <c r="G735" i="113"/>
  <c r="M735" i="113"/>
  <c r="J18" i="134"/>
  <c r="F736" i="113"/>
  <c r="I18" i="134"/>
  <c r="E736" i="113"/>
  <c r="G736" i="113"/>
  <c r="M736" i="113"/>
  <c r="J13" i="134"/>
  <c r="F740" i="113"/>
  <c r="I13" i="134"/>
  <c r="E740" i="113"/>
  <c r="G740" i="113"/>
  <c r="M740" i="113"/>
  <c r="J14" i="134"/>
  <c r="F741" i="113"/>
  <c r="I14" i="134"/>
  <c r="E741" i="113"/>
  <c r="G741" i="113"/>
  <c r="M741" i="113"/>
  <c r="J15" i="134"/>
  <c r="F742" i="113"/>
  <c r="I15" i="134"/>
  <c r="E742" i="113"/>
  <c r="G742" i="113"/>
  <c r="M742" i="113"/>
  <c r="E12" i="86"/>
  <c r="F12" i="86"/>
  <c r="J12" i="86"/>
  <c r="F743" i="113"/>
  <c r="H12" i="86"/>
  <c r="E743" i="113"/>
  <c r="G743" i="113"/>
  <c r="M743" i="113"/>
  <c r="E13" i="86"/>
  <c r="F13" i="86"/>
  <c r="J13" i="86"/>
  <c r="F744" i="113"/>
  <c r="H13" i="86"/>
  <c r="E744" i="113"/>
  <c r="G744" i="113"/>
  <c r="M744" i="113"/>
  <c r="E14" i="86"/>
  <c r="F14" i="86"/>
  <c r="J14" i="86"/>
  <c r="F745" i="113"/>
  <c r="H14" i="86"/>
  <c r="E745" i="113"/>
  <c r="G745" i="113"/>
  <c r="M745" i="113"/>
  <c r="E15" i="86"/>
  <c r="F15" i="86"/>
  <c r="J15" i="86"/>
  <c r="F746" i="113"/>
  <c r="H15" i="86"/>
  <c r="E746" i="113"/>
  <c r="G746" i="113"/>
  <c r="M746" i="113"/>
  <c r="J10" i="136"/>
  <c r="F707" i="113"/>
  <c r="I10" i="136"/>
  <c r="E707" i="113"/>
  <c r="G707" i="113"/>
  <c r="M707" i="113"/>
  <c r="J11" i="136"/>
  <c r="F708" i="113"/>
  <c r="I11" i="136"/>
  <c r="E708" i="113"/>
  <c r="G708" i="113"/>
  <c r="M708" i="113"/>
  <c r="J12" i="136"/>
  <c r="F709" i="113"/>
  <c r="I12" i="136"/>
  <c r="E709" i="113"/>
  <c r="G709" i="113"/>
  <c r="M709" i="113"/>
  <c r="J13" i="136"/>
  <c r="F710" i="113"/>
  <c r="I13" i="136"/>
  <c r="E710" i="113"/>
  <c r="G710" i="113"/>
  <c r="M710" i="113"/>
  <c r="J14" i="136"/>
  <c r="F711" i="113"/>
  <c r="I14" i="136"/>
  <c r="E711" i="113"/>
  <c r="G711" i="113"/>
  <c r="M711" i="113"/>
  <c r="J15" i="136"/>
  <c r="F712" i="113"/>
  <c r="I15" i="136"/>
  <c r="E712" i="113"/>
  <c r="G712" i="113"/>
  <c r="M712" i="113"/>
  <c r="J16" i="136"/>
  <c r="F713" i="113"/>
  <c r="I16" i="136"/>
  <c r="E713" i="113"/>
  <c r="G713" i="113"/>
  <c r="M713" i="113"/>
  <c r="J17" i="136"/>
  <c r="F714" i="113"/>
  <c r="I17" i="136"/>
  <c r="E714" i="113"/>
  <c r="G714" i="113"/>
  <c r="M714" i="113"/>
  <c r="J18" i="136"/>
  <c r="F715" i="113"/>
  <c r="I18" i="136"/>
  <c r="E715" i="113"/>
  <c r="G715" i="113"/>
  <c r="M715" i="113"/>
  <c r="J19" i="136"/>
  <c r="F716" i="113"/>
  <c r="I19" i="136"/>
  <c r="E716" i="113"/>
  <c r="G716" i="113"/>
  <c r="M716" i="113"/>
  <c r="J20" i="136"/>
  <c r="F717" i="113"/>
  <c r="I20" i="136"/>
  <c r="E717" i="113"/>
  <c r="G717" i="113"/>
  <c r="M717" i="113"/>
  <c r="J21" i="136"/>
  <c r="F718" i="113"/>
  <c r="I21" i="136"/>
  <c r="E718" i="113"/>
  <c r="G718" i="113"/>
  <c r="M718" i="113"/>
  <c r="J22" i="136"/>
  <c r="F719" i="113"/>
  <c r="I22" i="136"/>
  <c r="E719" i="113"/>
  <c r="G719" i="113"/>
  <c r="M719" i="113"/>
  <c r="J23" i="136"/>
  <c r="F720" i="113"/>
  <c r="I23" i="136"/>
  <c r="E720" i="113"/>
  <c r="G720" i="113"/>
  <c r="M720" i="113"/>
  <c r="J24" i="136"/>
  <c r="F721" i="113"/>
  <c r="I24" i="136"/>
  <c r="E721" i="113"/>
  <c r="G721" i="113"/>
  <c r="M721" i="113"/>
  <c r="J7" i="134"/>
  <c r="F722" i="113"/>
  <c r="I7" i="134"/>
  <c r="E722" i="113"/>
  <c r="G722" i="113"/>
  <c r="M722" i="113"/>
  <c r="J8" i="134"/>
  <c r="F723" i="113"/>
  <c r="I8" i="134"/>
  <c r="E723" i="113"/>
  <c r="G723" i="113"/>
  <c r="M723" i="113"/>
  <c r="J9" i="134"/>
  <c r="F724" i="113"/>
  <c r="I9" i="134"/>
  <c r="E724" i="113"/>
  <c r="G724" i="113"/>
  <c r="M724" i="113"/>
  <c r="J22" i="134"/>
  <c r="F725" i="113"/>
  <c r="I22" i="134"/>
  <c r="E725" i="113"/>
  <c r="G725" i="113"/>
  <c r="M725" i="113"/>
  <c r="I9" i="129"/>
  <c r="F696" i="113"/>
  <c r="H9" i="129"/>
  <c r="E696" i="113"/>
  <c r="G696" i="113"/>
  <c r="M696" i="113"/>
  <c r="I10" i="129"/>
  <c r="F697" i="113"/>
  <c r="H10" i="129"/>
  <c r="E697" i="113"/>
  <c r="G697" i="113"/>
  <c r="M697" i="113"/>
  <c r="I11" i="129"/>
  <c r="F698" i="113"/>
  <c r="H11" i="129"/>
  <c r="E698" i="113"/>
  <c r="G698" i="113"/>
  <c r="M698" i="113"/>
  <c r="I12" i="129"/>
  <c r="F699" i="113"/>
  <c r="H12" i="129"/>
  <c r="E699" i="113"/>
  <c r="G699" i="113"/>
  <c r="M699" i="113"/>
  <c r="I14" i="129"/>
  <c r="F701" i="113"/>
  <c r="H14" i="129"/>
  <c r="E701" i="113"/>
  <c r="G701" i="113"/>
  <c r="M701" i="113"/>
  <c r="I15" i="129"/>
  <c r="F702" i="113"/>
  <c r="H15" i="129"/>
  <c r="E702" i="113"/>
  <c r="G702" i="113"/>
  <c r="M702" i="113"/>
  <c r="I16" i="129"/>
  <c r="F679" i="113"/>
  <c r="H16" i="129"/>
  <c r="E679" i="113"/>
  <c r="G679" i="113"/>
  <c r="M679" i="113"/>
  <c r="I17" i="129"/>
  <c r="F680" i="113"/>
  <c r="H17" i="129"/>
  <c r="E680" i="113"/>
  <c r="G680" i="113"/>
  <c r="M680" i="113"/>
  <c r="I18" i="129"/>
  <c r="F681" i="113"/>
  <c r="H18" i="129"/>
  <c r="E681" i="113"/>
  <c r="G681" i="113"/>
  <c r="M681" i="113"/>
  <c r="I19" i="129"/>
  <c r="F682" i="113"/>
  <c r="H19" i="129"/>
  <c r="E682" i="113"/>
  <c r="G682" i="113"/>
  <c r="M682" i="113"/>
  <c r="I20" i="129"/>
  <c r="F683" i="113"/>
  <c r="H20" i="129"/>
  <c r="E683" i="113"/>
  <c r="G683" i="113"/>
  <c r="M683" i="113"/>
  <c r="I21" i="129"/>
  <c r="F684" i="113"/>
  <c r="H21" i="129"/>
  <c r="E684" i="113"/>
  <c r="G684" i="113"/>
  <c r="M684" i="113"/>
  <c r="I22" i="129"/>
  <c r="F685" i="113"/>
  <c r="H22" i="129"/>
  <c r="E685" i="113"/>
  <c r="G685" i="113"/>
  <c r="M685" i="113"/>
  <c r="I23" i="129"/>
  <c r="F686" i="113"/>
  <c r="H23" i="129"/>
  <c r="E686" i="113"/>
  <c r="G686" i="113"/>
  <c r="M686" i="113"/>
  <c r="I24" i="129"/>
  <c r="F687" i="113"/>
  <c r="H24" i="129"/>
  <c r="E687" i="113"/>
  <c r="G687" i="113"/>
  <c r="M687" i="113"/>
  <c r="I25" i="129"/>
  <c r="F688" i="113"/>
  <c r="H25" i="129"/>
  <c r="E688" i="113"/>
  <c r="G688" i="113"/>
  <c r="M688" i="113"/>
  <c r="I26" i="129"/>
  <c r="F689" i="113"/>
  <c r="H26" i="129"/>
  <c r="E689" i="113"/>
  <c r="G689" i="113"/>
  <c r="M689" i="113"/>
  <c r="I27" i="129"/>
  <c r="F690" i="113"/>
  <c r="H27" i="129"/>
  <c r="E690" i="113"/>
  <c r="G690" i="113"/>
  <c r="M690" i="113"/>
  <c r="I28" i="129"/>
  <c r="F691" i="113"/>
  <c r="H28" i="129"/>
  <c r="E691" i="113"/>
  <c r="G691" i="113"/>
  <c r="M691" i="113"/>
  <c r="I29" i="129"/>
  <c r="F692" i="113"/>
  <c r="H29" i="129"/>
  <c r="E692" i="113"/>
  <c r="G692" i="113"/>
  <c r="M692" i="113"/>
  <c r="I30" i="129"/>
  <c r="F693" i="113"/>
  <c r="H30" i="129"/>
  <c r="E693" i="113"/>
  <c r="G693" i="113"/>
  <c r="M693" i="113"/>
  <c r="I31" i="129"/>
  <c r="F694" i="113"/>
  <c r="H31" i="129"/>
  <c r="E694" i="113"/>
  <c r="G694" i="113"/>
  <c r="M694" i="113"/>
  <c r="J6" i="136"/>
  <c r="F703" i="113"/>
  <c r="I6" i="136"/>
  <c r="E703" i="113"/>
  <c r="G703" i="113"/>
  <c r="M703" i="113"/>
  <c r="J7" i="136"/>
  <c r="F704" i="113"/>
  <c r="I7" i="136"/>
  <c r="E704" i="113"/>
  <c r="G704" i="113"/>
  <c r="M704" i="113"/>
  <c r="J8" i="136"/>
  <c r="F705" i="113"/>
  <c r="I8" i="136"/>
  <c r="E705" i="113"/>
  <c r="G705" i="113"/>
  <c r="M705" i="113"/>
  <c r="J9" i="136"/>
  <c r="F706" i="113"/>
  <c r="I9" i="136"/>
  <c r="E706" i="113"/>
  <c r="G706" i="113"/>
  <c r="M706" i="113"/>
  <c r="I8" i="129"/>
  <c r="F695" i="113"/>
  <c r="H8" i="129"/>
  <c r="E695" i="113"/>
  <c r="G695" i="113"/>
  <c r="M695" i="113"/>
  <c r="M524" i="113"/>
  <c r="M521" i="113"/>
  <c r="M523" i="113"/>
  <c r="M519" i="113"/>
  <c r="F39" i="135"/>
  <c r="G39" i="135"/>
  <c r="E526" i="113"/>
  <c r="G526" i="113"/>
  <c r="M526" i="113"/>
  <c r="F27" i="135"/>
  <c r="G27" i="135"/>
  <c r="E527" i="113"/>
  <c r="G527" i="113"/>
  <c r="M527" i="113"/>
  <c r="F15" i="135"/>
  <c r="G15" i="135"/>
  <c r="E529" i="113"/>
  <c r="G529" i="113"/>
  <c r="M529" i="113"/>
  <c r="F5" i="135"/>
  <c r="G5" i="135"/>
  <c r="E530" i="113"/>
  <c r="G530" i="113"/>
  <c r="M530" i="113"/>
  <c r="F62" i="135"/>
  <c r="G62" i="135"/>
  <c r="E528" i="113"/>
  <c r="G528" i="113"/>
  <c r="M528" i="113"/>
  <c r="F51" i="135"/>
  <c r="G51" i="135"/>
  <c r="E531" i="113"/>
  <c r="G531" i="113"/>
  <c r="M531" i="113"/>
  <c r="F28" i="135"/>
  <c r="G28" i="135"/>
  <c r="E532" i="113"/>
  <c r="G532" i="113"/>
  <c r="M532" i="113"/>
  <c r="F40" i="135"/>
  <c r="G40" i="135"/>
  <c r="E533" i="113"/>
  <c r="G533" i="113"/>
  <c r="M533" i="113"/>
  <c r="F6" i="135"/>
  <c r="G6" i="135"/>
  <c r="E535" i="113"/>
  <c r="G535" i="113"/>
  <c r="M535" i="113"/>
  <c r="F16" i="135"/>
  <c r="G16" i="135"/>
  <c r="E536" i="113"/>
  <c r="G536" i="113"/>
  <c r="M536" i="113"/>
  <c r="F63" i="135"/>
  <c r="G63" i="135"/>
  <c r="E534" i="113"/>
  <c r="G534" i="113"/>
  <c r="M534" i="113"/>
  <c r="F52" i="135"/>
  <c r="G52" i="135"/>
  <c r="E537" i="113"/>
  <c r="G537" i="113"/>
  <c r="M537" i="113"/>
  <c r="F41" i="135"/>
  <c r="G41" i="135"/>
  <c r="E539" i="113"/>
  <c r="G539" i="113"/>
  <c r="M539" i="113"/>
  <c r="F29" i="135"/>
  <c r="G29" i="135"/>
  <c r="E538" i="113"/>
  <c r="G538" i="113"/>
  <c r="M538" i="113"/>
  <c r="F17" i="135"/>
  <c r="G17" i="135"/>
  <c r="E541" i="113"/>
  <c r="G541" i="113"/>
  <c r="M541" i="113"/>
  <c r="F7" i="135"/>
  <c r="G7" i="135"/>
  <c r="E540" i="113"/>
  <c r="G540" i="113"/>
  <c r="M540" i="113"/>
  <c r="F64" i="135"/>
  <c r="G64" i="135"/>
  <c r="E542" i="113"/>
  <c r="G542" i="113"/>
  <c r="M542" i="113"/>
  <c r="F53" i="135"/>
  <c r="G53" i="135"/>
  <c r="E543" i="113"/>
  <c r="G543" i="113"/>
  <c r="M543" i="113"/>
  <c r="F30" i="135"/>
  <c r="G30" i="135"/>
  <c r="E544" i="113"/>
  <c r="G544" i="113"/>
  <c r="M544" i="113"/>
  <c r="F18" i="135"/>
  <c r="G18" i="135"/>
  <c r="E547" i="113"/>
  <c r="G547" i="113"/>
  <c r="M547" i="113"/>
  <c r="F42" i="135"/>
  <c r="G42" i="135"/>
  <c r="E545" i="113"/>
  <c r="G545" i="113"/>
  <c r="M545" i="113"/>
  <c r="F65" i="135"/>
  <c r="G65" i="135"/>
  <c r="E546" i="113"/>
  <c r="G546" i="113"/>
  <c r="M546" i="113"/>
  <c r="F54" i="135"/>
  <c r="G54" i="135"/>
  <c r="E548" i="113"/>
  <c r="G548" i="113"/>
  <c r="M548" i="113"/>
  <c r="F19" i="135"/>
  <c r="G19" i="135"/>
  <c r="E552" i="113"/>
  <c r="G552" i="113"/>
  <c r="M552" i="113"/>
  <c r="F8" i="135"/>
  <c r="G8" i="135"/>
  <c r="E551" i="113"/>
  <c r="G551" i="113"/>
  <c r="M551" i="113"/>
  <c r="F43" i="135"/>
  <c r="G43" i="135"/>
  <c r="E549" i="113"/>
  <c r="G549" i="113"/>
  <c r="M549" i="113"/>
  <c r="F31" i="135"/>
  <c r="G31" i="135"/>
  <c r="E550" i="113"/>
  <c r="G550" i="113"/>
  <c r="M550" i="113"/>
  <c r="F55" i="135"/>
  <c r="G55" i="135"/>
  <c r="E554" i="113"/>
  <c r="G554" i="113"/>
  <c r="M554" i="113"/>
  <c r="F66" i="135"/>
  <c r="G66" i="135"/>
  <c r="E553" i="113"/>
  <c r="G553" i="113"/>
  <c r="M553" i="113"/>
  <c r="F9" i="135"/>
  <c r="G9" i="135"/>
  <c r="E557" i="113"/>
  <c r="G557" i="113"/>
  <c r="M557" i="113"/>
  <c r="F20" i="135"/>
  <c r="G20" i="135"/>
  <c r="E558" i="113"/>
  <c r="G558" i="113"/>
  <c r="M558" i="113"/>
  <c r="F44" i="135"/>
  <c r="G44" i="135"/>
  <c r="E555" i="113"/>
  <c r="G555" i="113"/>
  <c r="M555" i="113"/>
  <c r="F32" i="135"/>
  <c r="G32" i="135"/>
  <c r="E556" i="113"/>
  <c r="G556" i="113"/>
  <c r="M556" i="113"/>
  <c r="F56" i="135"/>
  <c r="G56" i="135"/>
  <c r="E560" i="113"/>
  <c r="G560" i="113"/>
  <c r="M560" i="113"/>
  <c r="F67" i="135"/>
  <c r="G67" i="135"/>
  <c r="E559" i="113"/>
  <c r="G559" i="113"/>
  <c r="M559" i="113"/>
  <c r="F45" i="135"/>
  <c r="G45" i="135"/>
  <c r="E561" i="113"/>
  <c r="G561" i="113"/>
  <c r="M561" i="113"/>
  <c r="F10" i="135"/>
  <c r="G10" i="135"/>
  <c r="E563" i="113"/>
  <c r="G563" i="113"/>
  <c r="M563" i="113"/>
  <c r="F21" i="135"/>
  <c r="G21" i="135"/>
  <c r="E564" i="113"/>
  <c r="G564" i="113"/>
  <c r="M564" i="113"/>
  <c r="F33" i="135"/>
  <c r="G33" i="135"/>
  <c r="E562" i="113"/>
  <c r="G562" i="113"/>
  <c r="M562" i="113"/>
  <c r="F68" i="135"/>
  <c r="G68" i="135"/>
  <c r="E565" i="113"/>
  <c r="G565" i="113"/>
  <c r="M565" i="113"/>
  <c r="F46" i="135"/>
  <c r="G46" i="135"/>
  <c r="E567" i="113"/>
  <c r="G567" i="113"/>
  <c r="M567" i="113"/>
  <c r="F34" i="135"/>
  <c r="G34" i="135"/>
  <c r="E566" i="113"/>
  <c r="G566" i="113"/>
  <c r="M566" i="113"/>
  <c r="F22" i="135"/>
  <c r="G22" i="135"/>
  <c r="E570" i="113"/>
  <c r="G570" i="113"/>
  <c r="M570" i="113"/>
  <c r="F11" i="135"/>
  <c r="G11" i="135"/>
  <c r="E571" i="113"/>
  <c r="G571" i="113"/>
  <c r="M571" i="113"/>
  <c r="F69" i="135"/>
  <c r="G69" i="135"/>
  <c r="E568" i="113"/>
  <c r="G568" i="113"/>
  <c r="M568" i="113"/>
  <c r="F57" i="135"/>
  <c r="G57" i="135"/>
  <c r="E569" i="113"/>
  <c r="G569" i="113"/>
  <c r="M569" i="113"/>
  <c r="F35" i="135"/>
  <c r="G35" i="135"/>
  <c r="E572" i="113"/>
  <c r="G572" i="113"/>
  <c r="M572" i="113"/>
  <c r="F23" i="135"/>
  <c r="G23" i="135"/>
  <c r="E574" i="113"/>
  <c r="G574" i="113"/>
  <c r="M574" i="113"/>
  <c r="F47" i="135"/>
  <c r="G47" i="135"/>
  <c r="E573" i="113"/>
  <c r="G573" i="113"/>
  <c r="M573" i="113"/>
  <c r="F58" i="135"/>
  <c r="G58" i="135"/>
  <c r="E575" i="113"/>
  <c r="G575" i="113"/>
  <c r="M575" i="113"/>
  <c r="F70" i="135"/>
  <c r="G70" i="135"/>
  <c r="E576" i="113"/>
  <c r="G576" i="113"/>
  <c r="M576" i="113"/>
  <c r="F36" i="135"/>
  <c r="G36" i="135"/>
  <c r="E578" i="113"/>
  <c r="G578" i="113"/>
  <c r="M578" i="113"/>
  <c r="F24" i="135"/>
  <c r="G24" i="135"/>
  <c r="E580" i="113"/>
  <c r="G580" i="113"/>
  <c r="M580" i="113"/>
  <c r="F48" i="135"/>
  <c r="G48" i="135"/>
  <c r="E577" i="113"/>
  <c r="G577" i="113"/>
  <c r="M577" i="113"/>
  <c r="F12" i="135"/>
  <c r="G12" i="135"/>
  <c r="E579" i="113"/>
  <c r="G579" i="113"/>
  <c r="M579" i="113"/>
  <c r="F71" i="135"/>
  <c r="G71" i="135"/>
  <c r="E582" i="113"/>
  <c r="G582" i="113"/>
  <c r="M582" i="113"/>
  <c r="F59" i="135"/>
  <c r="G59" i="135"/>
  <c r="E581" i="113"/>
  <c r="G581" i="113"/>
  <c r="M581" i="113"/>
  <c r="F37" i="135"/>
  <c r="G37" i="135"/>
  <c r="E584" i="113"/>
  <c r="G584" i="113"/>
  <c r="M584" i="113"/>
  <c r="F25" i="135"/>
  <c r="G25" i="135"/>
  <c r="E585" i="113"/>
  <c r="G585" i="113"/>
  <c r="M585" i="113"/>
  <c r="F49" i="135"/>
  <c r="G49" i="135"/>
  <c r="E583" i="113"/>
  <c r="G583" i="113"/>
  <c r="M583" i="113"/>
  <c r="F13" i="135"/>
  <c r="G13" i="135"/>
  <c r="E586" i="113"/>
  <c r="G586" i="113"/>
  <c r="M586" i="113"/>
  <c r="F72" i="135"/>
  <c r="G72" i="135"/>
  <c r="E587" i="113"/>
  <c r="G587" i="113"/>
  <c r="M587" i="113"/>
  <c r="F60" i="135"/>
  <c r="G60" i="135"/>
  <c r="E588" i="113"/>
  <c r="G588" i="113"/>
  <c r="M588" i="113"/>
  <c r="F38" i="135"/>
  <c r="G38" i="135"/>
  <c r="E590" i="113"/>
  <c r="G590" i="113"/>
  <c r="M590" i="113"/>
  <c r="F14" i="135"/>
  <c r="G14" i="135"/>
  <c r="E592" i="113"/>
  <c r="G592" i="113"/>
  <c r="M592" i="113"/>
  <c r="F50" i="135"/>
  <c r="G50" i="135"/>
  <c r="E589" i="113"/>
  <c r="G589" i="113"/>
  <c r="M589" i="113"/>
  <c r="F26" i="135"/>
  <c r="G26" i="135"/>
  <c r="E593" i="113"/>
  <c r="G593" i="113"/>
  <c r="M593" i="113"/>
  <c r="F61" i="135"/>
  <c r="G61" i="135"/>
  <c r="E591" i="113"/>
  <c r="G591" i="113"/>
  <c r="M591" i="113"/>
  <c r="F73" i="135"/>
  <c r="G73" i="135"/>
  <c r="E594" i="113"/>
  <c r="G594" i="113"/>
  <c r="M594" i="113"/>
  <c r="M520" i="113"/>
  <c r="M508" i="113"/>
  <c r="M509" i="113"/>
  <c r="M507" i="113"/>
  <c r="M510" i="113"/>
  <c r="M511" i="113"/>
  <c r="M513" i="113"/>
  <c r="M512" i="113"/>
  <c r="M514" i="113"/>
  <c r="M518" i="113"/>
  <c r="M522" i="113"/>
  <c r="M515" i="113"/>
  <c r="M516" i="113"/>
  <c r="M525" i="113"/>
  <c r="M506" i="113"/>
  <c r="M504" i="113"/>
  <c r="M489" i="113"/>
  <c r="M490" i="113"/>
  <c r="M491" i="113"/>
  <c r="M492" i="113"/>
  <c r="M493" i="113"/>
  <c r="M494" i="113"/>
  <c r="M495" i="113"/>
  <c r="M496" i="113"/>
  <c r="M497" i="113"/>
  <c r="M498" i="113"/>
  <c r="M499" i="113"/>
  <c r="M500" i="113"/>
  <c r="M501" i="113"/>
  <c r="M502" i="113"/>
  <c r="M488" i="113"/>
  <c r="M468" i="113"/>
  <c r="M467" i="113"/>
  <c r="M470" i="113"/>
  <c r="M472" i="113"/>
  <c r="M471" i="113"/>
  <c r="M474" i="113"/>
  <c r="M475" i="113"/>
  <c r="M473" i="113"/>
  <c r="G5" i="131"/>
  <c r="F485" i="113"/>
  <c r="F5" i="131"/>
  <c r="E485" i="113"/>
  <c r="G485" i="113"/>
  <c r="M485" i="113"/>
  <c r="G6" i="131"/>
  <c r="F486" i="113"/>
  <c r="F6" i="131"/>
  <c r="E486" i="113"/>
  <c r="G486" i="113"/>
  <c r="M486" i="113"/>
  <c r="M469" i="113"/>
  <c r="F12" i="56"/>
  <c r="E431" i="113"/>
  <c r="G431" i="113"/>
  <c r="M431" i="113"/>
  <c r="H13" i="56"/>
  <c r="F432" i="113"/>
  <c r="F13" i="56"/>
  <c r="E432" i="113"/>
  <c r="G432" i="113"/>
  <c r="M432" i="113"/>
  <c r="H14" i="56"/>
  <c r="F433" i="113"/>
  <c r="F14" i="56"/>
  <c r="E433" i="113"/>
  <c r="G433" i="113"/>
  <c r="M433" i="113"/>
  <c r="H15" i="56"/>
  <c r="F434" i="113"/>
  <c r="F15" i="56"/>
  <c r="E434" i="113"/>
  <c r="G434" i="113"/>
  <c r="M434" i="113"/>
  <c r="H16" i="56"/>
  <c r="F435" i="113"/>
  <c r="F16" i="56"/>
  <c r="E435" i="113"/>
  <c r="G435" i="113"/>
  <c r="M435" i="113"/>
  <c r="H17" i="56"/>
  <c r="F436" i="113"/>
  <c r="F17" i="56"/>
  <c r="E436" i="113"/>
  <c r="G436" i="113"/>
  <c r="M436" i="113"/>
  <c r="H18" i="56"/>
  <c r="F437" i="113"/>
  <c r="F18" i="56"/>
  <c r="E437" i="113"/>
  <c r="G437" i="113"/>
  <c r="M437" i="113"/>
  <c r="H19" i="56"/>
  <c r="F438" i="113"/>
  <c r="F19" i="56"/>
  <c r="E438" i="113"/>
  <c r="G438" i="113"/>
  <c r="M438" i="113"/>
  <c r="H20" i="56"/>
  <c r="F439" i="113"/>
  <c r="F20" i="56"/>
  <c r="E439" i="113"/>
  <c r="G439" i="113"/>
  <c r="M439" i="113"/>
  <c r="F4" i="56"/>
  <c r="E440" i="113"/>
  <c r="G440" i="113"/>
  <c r="M440" i="113"/>
  <c r="F5" i="56"/>
  <c r="E441" i="113"/>
  <c r="G441" i="113"/>
  <c r="M441" i="113"/>
  <c r="H6" i="56"/>
  <c r="F442" i="113"/>
  <c r="F6" i="56"/>
  <c r="E442" i="113"/>
  <c r="G442" i="113"/>
  <c r="M442" i="113"/>
  <c r="H7" i="56"/>
  <c r="F443" i="113"/>
  <c r="F7" i="56"/>
  <c r="E443" i="113"/>
  <c r="G443" i="113"/>
  <c r="M443" i="113"/>
  <c r="H8" i="56"/>
  <c r="F444" i="113"/>
  <c r="F8" i="56"/>
  <c r="E444" i="113"/>
  <c r="G444" i="113"/>
  <c r="M444" i="113"/>
  <c r="F21" i="56"/>
  <c r="E445" i="113"/>
  <c r="G445" i="113"/>
  <c r="M445" i="113"/>
  <c r="H22" i="56"/>
  <c r="F446" i="113"/>
  <c r="F22" i="56"/>
  <c r="E446" i="113"/>
  <c r="G446" i="113"/>
  <c r="M446" i="113"/>
  <c r="H23" i="56"/>
  <c r="F447" i="113"/>
  <c r="F23" i="56"/>
  <c r="E447" i="113"/>
  <c r="G447" i="113"/>
  <c r="M447" i="113"/>
  <c r="F24" i="56"/>
  <c r="E448" i="113"/>
  <c r="G448" i="113"/>
  <c r="M448" i="113"/>
  <c r="H25" i="56"/>
  <c r="F449" i="113"/>
  <c r="F25" i="56"/>
  <c r="E449" i="113"/>
  <c r="G449" i="113"/>
  <c r="M449" i="113"/>
  <c r="F26" i="56"/>
  <c r="E450" i="113"/>
  <c r="G450" i="113"/>
  <c r="M450" i="113"/>
  <c r="F27" i="56"/>
  <c r="E451" i="113"/>
  <c r="G451" i="113"/>
  <c r="M451" i="113"/>
  <c r="H28" i="56"/>
  <c r="F452" i="113"/>
  <c r="F28" i="56"/>
  <c r="E452" i="113"/>
  <c r="G452" i="113"/>
  <c r="M452" i="113"/>
  <c r="H29" i="56"/>
  <c r="F453" i="113"/>
  <c r="F29" i="56"/>
  <c r="E453" i="113"/>
  <c r="G453" i="113"/>
  <c r="M453" i="113"/>
  <c r="F30" i="56"/>
  <c r="E454" i="113"/>
  <c r="G454" i="113"/>
  <c r="M454" i="113"/>
  <c r="H4" i="125"/>
  <c r="E422" i="113"/>
  <c r="G422" i="113"/>
  <c r="M422" i="113"/>
  <c r="H5" i="125"/>
  <c r="E423" i="113"/>
  <c r="G423" i="113"/>
  <c r="M423" i="113"/>
  <c r="H6" i="125"/>
  <c r="E424" i="113"/>
  <c r="G424" i="113"/>
  <c r="M424" i="113"/>
  <c r="H7" i="125"/>
  <c r="E425" i="113"/>
  <c r="G425" i="113"/>
  <c r="M425" i="113"/>
  <c r="E426" i="113"/>
  <c r="G426" i="113"/>
  <c r="M426" i="113"/>
  <c r="H9" i="125"/>
  <c r="E427" i="113"/>
  <c r="G427" i="113"/>
  <c r="M427" i="113"/>
  <c r="H10" i="125"/>
  <c r="E428" i="113"/>
  <c r="G428" i="113"/>
  <c r="M428" i="113"/>
  <c r="H11" i="125"/>
  <c r="E429" i="113"/>
  <c r="G429" i="113"/>
  <c r="M429" i="113"/>
  <c r="H12" i="125"/>
  <c r="E430" i="113"/>
  <c r="G430" i="113"/>
  <c r="M430" i="113"/>
  <c r="D94" i="84"/>
  <c r="E94" i="84"/>
  <c r="I94" i="84"/>
  <c r="E314" i="113"/>
  <c r="G314" i="113"/>
  <c r="M314" i="113"/>
  <c r="M321" i="113"/>
  <c r="M322" i="113"/>
  <c r="M333" i="113"/>
  <c r="M332" i="113"/>
  <c r="M323" i="113"/>
  <c r="M325" i="113"/>
  <c r="M326" i="113"/>
  <c r="M327" i="113"/>
  <c r="M328" i="113"/>
  <c r="M329" i="113"/>
  <c r="M330" i="113"/>
  <c r="M331" i="113"/>
  <c r="M324" i="113"/>
  <c r="D97" i="84"/>
  <c r="E97" i="84"/>
  <c r="K97" i="84"/>
  <c r="F317" i="113"/>
  <c r="I97" i="84"/>
  <c r="E317" i="113"/>
  <c r="G317" i="113"/>
  <c r="M317" i="113"/>
  <c r="D98" i="84"/>
  <c r="E98" i="84"/>
  <c r="K98" i="84"/>
  <c r="F318" i="113"/>
  <c r="I98" i="84"/>
  <c r="E318" i="113"/>
  <c r="G318" i="113"/>
  <c r="M318" i="113"/>
  <c r="D99" i="84"/>
  <c r="E99" i="84"/>
  <c r="K99" i="84"/>
  <c r="F319" i="113"/>
  <c r="I99" i="84"/>
  <c r="E319" i="113"/>
  <c r="G319" i="113"/>
  <c r="M319" i="113"/>
  <c r="D100" i="84"/>
  <c r="E100" i="84"/>
  <c r="K100" i="84"/>
  <c r="F320" i="113"/>
  <c r="I100" i="84"/>
  <c r="E320" i="113"/>
  <c r="G320" i="113"/>
  <c r="M320" i="113"/>
  <c r="D96" i="84"/>
  <c r="E96" i="84"/>
  <c r="K96" i="84"/>
  <c r="F316" i="113"/>
  <c r="I96" i="84"/>
  <c r="E316" i="113"/>
  <c r="G316" i="113"/>
  <c r="M316" i="113"/>
  <c r="D95" i="84"/>
  <c r="E95" i="84"/>
  <c r="K95" i="84"/>
  <c r="F315" i="113"/>
  <c r="I95" i="84"/>
  <c r="E315" i="113"/>
  <c r="G315" i="113"/>
  <c r="M315" i="113"/>
  <c r="D93" i="84"/>
  <c r="E93" i="84"/>
  <c r="K93" i="84"/>
  <c r="F313" i="113"/>
  <c r="I93" i="84"/>
  <c r="E313" i="113"/>
  <c r="G313" i="113"/>
  <c r="M313" i="113"/>
  <c r="D43" i="84"/>
  <c r="E43" i="84"/>
  <c r="K43" i="84"/>
  <c r="F308" i="113"/>
  <c r="I43" i="84"/>
  <c r="E308" i="113"/>
  <c r="G308" i="113"/>
  <c r="M308" i="113"/>
  <c r="D34" i="84"/>
  <c r="E34" i="84"/>
  <c r="K34" i="84"/>
  <c r="F293" i="113"/>
  <c r="I34" i="84"/>
  <c r="E293" i="113"/>
  <c r="G293" i="113"/>
  <c r="M293" i="113"/>
  <c r="D75" i="84"/>
  <c r="E75" i="84"/>
  <c r="K75" i="84"/>
  <c r="F294" i="113"/>
  <c r="I75" i="84"/>
  <c r="E294" i="113"/>
  <c r="G294" i="113"/>
  <c r="M294" i="113"/>
  <c r="D76" i="84"/>
  <c r="E76" i="84"/>
  <c r="K76" i="84"/>
  <c r="F295" i="113"/>
  <c r="I76" i="84"/>
  <c r="E295" i="113"/>
  <c r="G295" i="113"/>
  <c r="M295" i="113"/>
  <c r="D77" i="84"/>
  <c r="E77" i="84"/>
  <c r="K77" i="84"/>
  <c r="F296" i="113"/>
  <c r="I77" i="84"/>
  <c r="E296" i="113"/>
  <c r="G296" i="113"/>
  <c r="M296" i="113"/>
  <c r="D78" i="84"/>
  <c r="E78" i="84"/>
  <c r="K78" i="84"/>
  <c r="F297" i="113"/>
  <c r="I78" i="84"/>
  <c r="E297" i="113"/>
  <c r="G297" i="113"/>
  <c r="M297" i="113"/>
  <c r="D79" i="84"/>
  <c r="E79" i="84"/>
  <c r="K79" i="84"/>
  <c r="F298" i="113"/>
  <c r="I79" i="84"/>
  <c r="E298" i="113"/>
  <c r="G298" i="113"/>
  <c r="M298" i="113"/>
  <c r="D80" i="84"/>
  <c r="E80" i="84"/>
  <c r="K80" i="84"/>
  <c r="F299" i="113"/>
  <c r="I80" i="84"/>
  <c r="E299" i="113"/>
  <c r="G299" i="113"/>
  <c r="M299" i="113"/>
  <c r="D81" i="84"/>
  <c r="E81" i="84"/>
  <c r="K81" i="84"/>
  <c r="F300" i="113"/>
  <c r="I81" i="84"/>
  <c r="E300" i="113"/>
  <c r="G300" i="113"/>
  <c r="M300" i="113"/>
  <c r="D82" i="84"/>
  <c r="E82" i="84"/>
  <c r="K82" i="84"/>
  <c r="F301" i="113"/>
  <c r="I82" i="84"/>
  <c r="E301" i="113"/>
  <c r="G301" i="113"/>
  <c r="M301" i="113"/>
  <c r="D83" i="84"/>
  <c r="E83" i="84"/>
  <c r="K83" i="84"/>
  <c r="F302" i="113"/>
  <c r="I83" i="84"/>
  <c r="E302" i="113"/>
  <c r="G302" i="113"/>
  <c r="M302" i="113"/>
  <c r="D84" i="84"/>
  <c r="E84" i="84"/>
  <c r="K84" i="84"/>
  <c r="F303" i="113"/>
  <c r="I84" i="84"/>
  <c r="E303" i="113"/>
  <c r="G303" i="113"/>
  <c r="M303" i="113"/>
  <c r="D85" i="84"/>
  <c r="E85" i="84"/>
  <c r="K85" i="84"/>
  <c r="F304" i="113"/>
  <c r="I85" i="84"/>
  <c r="E304" i="113"/>
  <c r="G304" i="113"/>
  <c r="M304" i="113"/>
  <c r="D86" i="84"/>
  <c r="E86" i="84"/>
  <c r="K86" i="84"/>
  <c r="F305" i="113"/>
  <c r="G305" i="113"/>
  <c r="M305" i="113"/>
  <c r="D39" i="84"/>
  <c r="E39" i="84"/>
  <c r="K39" i="84"/>
  <c r="F306" i="113"/>
  <c r="I39" i="84"/>
  <c r="E306" i="113"/>
  <c r="G306" i="113"/>
  <c r="M306" i="113"/>
  <c r="D40" i="84"/>
  <c r="E40" i="84"/>
  <c r="K40" i="84"/>
  <c r="F307" i="113"/>
  <c r="I40" i="84"/>
  <c r="E307" i="113"/>
  <c r="G307" i="113"/>
  <c r="M307" i="113"/>
  <c r="D33" i="84"/>
  <c r="E33" i="84"/>
  <c r="K33" i="84"/>
  <c r="F292" i="113"/>
  <c r="I33" i="84"/>
  <c r="E292" i="113"/>
  <c r="G292" i="113"/>
  <c r="M292" i="113"/>
  <c r="D29" i="84"/>
  <c r="E29" i="84"/>
  <c r="K29" i="84"/>
  <c r="F291" i="113"/>
  <c r="I29" i="84"/>
  <c r="E291" i="113"/>
  <c r="G291" i="113"/>
  <c r="M291" i="113"/>
  <c r="D26" i="84"/>
  <c r="E26" i="84"/>
  <c r="K26" i="84"/>
  <c r="F290" i="113"/>
  <c r="I26" i="84"/>
  <c r="E290" i="113"/>
  <c r="G290" i="113"/>
  <c r="M290" i="113"/>
  <c r="D12" i="84"/>
  <c r="E12" i="84"/>
  <c r="K12" i="84"/>
  <c r="F270" i="113"/>
  <c r="I12" i="84"/>
  <c r="E270" i="113"/>
  <c r="G270" i="113"/>
  <c r="M270" i="113"/>
  <c r="D13" i="84"/>
  <c r="E13" i="84"/>
  <c r="K13" i="84"/>
  <c r="F271" i="113"/>
  <c r="I13" i="84"/>
  <c r="E271" i="113"/>
  <c r="G271" i="113"/>
  <c r="M271" i="113"/>
  <c r="D14" i="84"/>
  <c r="E14" i="84"/>
  <c r="K14" i="84"/>
  <c r="F272" i="113"/>
  <c r="I14" i="84"/>
  <c r="E272" i="113"/>
  <c r="G272" i="113"/>
  <c r="M272" i="113"/>
  <c r="E15" i="84"/>
  <c r="K15" i="84"/>
  <c r="F273" i="113"/>
  <c r="I15" i="84"/>
  <c r="E273" i="113"/>
  <c r="G273" i="113"/>
  <c r="M273" i="113"/>
  <c r="E16" i="84"/>
  <c r="K16" i="84"/>
  <c r="F274" i="113"/>
  <c r="I16" i="84"/>
  <c r="E274" i="113"/>
  <c r="G274" i="113"/>
  <c r="M274" i="113"/>
  <c r="D17" i="84"/>
  <c r="K17" i="84"/>
  <c r="F275" i="113"/>
  <c r="I17" i="84"/>
  <c r="E275" i="113"/>
  <c r="G275" i="113"/>
  <c r="M275" i="113"/>
  <c r="D18" i="84"/>
  <c r="E18" i="84"/>
  <c r="K18" i="84"/>
  <c r="F276" i="113"/>
  <c r="E276" i="113"/>
  <c r="G276" i="113"/>
  <c r="M276" i="113"/>
  <c r="D19" i="84"/>
  <c r="E19" i="84"/>
  <c r="K19" i="84"/>
  <c r="F277" i="113"/>
  <c r="I19" i="84"/>
  <c r="E277" i="113"/>
  <c r="G277" i="113"/>
  <c r="M277" i="113"/>
  <c r="D20" i="84"/>
  <c r="E20" i="84"/>
  <c r="K20" i="84"/>
  <c r="F278" i="113"/>
  <c r="I20" i="84"/>
  <c r="E278" i="113"/>
  <c r="G278" i="113"/>
  <c r="M278" i="113"/>
  <c r="D57" i="84"/>
  <c r="E57" i="84"/>
  <c r="K57" i="84"/>
  <c r="F279" i="113"/>
  <c r="I57" i="84"/>
  <c r="E279" i="113"/>
  <c r="G279" i="113"/>
  <c r="M279" i="113"/>
  <c r="D58" i="84"/>
  <c r="E58" i="84"/>
  <c r="K58" i="84"/>
  <c r="F280" i="113"/>
  <c r="I58" i="84"/>
  <c r="E280" i="113"/>
  <c r="G280" i="113"/>
  <c r="M280" i="113"/>
  <c r="D59" i="84"/>
  <c r="E59" i="84"/>
  <c r="K59" i="84"/>
  <c r="F281" i="113"/>
  <c r="I59" i="84"/>
  <c r="E281" i="113"/>
  <c r="G281" i="113"/>
  <c r="M281" i="113"/>
  <c r="D60" i="84"/>
  <c r="E60" i="84"/>
  <c r="K60" i="84"/>
  <c r="F282" i="113"/>
  <c r="I60" i="84"/>
  <c r="E282" i="113"/>
  <c r="G282" i="113"/>
  <c r="M282" i="113"/>
  <c r="D61" i="84"/>
  <c r="E61" i="84"/>
  <c r="K61" i="84"/>
  <c r="F283" i="113"/>
  <c r="I61" i="84"/>
  <c r="E283" i="113"/>
  <c r="G283" i="113"/>
  <c r="M283" i="113"/>
  <c r="D62" i="84"/>
  <c r="E62" i="84"/>
  <c r="K62" i="84"/>
  <c r="F284" i="113"/>
  <c r="I62" i="84"/>
  <c r="E284" i="113"/>
  <c r="G284" i="113"/>
  <c r="M284" i="113"/>
  <c r="D63" i="84"/>
  <c r="E63" i="84"/>
  <c r="K63" i="84"/>
  <c r="F285" i="113"/>
  <c r="I63" i="84"/>
  <c r="E285" i="113"/>
  <c r="G285" i="113"/>
  <c r="M285" i="113"/>
  <c r="D64" i="84"/>
  <c r="E64" i="84"/>
  <c r="K64" i="84"/>
  <c r="F286" i="113"/>
  <c r="I64" i="84"/>
  <c r="E286" i="113"/>
  <c r="G286" i="113"/>
  <c r="M286" i="113"/>
  <c r="D65" i="84"/>
  <c r="E65" i="84"/>
  <c r="K65" i="84"/>
  <c r="F287" i="113"/>
  <c r="I65" i="84"/>
  <c r="E287" i="113"/>
  <c r="G287" i="113"/>
  <c r="M287" i="113"/>
  <c r="D66" i="84"/>
  <c r="E66" i="84"/>
  <c r="K66" i="84"/>
  <c r="F288" i="113"/>
  <c r="I66" i="84"/>
  <c r="E288" i="113"/>
  <c r="G288" i="113"/>
  <c r="M288" i="113"/>
  <c r="D25" i="84"/>
  <c r="E25" i="84"/>
  <c r="K25" i="84"/>
  <c r="F289" i="113"/>
  <c r="I25" i="84"/>
  <c r="E289" i="113"/>
  <c r="G289" i="113"/>
  <c r="M289" i="113"/>
  <c r="D11" i="84"/>
  <c r="E11" i="84"/>
  <c r="K11" i="84"/>
  <c r="F269" i="113"/>
  <c r="I11" i="84"/>
  <c r="E269" i="113"/>
  <c r="G269" i="113"/>
  <c r="M269" i="113"/>
  <c r="E24" i="82"/>
  <c r="G46" i="82"/>
  <c r="F253" i="113"/>
  <c r="E46" i="82"/>
  <c r="F46" i="82"/>
  <c r="E253" i="113"/>
  <c r="G253" i="113"/>
  <c r="M253" i="113"/>
  <c r="E23" i="82"/>
  <c r="G45" i="82"/>
  <c r="F252" i="113"/>
  <c r="E45" i="82"/>
  <c r="F45" i="82"/>
  <c r="E252" i="113"/>
  <c r="G252" i="113"/>
  <c r="M252" i="113"/>
  <c r="E22" i="82"/>
  <c r="G44" i="82"/>
  <c r="F251" i="113"/>
  <c r="E44" i="82"/>
  <c r="F44" i="82"/>
  <c r="E251" i="113"/>
  <c r="G251" i="113"/>
  <c r="M251" i="113"/>
  <c r="E21" i="82"/>
  <c r="G43" i="82"/>
  <c r="F250" i="113"/>
  <c r="E43" i="82"/>
  <c r="F43" i="82"/>
  <c r="E250" i="113"/>
  <c r="G250" i="113"/>
  <c r="M250" i="113"/>
  <c r="E20" i="82"/>
  <c r="G42" i="82"/>
  <c r="F249" i="113"/>
  <c r="E42" i="82"/>
  <c r="F42" i="82"/>
  <c r="E249" i="113"/>
  <c r="G249" i="113"/>
  <c r="M249" i="113"/>
  <c r="E19" i="82"/>
  <c r="G41" i="82"/>
  <c r="F248" i="113"/>
  <c r="E41" i="82"/>
  <c r="F41" i="82"/>
  <c r="E248" i="113"/>
  <c r="G248" i="113"/>
  <c r="M248" i="113"/>
  <c r="E18" i="82"/>
  <c r="G40" i="82"/>
  <c r="F247" i="113"/>
  <c r="E40" i="82"/>
  <c r="F40" i="82"/>
  <c r="E247" i="113"/>
  <c r="G247" i="113"/>
  <c r="M247" i="113"/>
  <c r="E17" i="82"/>
  <c r="G39" i="82"/>
  <c r="F246" i="113"/>
  <c r="E39" i="82"/>
  <c r="F39" i="82"/>
  <c r="E246" i="113"/>
  <c r="G246" i="113"/>
  <c r="M246" i="113"/>
  <c r="E16" i="82"/>
  <c r="G38" i="82"/>
  <c r="F245" i="113"/>
  <c r="E38" i="82"/>
  <c r="F38" i="82"/>
  <c r="E245" i="113"/>
  <c r="G245" i="113"/>
  <c r="M245" i="113"/>
  <c r="E15" i="82"/>
  <c r="G37" i="82"/>
  <c r="F244" i="113"/>
  <c r="E37" i="82"/>
  <c r="F37" i="82"/>
  <c r="E244" i="113"/>
  <c r="G244" i="113"/>
  <c r="M244" i="113"/>
  <c r="E14" i="82"/>
  <c r="G36" i="82"/>
  <c r="F243" i="113"/>
  <c r="E36" i="82"/>
  <c r="F36" i="82"/>
  <c r="E243" i="113"/>
  <c r="G243" i="113"/>
  <c r="M243" i="113"/>
  <c r="E13" i="82"/>
  <c r="G35" i="82"/>
  <c r="F242" i="113"/>
  <c r="E35" i="82"/>
  <c r="F35" i="82"/>
  <c r="E242" i="113"/>
  <c r="G242" i="113"/>
  <c r="M242" i="113"/>
  <c r="E12" i="82"/>
  <c r="G34" i="82"/>
  <c r="F241" i="113"/>
  <c r="E34" i="82"/>
  <c r="F34" i="82"/>
  <c r="E241" i="113"/>
  <c r="G241" i="113"/>
  <c r="M241" i="113"/>
  <c r="E11" i="82"/>
  <c r="G33" i="82"/>
  <c r="F240" i="113"/>
  <c r="E33" i="82"/>
  <c r="F33" i="82"/>
  <c r="E240" i="113"/>
  <c r="G240" i="113"/>
  <c r="M240" i="113"/>
  <c r="E10" i="82"/>
  <c r="G32" i="82"/>
  <c r="F239" i="113"/>
  <c r="E32" i="82"/>
  <c r="F32" i="82"/>
  <c r="E239" i="113"/>
  <c r="G239" i="113"/>
  <c r="M239" i="113"/>
  <c r="E9" i="82"/>
  <c r="G31" i="82"/>
  <c r="F238" i="113"/>
  <c r="E31" i="82"/>
  <c r="F31" i="82"/>
  <c r="E238" i="113"/>
  <c r="G238" i="113"/>
  <c r="M238" i="113"/>
  <c r="E8" i="82"/>
  <c r="G30" i="82"/>
  <c r="F237" i="113"/>
  <c r="E30" i="82"/>
  <c r="F30" i="82"/>
  <c r="E237" i="113"/>
  <c r="G237" i="113"/>
  <c r="M237" i="113"/>
  <c r="G29" i="82"/>
  <c r="F236" i="113"/>
  <c r="E29" i="82"/>
  <c r="F29" i="82"/>
  <c r="E236" i="113"/>
  <c r="G236" i="113"/>
  <c r="M236" i="113"/>
  <c r="F9" i="137"/>
  <c r="M217" i="113"/>
  <c r="F6" i="137"/>
  <c r="M216" i="113"/>
  <c r="F7" i="137"/>
  <c r="M215" i="113"/>
  <c r="F8" i="137"/>
  <c r="M214" i="113"/>
  <c r="F12" i="137"/>
  <c r="M213" i="113"/>
  <c r="F5" i="137"/>
  <c r="M212" i="113"/>
  <c r="F11" i="137"/>
  <c r="M211" i="113"/>
  <c r="F10" i="137"/>
  <c r="M210" i="113"/>
  <c r="M101" i="113"/>
  <c r="M102" i="113"/>
  <c r="M103" i="113"/>
  <c r="M104" i="113"/>
  <c r="D20" i="113"/>
  <c r="H20" i="113"/>
  <c r="D279" i="113"/>
  <c r="H279" i="113"/>
  <c r="H432" i="113"/>
  <c r="D296" i="113"/>
  <c r="H296" i="113"/>
  <c r="D297" i="113"/>
  <c r="H297" i="113"/>
  <c r="D281" i="113"/>
  <c r="H281" i="113"/>
  <c r="H25" i="134"/>
  <c r="D737" i="113"/>
  <c r="H737" i="113"/>
  <c r="D271" i="113"/>
  <c r="H271" i="113"/>
  <c r="D294" i="113"/>
  <c r="H294" i="113"/>
  <c r="D290" i="113"/>
  <c r="H290" i="113"/>
  <c r="D292" i="113"/>
  <c r="H292" i="113"/>
  <c r="D289" i="113"/>
  <c r="H289" i="113"/>
  <c r="D269" i="113"/>
  <c r="H269" i="113"/>
  <c r="D295" i="113"/>
  <c r="H295" i="113"/>
  <c r="D291" i="113"/>
  <c r="H291" i="113"/>
  <c r="D591" i="113"/>
  <c r="H591" i="113"/>
  <c r="D235" i="113"/>
  <c r="H24" i="82"/>
  <c r="E235" i="113"/>
  <c r="G235" i="113"/>
  <c r="H235" i="113"/>
  <c r="D568" i="113"/>
  <c r="H568" i="113"/>
  <c r="D226" i="113"/>
  <c r="H15" i="82"/>
  <c r="E226" i="113"/>
  <c r="G226" i="113"/>
  <c r="H226" i="113"/>
  <c r="D547" i="113"/>
  <c r="H547" i="113"/>
  <c r="H19" i="134"/>
  <c r="D728" i="113"/>
  <c r="H728" i="113"/>
  <c r="D541" i="113"/>
  <c r="H541" i="113"/>
  <c r="D231" i="113"/>
  <c r="H20" i="82"/>
  <c r="E231" i="113"/>
  <c r="G231" i="113"/>
  <c r="H231" i="113"/>
  <c r="H20" i="136"/>
  <c r="D717" i="113"/>
  <c r="H717" i="113"/>
  <c r="H23" i="136"/>
  <c r="D720" i="113"/>
  <c r="H720" i="113"/>
  <c r="D540" i="113"/>
  <c r="H540" i="113"/>
  <c r="H19" i="136"/>
  <c r="D716" i="113"/>
  <c r="H716" i="113"/>
  <c r="H20" i="134"/>
  <c r="D729" i="113"/>
  <c r="H729" i="113"/>
  <c r="H15" i="136"/>
  <c r="D712" i="113"/>
  <c r="H712" i="113"/>
  <c r="D545" i="113"/>
  <c r="H545" i="113"/>
  <c r="D225" i="113"/>
  <c r="H14" i="82"/>
  <c r="E225" i="113"/>
  <c r="G225" i="113"/>
  <c r="H225" i="113"/>
  <c r="H448" i="113"/>
  <c r="D316" i="113"/>
  <c r="H316" i="113"/>
  <c r="G10" i="133"/>
  <c r="D780" i="113"/>
  <c r="H780" i="113"/>
  <c r="H7" i="136"/>
  <c r="D704" i="113"/>
  <c r="H704" i="113"/>
  <c r="H11" i="136"/>
  <c r="D708" i="113"/>
  <c r="H708" i="113"/>
  <c r="D569" i="113"/>
  <c r="H569" i="113"/>
  <c r="D535" i="113"/>
  <c r="H535" i="113"/>
  <c r="H826" i="113"/>
  <c r="D536" i="113"/>
  <c r="H536" i="113"/>
  <c r="H8" i="136"/>
  <c r="D705" i="113"/>
  <c r="H705" i="113"/>
  <c r="D529" i="113"/>
  <c r="H529" i="113"/>
  <c r="G9" i="133"/>
  <c r="D779" i="113"/>
  <c r="H779" i="113"/>
  <c r="G20" i="133"/>
  <c r="D790" i="113"/>
  <c r="H790" i="113"/>
  <c r="H6" i="136"/>
  <c r="D703" i="113"/>
  <c r="H703" i="113"/>
  <c r="D530" i="113"/>
  <c r="H530" i="113"/>
  <c r="D252" i="113"/>
  <c r="H252" i="113"/>
  <c r="H825" i="113"/>
  <c r="D224" i="113"/>
  <c r="H13" i="82"/>
  <c r="E224" i="113"/>
  <c r="G224" i="113"/>
  <c r="H224" i="113"/>
  <c r="G17" i="133"/>
  <c r="D787" i="113"/>
  <c r="H787" i="113"/>
  <c r="G19" i="133"/>
  <c r="D789" i="113"/>
  <c r="H789" i="113"/>
  <c r="H11" i="134"/>
  <c r="D732" i="113"/>
  <c r="H732" i="113"/>
  <c r="D575" i="113"/>
  <c r="H575" i="113"/>
  <c r="G12" i="133"/>
  <c r="D782" i="113"/>
  <c r="H782" i="113"/>
  <c r="H22" i="134"/>
  <c r="D725" i="113"/>
  <c r="H725" i="113"/>
  <c r="D546" i="113"/>
  <c r="H546" i="113"/>
  <c r="D319" i="113"/>
  <c r="H319" i="113"/>
  <c r="H16" i="136"/>
  <c r="D713" i="113"/>
  <c r="H713" i="113"/>
  <c r="D223" i="113"/>
  <c r="H12" i="82"/>
  <c r="E223" i="113"/>
  <c r="G223" i="113"/>
  <c r="H223" i="113"/>
  <c r="G21" i="133"/>
  <c r="D791" i="113"/>
  <c r="H791" i="113"/>
  <c r="H806" i="113"/>
  <c r="D245" i="113"/>
  <c r="H245" i="113"/>
  <c r="D582" i="113"/>
  <c r="H582" i="113"/>
  <c r="G8" i="133"/>
  <c r="D778" i="113"/>
  <c r="H778" i="113"/>
  <c r="H805" i="113"/>
  <c r="D565" i="113"/>
  <c r="H565" i="113"/>
  <c r="D581" i="113"/>
  <c r="H581" i="113"/>
  <c r="H22" i="136"/>
  <c r="D719" i="113"/>
  <c r="H719" i="113"/>
  <c r="H803" i="113"/>
  <c r="D246" i="113"/>
  <c r="H246" i="113"/>
  <c r="D306" i="113"/>
  <c r="H306" i="113"/>
  <c r="D315" i="113"/>
  <c r="H315" i="113"/>
  <c r="H802" i="113"/>
  <c r="G13" i="133"/>
  <c r="D783" i="113"/>
  <c r="H783" i="113"/>
  <c r="D576" i="113"/>
  <c r="H576" i="113"/>
  <c r="G45" i="54"/>
  <c r="E824" i="113"/>
  <c r="G824" i="113"/>
  <c r="H824" i="113"/>
  <c r="G9" i="125"/>
  <c r="D427" i="113"/>
  <c r="H427" i="113"/>
  <c r="D534" i="113"/>
  <c r="H534" i="113"/>
  <c r="D243" i="113"/>
  <c r="H243" i="113"/>
  <c r="H12" i="134"/>
  <c r="D733" i="113"/>
  <c r="H733" i="113"/>
  <c r="D244" i="113"/>
  <c r="H244" i="113"/>
  <c r="D247" i="113"/>
  <c r="H247" i="113"/>
  <c r="D307" i="113"/>
  <c r="H307" i="113"/>
  <c r="H8" i="134"/>
  <c r="D723" i="113"/>
  <c r="H723" i="113"/>
  <c r="H801" i="113"/>
  <c r="D528" i="113"/>
  <c r="H528" i="113"/>
  <c r="H7" i="134"/>
  <c r="D722" i="113"/>
  <c r="H722" i="113"/>
  <c r="D542" i="113"/>
  <c r="H542" i="113"/>
  <c r="G18" i="133"/>
  <c r="D788" i="113"/>
  <c r="H788" i="113"/>
  <c r="D250" i="113"/>
  <c r="H250" i="113"/>
  <c r="H441" i="113"/>
  <c r="H26" i="134"/>
  <c r="D738" i="113"/>
  <c r="H738" i="113"/>
  <c r="D587" i="113"/>
  <c r="H587" i="113"/>
  <c r="D233" i="113"/>
  <c r="H22" i="82"/>
  <c r="E233" i="113"/>
  <c r="G233" i="113"/>
  <c r="H233" i="113"/>
  <c r="H804" i="113"/>
  <c r="D560" i="113"/>
  <c r="H560" i="113"/>
  <c r="D249" i="113"/>
  <c r="H249" i="113"/>
  <c r="D559" i="113"/>
  <c r="H559" i="113"/>
  <c r="G11" i="133"/>
  <c r="D781" i="113"/>
  <c r="H781" i="113"/>
  <c r="D537" i="113"/>
  <c r="H537" i="113"/>
  <c r="H27" i="134"/>
  <c r="D739" i="113"/>
  <c r="H739" i="113"/>
  <c r="D242" i="113"/>
  <c r="H242" i="113"/>
  <c r="D588" i="113"/>
  <c r="H588" i="113"/>
  <c r="H798" i="113"/>
  <c r="G5" i="133"/>
  <c r="D775" i="113"/>
  <c r="H775" i="113"/>
  <c r="G16" i="133"/>
  <c r="D786" i="113"/>
  <c r="H786" i="113"/>
  <c r="D594" i="113"/>
  <c r="H594" i="113"/>
  <c r="G15" i="133"/>
  <c r="D785" i="113"/>
  <c r="H785" i="113"/>
  <c r="G44" i="54"/>
  <c r="E823" i="113"/>
  <c r="G823" i="113"/>
  <c r="H823" i="113"/>
  <c r="D253" i="113"/>
  <c r="H253" i="113"/>
  <c r="D548" i="113"/>
  <c r="H548" i="113"/>
  <c r="D241" i="113"/>
  <c r="H241" i="113"/>
  <c r="D230" i="113"/>
  <c r="H19" i="82"/>
  <c r="E230" i="113"/>
  <c r="G230" i="113"/>
  <c r="H230" i="113"/>
  <c r="H23" i="134"/>
  <c r="D726" i="113"/>
  <c r="H726" i="113"/>
  <c r="D222" i="113"/>
  <c r="H11" i="82"/>
  <c r="E222" i="113"/>
  <c r="G222" i="113"/>
  <c r="H222" i="113"/>
  <c r="H799" i="113"/>
  <c r="D554" i="113"/>
  <c r="H554" i="113"/>
  <c r="G7" i="133"/>
  <c r="D777" i="113"/>
  <c r="H777" i="113"/>
  <c r="G14" i="133"/>
  <c r="D784" i="113"/>
  <c r="H784" i="113"/>
  <c r="D553" i="113"/>
  <c r="H553" i="113"/>
  <c r="D287" i="113"/>
  <c r="H287" i="113"/>
  <c r="G6" i="133"/>
  <c r="D776" i="113"/>
  <c r="H776" i="113"/>
  <c r="G8" i="125"/>
  <c r="D426" i="113"/>
  <c r="H426" i="113"/>
  <c r="H818" i="113"/>
  <c r="H821" i="113"/>
  <c r="H800" i="113"/>
  <c r="H812" i="113"/>
  <c r="H820" i="113"/>
  <c r="G43" i="54"/>
  <c r="E822" i="113"/>
  <c r="G822" i="113"/>
  <c r="H822" i="113"/>
  <c r="D531" i="113"/>
  <c r="H531" i="113"/>
  <c r="H817" i="113"/>
  <c r="H816" i="113"/>
  <c r="H797" i="113"/>
  <c r="H794" i="113"/>
  <c r="D251" i="113"/>
  <c r="H251" i="113"/>
  <c r="H792" i="113"/>
  <c r="D288" i="113"/>
  <c r="H288" i="113"/>
  <c r="H10" i="134"/>
  <c r="D731" i="113"/>
  <c r="H731" i="113"/>
  <c r="H819" i="113"/>
  <c r="D745" i="113"/>
  <c r="H745" i="113"/>
  <c r="H793" i="113"/>
  <c r="H17" i="136"/>
  <c r="D714" i="113"/>
  <c r="H714" i="113"/>
  <c r="D744" i="113"/>
  <c r="H744" i="113"/>
  <c r="D272" i="113"/>
  <c r="H272" i="113"/>
  <c r="D240" i="113"/>
  <c r="H240" i="113"/>
  <c r="D543" i="113"/>
  <c r="H543" i="113"/>
  <c r="D746" i="113"/>
  <c r="H746" i="113"/>
  <c r="H16" i="134"/>
  <c r="D734" i="113"/>
  <c r="H734" i="113"/>
  <c r="H814" i="113"/>
  <c r="D304" i="113"/>
  <c r="H304" i="113"/>
  <c r="H795" i="113"/>
  <c r="D278" i="113"/>
  <c r="H278" i="113"/>
  <c r="H796" i="113"/>
  <c r="D248" i="113"/>
  <c r="H248" i="113"/>
  <c r="D275" i="113"/>
  <c r="H275" i="113"/>
  <c r="H17" i="134"/>
  <c r="D735" i="113"/>
  <c r="H735" i="113"/>
  <c r="H815" i="113"/>
  <c r="H813" i="113"/>
  <c r="D221" i="113"/>
  <c r="H10" i="82"/>
  <c r="E221" i="113"/>
  <c r="G221" i="113"/>
  <c r="H221" i="113"/>
  <c r="G7" i="125"/>
  <c r="D425" i="113"/>
  <c r="H425" i="113"/>
  <c r="F14" i="126"/>
  <c r="D421" i="113"/>
  <c r="D285" i="113"/>
  <c r="H285" i="113"/>
  <c r="D283" i="113"/>
  <c r="H283" i="113"/>
  <c r="D743" i="113"/>
  <c r="H743" i="113"/>
  <c r="D276" i="113"/>
  <c r="H276" i="113"/>
  <c r="D280" i="113"/>
  <c r="H280" i="113"/>
  <c r="D219" i="113"/>
  <c r="H8" i="82"/>
  <c r="E219" i="113"/>
  <c r="G219" i="113"/>
  <c r="H219" i="113"/>
  <c r="D752" i="113"/>
  <c r="H752" i="113"/>
  <c r="H440" i="113"/>
  <c r="H433" i="113"/>
  <c r="D750" i="113"/>
  <c r="H750" i="113"/>
  <c r="F22" i="126"/>
  <c r="D411" i="113"/>
  <c r="D237" i="113"/>
  <c r="H237" i="113"/>
  <c r="F13" i="126"/>
  <c r="D420" i="113"/>
  <c r="G5" i="125"/>
  <c r="D423" i="113"/>
  <c r="H423" i="113"/>
  <c r="D749" i="113"/>
  <c r="H749" i="113"/>
  <c r="D751" i="113"/>
  <c r="H751" i="113"/>
  <c r="D239" i="113"/>
  <c r="H239" i="113"/>
  <c r="G6" i="125"/>
  <c r="D424" i="113"/>
  <c r="H424" i="113"/>
  <c r="D220" i="113"/>
  <c r="H9" i="82"/>
  <c r="E220" i="113"/>
  <c r="G220" i="113"/>
  <c r="H220" i="113"/>
  <c r="F15" i="126"/>
  <c r="D404" i="113"/>
  <c r="F21" i="126"/>
  <c r="D410" i="113"/>
  <c r="F12" i="126"/>
  <c r="D419" i="113"/>
  <c r="D753" i="113"/>
  <c r="H753" i="113"/>
  <c r="F20" i="126"/>
  <c r="D409" i="113"/>
  <c r="F11" i="126"/>
  <c r="D418" i="113"/>
  <c r="F10" i="126"/>
  <c r="D417" i="113"/>
  <c r="D286" i="113"/>
  <c r="H286" i="113"/>
  <c r="F19" i="126"/>
  <c r="D408" i="113"/>
  <c r="F8" i="126"/>
  <c r="D415" i="113"/>
  <c r="D300" i="113"/>
  <c r="H300" i="113"/>
  <c r="D305" i="113"/>
  <c r="H305" i="113"/>
  <c r="D293" i="113"/>
  <c r="H293" i="113"/>
  <c r="G4" i="125"/>
  <c r="D422" i="113"/>
  <c r="H422" i="113"/>
  <c r="D273" i="113"/>
  <c r="H273" i="113"/>
  <c r="F16" i="126"/>
  <c r="D405" i="113"/>
  <c r="D238" i="113"/>
  <c r="H238" i="113"/>
  <c r="D303" i="113"/>
  <c r="H303" i="113"/>
  <c r="D284" i="113"/>
  <c r="H284" i="113"/>
  <c r="D277" i="113"/>
  <c r="H277" i="113"/>
  <c r="F18" i="126"/>
  <c r="D407" i="113"/>
  <c r="H431" i="113"/>
  <c r="F17" i="126"/>
  <c r="D406" i="113"/>
  <c r="F7" i="126"/>
  <c r="D414" i="113"/>
  <c r="F9" i="126"/>
  <c r="D416" i="113"/>
  <c r="D299" i="113"/>
  <c r="H299" i="113"/>
  <c r="D301" i="113"/>
  <c r="H301" i="113"/>
  <c r="D302" i="113"/>
  <c r="H302" i="113"/>
  <c r="F6" i="126"/>
  <c r="D413" i="113"/>
  <c r="D282" i="113"/>
  <c r="H282" i="113"/>
  <c r="D270" i="113"/>
  <c r="H270" i="113"/>
  <c r="D274" i="113"/>
  <c r="H274" i="113"/>
  <c r="D298" i="113"/>
  <c r="H298" i="113"/>
  <c r="F5" i="126"/>
  <c r="D412" i="113"/>
  <c r="D229" i="113"/>
  <c r="H18" i="82"/>
  <c r="E229" i="113"/>
  <c r="G229" i="113"/>
  <c r="H229" i="113"/>
  <c r="H13" i="134"/>
  <c r="D740" i="113"/>
  <c r="H740" i="113"/>
  <c r="G10" i="125"/>
  <c r="D428" i="113"/>
  <c r="H428" i="113"/>
  <c r="D558" i="113"/>
  <c r="H558" i="113"/>
  <c r="D227" i="113"/>
  <c r="H16" i="82"/>
  <c r="E227" i="113"/>
  <c r="G227" i="113"/>
  <c r="H227" i="113"/>
  <c r="E8" i="128"/>
  <c r="D864" i="113"/>
  <c r="G8" i="128"/>
  <c r="E864" i="113"/>
  <c r="G864" i="113"/>
  <c r="H864" i="113"/>
  <c r="D320" i="113"/>
  <c r="H320" i="113"/>
  <c r="D232" i="113"/>
  <c r="H21" i="82"/>
  <c r="E232" i="113"/>
  <c r="G232" i="113"/>
  <c r="H232" i="113"/>
  <c r="D555" i="113"/>
  <c r="H555" i="113"/>
  <c r="H18" i="136"/>
  <c r="D715" i="113"/>
  <c r="H715" i="113"/>
  <c r="H434" i="113"/>
  <c r="D549" i="113"/>
  <c r="H549" i="113"/>
  <c r="D556" i="113"/>
  <c r="H556" i="113"/>
  <c r="H9" i="136"/>
  <c r="D706" i="113"/>
  <c r="H706" i="113"/>
  <c r="D228" i="113"/>
  <c r="H17" i="82"/>
  <c r="E228" i="113"/>
  <c r="G228" i="113"/>
  <c r="H228" i="113"/>
  <c r="H447" i="113"/>
  <c r="H24" i="134"/>
  <c r="D727" i="113"/>
  <c r="H727" i="113"/>
  <c r="D550" i="113"/>
  <c r="H550" i="113"/>
  <c r="E6" i="128"/>
  <c r="D861" i="113"/>
  <c r="G6" i="128"/>
  <c r="E861" i="113"/>
  <c r="G861" i="113"/>
  <c r="H861" i="113"/>
  <c r="D317" i="113"/>
  <c r="H317" i="113"/>
  <c r="D561" i="113"/>
  <c r="H561" i="113"/>
  <c r="D589" i="113"/>
  <c r="H589" i="113"/>
  <c r="H442" i="113"/>
  <c r="D577" i="113"/>
  <c r="H577" i="113"/>
  <c r="D586" i="113"/>
  <c r="H586" i="113"/>
  <c r="D570" i="113"/>
  <c r="H570" i="113"/>
  <c r="D593" i="113"/>
  <c r="H593" i="113"/>
  <c r="D236" i="113"/>
  <c r="H236" i="113"/>
  <c r="D533" i="113"/>
  <c r="H533" i="113"/>
  <c r="E4" i="128"/>
  <c r="D862" i="113"/>
  <c r="G4" i="128"/>
  <c r="E862" i="113"/>
  <c r="G862" i="113"/>
  <c r="H862" i="113"/>
  <c r="D91" i="84"/>
  <c r="E91" i="84"/>
  <c r="D311" i="113"/>
  <c r="I91" i="84"/>
  <c r="E311" i="113"/>
  <c r="G311" i="113"/>
  <c r="H311" i="113"/>
  <c r="D574" i="113"/>
  <c r="H574" i="113"/>
  <c r="D538" i="113"/>
  <c r="H538" i="113"/>
  <c r="D544" i="113"/>
  <c r="H544" i="113"/>
  <c r="D526" i="113"/>
  <c r="H526" i="113"/>
  <c r="H10" i="136"/>
  <c r="D707" i="113"/>
  <c r="H707" i="113"/>
  <c r="D563" i="113"/>
  <c r="H563" i="113"/>
  <c r="D308" i="113"/>
  <c r="H308" i="113"/>
  <c r="D573" i="113"/>
  <c r="H573" i="113"/>
  <c r="D579" i="113"/>
  <c r="H579" i="113"/>
  <c r="D571" i="113"/>
  <c r="H571" i="113"/>
  <c r="D564" i="113"/>
  <c r="H564" i="113"/>
  <c r="D527" i="113"/>
  <c r="H527" i="113"/>
  <c r="D551" i="113"/>
  <c r="H551" i="113"/>
  <c r="D552" i="113"/>
  <c r="H552" i="113"/>
  <c r="H21" i="136"/>
  <c r="D718" i="113"/>
  <c r="H718" i="113"/>
  <c r="D557" i="113"/>
  <c r="H557" i="113"/>
  <c r="E9" i="128"/>
  <c r="D858" i="113"/>
  <c r="G9" i="128"/>
  <c r="E858" i="113"/>
  <c r="G858" i="113"/>
  <c r="H858" i="113"/>
  <c r="D562" i="113"/>
  <c r="H562" i="113"/>
  <c r="H13" i="136"/>
  <c r="D710" i="113"/>
  <c r="H710" i="113"/>
  <c r="E10" i="128"/>
  <c r="D866" i="113"/>
  <c r="G10" i="128"/>
  <c r="E866" i="113"/>
  <c r="G866" i="113"/>
  <c r="H866" i="113"/>
  <c r="D314" i="113"/>
  <c r="H314" i="113"/>
  <c r="G11" i="125"/>
  <c r="D429" i="113"/>
  <c r="H429" i="113"/>
  <c r="E12" i="128"/>
  <c r="D859" i="113"/>
  <c r="G12" i="128"/>
  <c r="E859" i="113"/>
  <c r="G859" i="113"/>
  <c r="H859" i="113"/>
  <c r="H453" i="113"/>
  <c r="D318" i="113"/>
  <c r="H318" i="113"/>
  <c r="H454" i="113"/>
  <c r="D585" i="113"/>
  <c r="H585" i="113"/>
  <c r="D592" i="113"/>
  <c r="H592" i="113"/>
  <c r="H21" i="134"/>
  <c r="D730" i="113"/>
  <c r="H730" i="113"/>
  <c r="H12" i="136"/>
  <c r="D709" i="113"/>
  <c r="H709" i="113"/>
  <c r="H445" i="113"/>
  <c r="H446" i="113"/>
  <c r="D583" i="113"/>
  <c r="H583" i="113"/>
  <c r="H436" i="113"/>
  <c r="I32" i="127"/>
  <c r="A3" i="127"/>
  <c r="J32" i="127"/>
  <c r="D847" i="113"/>
  <c r="K32" i="127"/>
  <c r="E847" i="113"/>
  <c r="G847" i="113"/>
  <c r="H847" i="113"/>
  <c r="H24" i="136"/>
  <c r="D721" i="113"/>
  <c r="H721" i="113"/>
  <c r="H14" i="134"/>
  <c r="D741" i="113"/>
  <c r="H741" i="113"/>
  <c r="D567" i="113"/>
  <c r="H567" i="113"/>
  <c r="H18" i="134"/>
  <c r="D736" i="113"/>
  <c r="H736" i="113"/>
  <c r="D313" i="113"/>
  <c r="H313" i="113"/>
  <c r="D234" i="113"/>
  <c r="H23" i="82"/>
  <c r="E234" i="113"/>
  <c r="G234" i="113"/>
  <c r="H234" i="113"/>
  <c r="D566" i="113"/>
  <c r="H566" i="113"/>
  <c r="D532" i="113"/>
  <c r="H532" i="113"/>
  <c r="E11" i="128"/>
  <c r="D860" i="113"/>
  <c r="G11" i="128"/>
  <c r="E860" i="113"/>
  <c r="G860" i="113"/>
  <c r="H860" i="113"/>
  <c r="H449" i="113"/>
  <c r="D580" i="113"/>
  <c r="H580" i="113"/>
  <c r="E3" i="128"/>
  <c r="D867" i="113"/>
  <c r="G3" i="128"/>
  <c r="E867" i="113"/>
  <c r="G867" i="113"/>
  <c r="H867" i="113"/>
  <c r="D539" i="113"/>
  <c r="H539" i="113"/>
  <c r="H435" i="113"/>
  <c r="J9" i="120"/>
  <c r="D1434" i="113"/>
  <c r="H1434" i="113"/>
  <c r="I42" i="127"/>
  <c r="J42" i="127"/>
  <c r="D857" i="113"/>
  <c r="K42" i="127"/>
  <c r="E857" i="113"/>
  <c r="G857" i="113"/>
  <c r="H857" i="113"/>
  <c r="G12" i="125"/>
  <c r="D430" i="113"/>
  <c r="H430" i="113"/>
  <c r="I40" i="127"/>
  <c r="J40" i="127"/>
  <c r="D855" i="113"/>
  <c r="K40" i="127"/>
  <c r="E855" i="113"/>
  <c r="G855" i="113"/>
  <c r="H855" i="113"/>
  <c r="J8" i="120"/>
  <c r="D1433" i="113"/>
  <c r="H1433" i="113"/>
  <c r="J10" i="120"/>
  <c r="D1435" i="113"/>
  <c r="H1435" i="113"/>
  <c r="J7" i="120"/>
  <c r="D1432" i="113"/>
  <c r="H1432" i="113"/>
  <c r="I39" i="127"/>
  <c r="J39" i="127"/>
  <c r="D854" i="113"/>
  <c r="K39" i="127"/>
  <c r="E854" i="113"/>
  <c r="G854" i="113"/>
  <c r="H854" i="113"/>
  <c r="H693" i="113"/>
  <c r="I38" i="127"/>
  <c r="J38" i="127"/>
  <c r="D853" i="113"/>
  <c r="K38" i="127"/>
  <c r="E853" i="113"/>
  <c r="G853" i="113"/>
  <c r="H853" i="113"/>
  <c r="H694" i="113"/>
  <c r="H689" i="113"/>
  <c r="J6" i="120"/>
  <c r="D1431" i="113"/>
  <c r="H1431" i="113"/>
  <c r="J11" i="120"/>
  <c r="D1436" i="113"/>
  <c r="H1436" i="113"/>
  <c r="I36" i="127"/>
  <c r="J36" i="127"/>
  <c r="D851" i="113"/>
  <c r="K36" i="127"/>
  <c r="E851" i="113"/>
  <c r="G851" i="113"/>
  <c r="H851" i="113"/>
  <c r="H683" i="113"/>
  <c r="I37" i="127"/>
  <c r="J37" i="127"/>
  <c r="D852" i="113"/>
  <c r="K37" i="127"/>
  <c r="E852" i="113"/>
  <c r="G852" i="113"/>
  <c r="H852" i="113"/>
  <c r="H686" i="113"/>
  <c r="H681" i="113"/>
  <c r="H679" i="113"/>
  <c r="H691" i="113"/>
  <c r="H701" i="113"/>
  <c r="H680" i="113"/>
  <c r="H687" i="113"/>
  <c r="H690" i="113"/>
  <c r="H684" i="113"/>
  <c r="H688" i="113"/>
  <c r="H698" i="113"/>
  <c r="H692" i="113"/>
  <c r="H685" i="113"/>
  <c r="H702" i="113"/>
  <c r="H682" i="113"/>
  <c r="H700" i="113"/>
  <c r="H14" i="136"/>
  <c r="D711" i="113"/>
  <c r="H711" i="113"/>
  <c r="J5" i="120"/>
  <c r="D1430" i="113"/>
  <c r="H1430" i="113"/>
  <c r="H695" i="113"/>
  <c r="H699" i="113"/>
  <c r="I35" i="127"/>
  <c r="J35" i="127"/>
  <c r="D850" i="113"/>
  <c r="K35" i="127"/>
  <c r="E850" i="113"/>
  <c r="G850" i="113"/>
  <c r="H850" i="113"/>
  <c r="D590" i="113"/>
  <c r="H590" i="113"/>
  <c r="H696" i="113"/>
  <c r="H697" i="113"/>
  <c r="H437" i="113"/>
  <c r="D578" i="113"/>
  <c r="H578" i="113"/>
  <c r="D584" i="113"/>
  <c r="H584" i="113"/>
  <c r="E7" i="128"/>
  <c r="D863" i="113"/>
  <c r="G7" i="128"/>
  <c r="E863" i="113"/>
  <c r="G863" i="113"/>
  <c r="H863" i="113"/>
  <c r="I34" i="127"/>
  <c r="J34" i="127"/>
  <c r="D849" i="113"/>
  <c r="K34" i="127"/>
  <c r="E849" i="113"/>
  <c r="G849" i="113"/>
  <c r="H849" i="113"/>
  <c r="H15" i="134"/>
  <c r="D742" i="113"/>
  <c r="H742" i="113"/>
  <c r="I33" i="127"/>
  <c r="J33" i="127"/>
  <c r="D848" i="113"/>
  <c r="K33" i="127"/>
  <c r="E848" i="113"/>
  <c r="G848" i="113"/>
  <c r="H848" i="113"/>
  <c r="H444" i="113"/>
  <c r="H451" i="113"/>
  <c r="D572" i="113"/>
  <c r="H572" i="113"/>
  <c r="J4" i="120"/>
  <c r="D1429" i="113"/>
  <c r="H1429" i="113"/>
  <c r="H443" i="113"/>
  <c r="H438" i="113"/>
  <c r="H439" i="113"/>
  <c r="E5" i="128"/>
  <c r="D865" i="113"/>
  <c r="G5" i="128"/>
  <c r="E865" i="113"/>
  <c r="G865" i="113"/>
  <c r="H865" i="113"/>
  <c r="H9" i="134"/>
  <c r="D724" i="113"/>
  <c r="H724" i="113"/>
  <c r="H450" i="113"/>
  <c r="D92" i="84"/>
  <c r="E92" i="84"/>
  <c r="D312" i="113"/>
  <c r="I92" i="84"/>
  <c r="E312" i="113"/>
  <c r="G312" i="113"/>
  <c r="H312" i="113"/>
  <c r="I31" i="127"/>
  <c r="J31" i="127"/>
  <c r="D846" i="113"/>
  <c r="K31" i="127"/>
  <c r="E846" i="113"/>
  <c r="G846" i="113"/>
  <c r="H846" i="113"/>
  <c r="H452" i="113"/>
  <c r="L27" i="119"/>
  <c r="D1500" i="113"/>
  <c r="M27" i="119"/>
  <c r="E1500" i="113"/>
  <c r="G1500" i="113"/>
  <c r="H1500" i="113"/>
  <c r="I41" i="127"/>
  <c r="J41" i="127"/>
  <c r="D856" i="113"/>
  <c r="K41" i="127"/>
  <c r="E856" i="113"/>
  <c r="G856" i="113"/>
  <c r="H856" i="113"/>
  <c r="J25" i="120"/>
  <c r="D1450" i="113"/>
  <c r="K25" i="120"/>
  <c r="E1450" i="113"/>
  <c r="G1450" i="113"/>
  <c r="H1450" i="113"/>
  <c r="J17" i="120"/>
  <c r="D1442" i="113"/>
  <c r="K17" i="120"/>
  <c r="E1442" i="113"/>
  <c r="G1442" i="113"/>
  <c r="H1442" i="113"/>
  <c r="J23" i="120"/>
  <c r="D1448" i="113"/>
  <c r="K23" i="120"/>
  <c r="E1448" i="113"/>
  <c r="G1448" i="113"/>
  <c r="H1448" i="113"/>
  <c r="J15" i="120"/>
  <c r="D1440" i="113"/>
  <c r="K15" i="120"/>
  <c r="E1440" i="113"/>
  <c r="G1440" i="113"/>
  <c r="H1440" i="113"/>
  <c r="L90" i="119"/>
  <c r="D1563" i="113"/>
  <c r="M90" i="119"/>
  <c r="E1563" i="113"/>
  <c r="G1563" i="113"/>
  <c r="H1563" i="113"/>
  <c r="J14" i="120"/>
  <c r="D1439" i="113"/>
  <c r="K14" i="120"/>
  <c r="E1439" i="113"/>
  <c r="G1439" i="113"/>
  <c r="H1439" i="113"/>
  <c r="J22" i="120"/>
  <c r="D1447" i="113"/>
  <c r="K22" i="120"/>
  <c r="E1447" i="113"/>
  <c r="G1447" i="113"/>
  <c r="H1447" i="113"/>
  <c r="J20" i="120"/>
  <c r="D1445" i="113"/>
  <c r="K20" i="120"/>
  <c r="E1445" i="113"/>
  <c r="G1445" i="113"/>
  <c r="H1445" i="113"/>
  <c r="L29" i="119"/>
  <c r="D1502" i="113"/>
  <c r="M29" i="119"/>
  <c r="E1502" i="113"/>
  <c r="G1502" i="113"/>
  <c r="H1502" i="113"/>
  <c r="L36" i="119"/>
  <c r="D1509" i="113"/>
  <c r="M36" i="119"/>
  <c r="E1509" i="113"/>
  <c r="G1509" i="113"/>
  <c r="H1509" i="113"/>
  <c r="L34" i="119"/>
  <c r="D1507" i="113"/>
  <c r="M34" i="119"/>
  <c r="E1507" i="113"/>
  <c r="G1507" i="113"/>
  <c r="H1507" i="113"/>
  <c r="J21" i="120"/>
  <c r="D1446" i="113"/>
  <c r="K21" i="120"/>
  <c r="E1446" i="113"/>
  <c r="G1446" i="113"/>
  <c r="H1446" i="113"/>
  <c r="H486" i="113"/>
  <c r="L55" i="119"/>
  <c r="D1528" i="113"/>
  <c r="M55" i="119"/>
  <c r="E1528" i="113"/>
  <c r="G1528" i="113"/>
  <c r="H1528" i="113"/>
  <c r="H485" i="113"/>
  <c r="L72" i="119"/>
  <c r="D1545" i="113"/>
  <c r="M72" i="119"/>
  <c r="E1545" i="113"/>
  <c r="G1545" i="113"/>
  <c r="H1545" i="113"/>
  <c r="L5" i="119"/>
  <c r="D1478" i="113"/>
  <c r="H1478" i="113"/>
  <c r="L70" i="119"/>
  <c r="D1543" i="113"/>
  <c r="M70" i="119"/>
  <c r="E1543" i="113"/>
  <c r="G1543" i="113"/>
  <c r="H1543" i="113"/>
  <c r="L61" i="119"/>
  <c r="D1534" i="113"/>
  <c r="M61" i="119"/>
  <c r="E1534" i="113"/>
  <c r="G1534" i="113"/>
  <c r="H1534" i="113"/>
  <c r="L66" i="119"/>
  <c r="D1539" i="113"/>
  <c r="M66" i="119"/>
  <c r="E1539" i="113"/>
  <c r="G1539" i="113"/>
  <c r="H1539" i="113"/>
  <c r="L41" i="119"/>
  <c r="D1514" i="113"/>
  <c r="M41" i="119"/>
  <c r="E1514" i="113"/>
  <c r="G1514" i="113"/>
  <c r="H1514" i="113"/>
  <c r="L67" i="119"/>
  <c r="D1540" i="113"/>
  <c r="M67" i="119"/>
  <c r="E1540" i="113"/>
  <c r="G1540" i="113"/>
  <c r="H1540" i="113"/>
  <c r="L7" i="119"/>
  <c r="D1480" i="113"/>
  <c r="H1480" i="113"/>
  <c r="L8" i="119"/>
  <c r="D1481" i="113"/>
  <c r="H1481" i="113"/>
  <c r="L10" i="119"/>
  <c r="D1483" i="113"/>
  <c r="M10" i="119"/>
  <c r="E1483" i="113"/>
  <c r="G1483" i="113"/>
  <c r="H1483" i="113"/>
  <c r="L74" i="119"/>
  <c r="D1547" i="113"/>
  <c r="M74" i="119"/>
  <c r="E1547" i="113"/>
  <c r="G1547" i="113"/>
  <c r="H1547" i="113"/>
  <c r="J19" i="120"/>
  <c r="D1444" i="113"/>
  <c r="K19" i="120"/>
  <c r="E1444" i="113"/>
  <c r="G1444" i="113"/>
  <c r="H1444" i="113"/>
  <c r="L65" i="119"/>
  <c r="D1538" i="113"/>
  <c r="M65" i="119"/>
  <c r="E1538" i="113"/>
  <c r="G1538" i="113"/>
  <c r="H1538" i="113"/>
  <c r="L46" i="119"/>
  <c r="D1519" i="113"/>
  <c r="M46" i="119"/>
  <c r="E1519" i="113"/>
  <c r="G1519" i="113"/>
  <c r="H1519" i="113"/>
  <c r="J26" i="120"/>
  <c r="D1451" i="113"/>
  <c r="K26" i="120"/>
  <c r="E1451" i="113"/>
  <c r="G1451" i="113"/>
  <c r="H1451" i="113"/>
  <c r="L57" i="119"/>
  <c r="D1530" i="113"/>
  <c r="M57" i="119"/>
  <c r="E1530" i="113"/>
  <c r="G1530" i="113"/>
  <c r="H1530" i="113"/>
  <c r="L6" i="119"/>
  <c r="D1479" i="113"/>
  <c r="H1479" i="113"/>
  <c r="L68" i="119"/>
  <c r="D1541" i="113"/>
  <c r="M68" i="119"/>
  <c r="E1541" i="113"/>
  <c r="G1541" i="113"/>
  <c r="H1541" i="113"/>
  <c r="L54" i="119"/>
  <c r="D1527" i="113"/>
  <c r="M54" i="119"/>
  <c r="E1527" i="113"/>
  <c r="G1527" i="113"/>
  <c r="H1527" i="113"/>
  <c r="L78" i="119"/>
  <c r="D1551" i="113"/>
  <c r="M78" i="119"/>
  <c r="E1551" i="113"/>
  <c r="G1551" i="113"/>
  <c r="H1551" i="113"/>
  <c r="L37" i="119"/>
  <c r="D1510" i="113"/>
  <c r="M37" i="119"/>
  <c r="E1510" i="113"/>
  <c r="G1510" i="113"/>
  <c r="H1510" i="113"/>
  <c r="L81" i="119"/>
  <c r="D1554" i="113"/>
  <c r="M81" i="119"/>
  <c r="E1554" i="113"/>
  <c r="G1554" i="113"/>
  <c r="H1554" i="113"/>
  <c r="J27" i="120"/>
  <c r="D1452" i="113"/>
  <c r="K27" i="120"/>
  <c r="E1452" i="113"/>
  <c r="G1452" i="113"/>
  <c r="H1452" i="113"/>
  <c r="J28" i="120"/>
  <c r="D1453" i="113"/>
  <c r="K28" i="120"/>
  <c r="E1453" i="113"/>
  <c r="G1453" i="113"/>
  <c r="H1453" i="113"/>
  <c r="L47" i="119"/>
  <c r="D1520" i="113"/>
  <c r="M47" i="119"/>
  <c r="E1520" i="113"/>
  <c r="G1520" i="113"/>
  <c r="H1520" i="113"/>
  <c r="L64" i="119"/>
  <c r="D1537" i="113"/>
  <c r="M64" i="119"/>
  <c r="E1537" i="113"/>
  <c r="G1537" i="113"/>
  <c r="H1537" i="113"/>
  <c r="J12" i="120"/>
  <c r="D1437" i="113"/>
  <c r="K12" i="120"/>
  <c r="E1437" i="113"/>
  <c r="G1437" i="113"/>
  <c r="H1437" i="113"/>
  <c r="L59" i="119"/>
  <c r="D1532" i="113"/>
  <c r="M59" i="119"/>
  <c r="E1532" i="113"/>
  <c r="G1532" i="113"/>
  <c r="H1532" i="113"/>
  <c r="J18" i="120"/>
  <c r="D1443" i="113"/>
  <c r="K18" i="120"/>
  <c r="E1443" i="113"/>
  <c r="G1443" i="113"/>
  <c r="H1443" i="113"/>
  <c r="J13" i="120"/>
  <c r="D1438" i="113"/>
  <c r="K13" i="120"/>
  <c r="E1438" i="113"/>
  <c r="G1438" i="113"/>
  <c r="H1438" i="113"/>
  <c r="J16" i="120"/>
  <c r="D1441" i="113"/>
  <c r="K16" i="120"/>
  <c r="E1441" i="113"/>
  <c r="G1441" i="113"/>
  <c r="H1441" i="113"/>
  <c r="L18" i="119"/>
  <c r="D1491" i="113"/>
  <c r="M18" i="119"/>
  <c r="E1491" i="113"/>
  <c r="G1491" i="113"/>
  <c r="H1491" i="113"/>
  <c r="J24" i="120"/>
  <c r="D1449" i="113"/>
  <c r="K24" i="120"/>
  <c r="E1449" i="113"/>
  <c r="G1449" i="113"/>
  <c r="H1449" i="113"/>
  <c r="B8" i="82"/>
  <c r="C8" i="82"/>
  <c r="C219" i="113"/>
  <c r="B9" i="82"/>
  <c r="C9" i="82"/>
  <c r="C220" i="113"/>
  <c r="B10" i="82"/>
  <c r="C10" i="82"/>
  <c r="C221" i="113"/>
  <c r="B11" i="82"/>
  <c r="C11" i="82"/>
  <c r="C222" i="113"/>
  <c r="B12" i="82"/>
  <c r="C12" i="82"/>
  <c r="C223" i="113"/>
  <c r="B13" i="82"/>
  <c r="C13" i="82"/>
  <c r="C224" i="113"/>
  <c r="B14" i="82"/>
  <c r="C14" i="82"/>
  <c r="C225" i="113"/>
  <c r="B15" i="82"/>
  <c r="C15" i="82"/>
  <c r="C226" i="113"/>
  <c r="B16" i="82"/>
  <c r="C16" i="82"/>
  <c r="C227" i="113"/>
  <c r="B17" i="82"/>
  <c r="C17" i="82"/>
  <c r="C228" i="113"/>
  <c r="B18" i="82"/>
  <c r="C18" i="82"/>
  <c r="C229" i="113"/>
  <c r="B19" i="82"/>
  <c r="C19" i="82"/>
  <c r="C230" i="113"/>
  <c r="B20" i="82"/>
  <c r="C20" i="82"/>
  <c r="C231" i="113"/>
  <c r="B21" i="82"/>
  <c r="C21" i="82"/>
  <c r="C232" i="113"/>
  <c r="B22" i="82"/>
  <c r="C22" i="82"/>
  <c r="C233" i="113"/>
  <c r="B23" i="82"/>
  <c r="C23" i="82"/>
  <c r="C234" i="113"/>
  <c r="B24" i="82"/>
  <c r="C24" i="82"/>
  <c r="C235" i="113"/>
  <c r="B7" i="82"/>
  <c r="C7" i="82"/>
  <c r="C218" i="113"/>
  <c r="E7" i="137"/>
  <c r="H215" i="113"/>
  <c r="E8" i="137"/>
  <c r="H214" i="113"/>
  <c r="E9" i="137"/>
  <c r="H217" i="113"/>
  <c r="E10" i="137"/>
  <c r="H210" i="113"/>
  <c r="E11" i="137"/>
  <c r="H211" i="113"/>
  <c r="E12" i="137"/>
  <c r="H213" i="113"/>
  <c r="E6" i="137"/>
  <c r="H216" i="113"/>
  <c r="E5" i="137"/>
  <c r="H212" i="113"/>
  <c r="D13" i="142"/>
  <c r="C774" i="113"/>
  <c r="F13" i="142"/>
  <c r="H774" i="113"/>
  <c r="D6" i="142"/>
  <c r="C767" i="113"/>
  <c r="F6" i="142"/>
  <c r="H767" i="113"/>
  <c r="D7" i="142"/>
  <c r="C768" i="113"/>
  <c r="F7" i="142"/>
  <c r="H768" i="113"/>
  <c r="D8" i="142"/>
  <c r="C769" i="113"/>
  <c r="F8" i="142"/>
  <c r="H769" i="113"/>
  <c r="D9" i="142"/>
  <c r="C770" i="113"/>
  <c r="F9" i="142"/>
  <c r="H770" i="113"/>
  <c r="D10" i="142"/>
  <c r="C771" i="113"/>
  <c r="F10" i="142"/>
  <c r="H771" i="113"/>
  <c r="D11" i="142"/>
  <c r="C772" i="113"/>
  <c r="F11" i="142"/>
  <c r="H772" i="113"/>
  <c r="D12" i="142"/>
  <c r="C773" i="113"/>
  <c r="F12" i="142"/>
  <c r="H773" i="113"/>
  <c r="F5" i="142"/>
  <c r="H766" i="113"/>
  <c r="D5" i="142"/>
  <c r="C766" i="113"/>
  <c r="F4" i="142"/>
  <c r="H765" i="113"/>
  <c r="D4" i="142"/>
  <c r="C765" i="113"/>
  <c r="C756" i="113"/>
  <c r="C757" i="113"/>
  <c r="C758" i="113"/>
  <c r="C759" i="113"/>
  <c r="C760" i="113"/>
  <c r="C761" i="113"/>
  <c r="C762" i="113"/>
  <c r="C763" i="113"/>
  <c r="C764" i="113"/>
  <c r="C755" i="113"/>
  <c r="E13" i="142"/>
  <c r="H764" i="113"/>
  <c r="E6" i="142"/>
  <c r="H757" i="113"/>
  <c r="E7" i="142"/>
  <c r="H758" i="113"/>
  <c r="E8" i="142"/>
  <c r="H759" i="113"/>
  <c r="E9" i="142"/>
  <c r="H760" i="113"/>
  <c r="E10" i="142"/>
  <c r="H761" i="113"/>
  <c r="E11" i="142"/>
  <c r="H762" i="113"/>
  <c r="E12" i="142"/>
  <c r="H763" i="113"/>
  <c r="E5" i="142"/>
  <c r="H756" i="113"/>
  <c r="E4" i="142"/>
  <c r="H755" i="113"/>
  <c r="J29" i="120"/>
  <c r="D1454" i="113"/>
  <c r="E4" i="101"/>
  <c r="D403" i="113"/>
  <c r="E6" i="101"/>
  <c r="D399" i="113"/>
  <c r="E5" i="101"/>
  <c r="D401" i="113"/>
  <c r="E7" i="101"/>
  <c r="D397" i="113"/>
  <c r="E14" i="101"/>
  <c r="D394" i="113"/>
  <c r="E8" i="101"/>
  <c r="D402" i="113"/>
  <c r="E17" i="101"/>
  <c r="D388" i="113"/>
  <c r="E9" i="101"/>
  <c r="D398" i="113"/>
  <c r="E16" i="101"/>
  <c r="D391" i="113"/>
  <c r="E15" i="101"/>
  <c r="D392" i="113"/>
  <c r="E10" i="101"/>
  <c r="D396" i="113"/>
  <c r="E11" i="101"/>
  <c r="D400" i="113"/>
  <c r="E12" i="101"/>
  <c r="D393" i="113"/>
  <c r="E20" i="101"/>
  <c r="D389" i="113"/>
  <c r="E19" i="101"/>
  <c r="D390" i="113"/>
  <c r="E18" i="101"/>
  <c r="D395" i="113"/>
  <c r="E21" i="101"/>
  <c r="D386" i="113"/>
  <c r="E22" i="101"/>
  <c r="D387" i="113"/>
  <c r="E23" i="101"/>
  <c r="D383" i="113"/>
  <c r="E13" i="101"/>
  <c r="D385" i="113"/>
  <c r="E32" i="101"/>
  <c r="D372" i="113"/>
  <c r="E24" i="101"/>
  <c r="D379" i="113"/>
  <c r="E31" i="101"/>
  <c r="D374" i="113"/>
  <c r="E25" i="101"/>
  <c r="D384" i="113"/>
  <c r="E29" i="101"/>
  <c r="D377" i="113"/>
  <c r="E30" i="101"/>
  <c r="D375" i="113"/>
  <c r="E26" i="101"/>
  <c r="D382" i="113"/>
  <c r="E27" i="101"/>
  <c r="D381" i="113"/>
  <c r="E28" i="101"/>
  <c r="D380" i="113"/>
  <c r="E33" i="101"/>
  <c r="D376" i="113"/>
  <c r="E34" i="101"/>
  <c r="D378" i="113"/>
  <c r="E35" i="101"/>
  <c r="D373" i="113"/>
  <c r="D26" i="87"/>
  <c r="D663" i="113"/>
  <c r="D34" i="87"/>
  <c r="D671" i="113"/>
  <c r="D25" i="87"/>
  <c r="D662" i="113"/>
  <c r="D8" i="87"/>
  <c r="D648" i="113"/>
  <c r="D6" i="87"/>
  <c r="D646" i="113"/>
  <c r="D46" i="87"/>
  <c r="D624" i="113"/>
  <c r="D51" i="87"/>
  <c r="D629" i="113"/>
  <c r="D17" i="87"/>
  <c r="D657" i="113"/>
  <c r="D47" i="87"/>
  <c r="D625" i="113"/>
  <c r="D16" i="87"/>
  <c r="D656" i="113"/>
  <c r="D18" i="87"/>
  <c r="D658" i="113"/>
  <c r="D20" i="87"/>
  <c r="D660" i="113"/>
  <c r="D19" i="87"/>
  <c r="D659" i="113"/>
  <c r="D50" i="87"/>
  <c r="D628" i="113"/>
  <c r="D52" i="87"/>
  <c r="D630" i="113"/>
  <c r="L52" i="119"/>
  <c r="D1525" i="113"/>
  <c r="L39" i="119"/>
  <c r="D1512" i="113"/>
  <c r="L43" i="119"/>
  <c r="D1516" i="113"/>
  <c r="L89" i="119"/>
  <c r="D1562" i="113"/>
  <c r="J4" i="34"/>
  <c r="D105" i="113"/>
  <c r="J6" i="34"/>
  <c r="D107" i="113"/>
  <c r="J7" i="34"/>
  <c r="D108" i="113"/>
  <c r="J8" i="34"/>
  <c r="D109" i="113"/>
  <c r="J9" i="34"/>
  <c r="D110" i="113"/>
  <c r="J10" i="34"/>
  <c r="D112" i="113"/>
  <c r="J13" i="34"/>
  <c r="D114" i="113"/>
  <c r="J14" i="34"/>
  <c r="D115" i="113"/>
  <c r="J15" i="34"/>
  <c r="D116" i="113"/>
  <c r="J16" i="34"/>
  <c r="D117" i="113"/>
  <c r="J17" i="34"/>
  <c r="D118" i="113"/>
  <c r="J19" i="34"/>
  <c r="D120" i="113"/>
  <c r="J20" i="34"/>
  <c r="D121" i="113"/>
  <c r="J22" i="34"/>
  <c r="D123" i="113"/>
  <c r="J27" i="34"/>
  <c r="D128" i="113"/>
  <c r="J28" i="34"/>
  <c r="D129" i="113"/>
  <c r="J29" i="34"/>
  <c r="D130" i="113"/>
  <c r="J30" i="34"/>
  <c r="D131" i="113"/>
  <c r="J31" i="34"/>
  <c r="D132" i="113"/>
  <c r="J32" i="34"/>
  <c r="D133" i="113"/>
  <c r="J33" i="34"/>
  <c r="D134" i="113"/>
  <c r="J34" i="34"/>
  <c r="D135" i="113"/>
  <c r="J35" i="34"/>
  <c r="D136" i="113"/>
  <c r="D47" i="84"/>
  <c r="E47" i="84"/>
  <c r="D309" i="113"/>
  <c r="D48" i="84"/>
  <c r="E48" i="84"/>
  <c r="D310" i="113"/>
  <c r="K6" i="45"/>
  <c r="L6" i="45"/>
  <c r="D487" i="113"/>
  <c r="K22" i="45"/>
  <c r="L22" i="45"/>
  <c r="D503" i="113"/>
  <c r="K24" i="45"/>
  <c r="L24" i="45"/>
  <c r="D505" i="113"/>
  <c r="D11" i="43"/>
  <c r="E11" i="43"/>
  <c r="D517" i="113"/>
  <c r="D7" i="87"/>
  <c r="D647" i="113"/>
  <c r="D27" i="87"/>
  <c r="D664" i="113"/>
  <c r="D9" i="87"/>
  <c r="D649" i="113"/>
  <c r="D28" i="87"/>
  <c r="D665" i="113"/>
  <c r="D10" i="87"/>
  <c r="D650" i="113"/>
  <c r="D29" i="87"/>
  <c r="D666" i="113"/>
  <c r="D11" i="87"/>
  <c r="D651" i="113"/>
  <c r="D12" i="87"/>
  <c r="D652" i="113"/>
  <c r="D30" i="87"/>
  <c r="D667" i="113"/>
  <c r="D13" i="87"/>
  <c r="D653" i="113"/>
  <c r="D14" i="87"/>
  <c r="D654" i="113"/>
  <c r="D31" i="87"/>
  <c r="D668" i="113"/>
  <c r="D32" i="87"/>
  <c r="D669" i="113"/>
  <c r="D15" i="87"/>
  <c r="D655" i="113"/>
  <c r="D33" i="87"/>
  <c r="D670" i="113"/>
  <c r="D35" i="87"/>
  <c r="D672" i="113"/>
  <c r="D36" i="87"/>
  <c r="D673" i="113"/>
  <c r="D21" i="87"/>
  <c r="D661" i="113"/>
  <c r="D37" i="87"/>
  <c r="D674" i="113"/>
  <c r="D38" i="87"/>
  <c r="D675" i="113"/>
  <c r="D39" i="87"/>
  <c r="D676" i="113"/>
  <c r="D40" i="87"/>
  <c r="D677" i="113"/>
  <c r="D41" i="87"/>
  <c r="D678" i="113"/>
  <c r="L30" i="119"/>
  <c r="D1503" i="113"/>
  <c r="L31" i="119"/>
  <c r="D1504" i="113"/>
  <c r="L32" i="119"/>
  <c r="D1505" i="113"/>
  <c r="L33" i="119"/>
  <c r="D1506" i="113"/>
  <c r="L35" i="119"/>
  <c r="D1508" i="113"/>
  <c r="L9" i="119"/>
  <c r="D1482" i="113"/>
  <c r="L69" i="119"/>
  <c r="D1542" i="113"/>
  <c r="L38" i="119"/>
  <c r="D1511" i="113"/>
  <c r="L11" i="119"/>
  <c r="D1484" i="113"/>
  <c r="L71" i="119"/>
  <c r="D1544" i="113"/>
  <c r="L12" i="119"/>
  <c r="D1485" i="113"/>
  <c r="L40" i="119"/>
  <c r="D1513" i="113"/>
  <c r="L13" i="119"/>
  <c r="D1486" i="113"/>
  <c r="L73" i="119"/>
  <c r="D1546" i="113"/>
  <c r="L14" i="119"/>
  <c r="D1487" i="113"/>
  <c r="L15" i="119"/>
  <c r="D1488" i="113"/>
  <c r="L16" i="119"/>
  <c r="D1489" i="113"/>
  <c r="L42" i="119"/>
  <c r="D1515" i="113"/>
  <c r="L17" i="119"/>
  <c r="D1490" i="113"/>
  <c r="L19" i="119"/>
  <c r="D1492" i="113"/>
  <c r="L20" i="119"/>
  <c r="D1493" i="113"/>
  <c r="L75" i="119"/>
  <c r="D1548" i="113"/>
  <c r="L44" i="119"/>
  <c r="D1517" i="113"/>
  <c r="L22" i="119"/>
  <c r="D1494" i="113"/>
  <c r="L76" i="119"/>
  <c r="D1549" i="113"/>
  <c r="L23" i="119"/>
  <c r="D1496" i="113"/>
  <c r="L45" i="119"/>
  <c r="D1518" i="113"/>
  <c r="L24" i="119"/>
  <c r="D1497" i="113"/>
  <c r="L77" i="119"/>
  <c r="D1550" i="113"/>
  <c r="L25" i="119"/>
  <c r="D1498" i="113"/>
  <c r="L26" i="119"/>
  <c r="D1499" i="113"/>
  <c r="L28" i="119"/>
  <c r="D1501" i="113"/>
  <c r="L48" i="119"/>
  <c r="D1521" i="113"/>
  <c r="L79" i="119"/>
  <c r="D1552" i="113"/>
  <c r="L49" i="119"/>
  <c r="D1522" i="113"/>
  <c r="L50" i="119"/>
  <c r="D1523" i="113"/>
  <c r="L51" i="119"/>
  <c r="D1524" i="113"/>
  <c r="L80" i="119"/>
  <c r="D1553" i="113"/>
  <c r="L53" i="119"/>
  <c r="D1526" i="113"/>
  <c r="L82" i="119"/>
  <c r="D1555" i="113"/>
  <c r="L83" i="119"/>
  <c r="D1556" i="113"/>
  <c r="L56" i="119"/>
  <c r="D1529" i="113"/>
  <c r="L84" i="119"/>
  <c r="D1557" i="113"/>
  <c r="L85" i="119"/>
  <c r="D1558" i="113"/>
  <c r="L58" i="119"/>
  <c r="D1531" i="113"/>
  <c r="L86" i="119"/>
  <c r="D1559" i="113"/>
  <c r="L87" i="119"/>
  <c r="D1560" i="113"/>
  <c r="L88" i="119"/>
  <c r="D1561" i="113"/>
  <c r="L60" i="119"/>
  <c r="D1533" i="113"/>
  <c r="L62" i="119"/>
  <c r="D1535" i="113"/>
  <c r="L63" i="119"/>
  <c r="D1536" i="113"/>
  <c r="F8" i="140"/>
  <c r="P336" i="113"/>
  <c r="F7" i="140"/>
  <c r="P334" i="113"/>
  <c r="B33" i="127"/>
  <c r="C848" i="113"/>
  <c r="B34" i="127"/>
  <c r="C849" i="113"/>
  <c r="B35" i="127"/>
  <c r="C850" i="113"/>
  <c r="B36" i="127"/>
  <c r="C851" i="113"/>
  <c r="B37" i="127"/>
  <c r="C852" i="113"/>
  <c r="B38" i="127"/>
  <c r="C853" i="113"/>
  <c r="B39" i="127"/>
  <c r="C854" i="113"/>
  <c r="B40" i="127"/>
  <c r="C855" i="113"/>
  <c r="B41" i="127"/>
  <c r="C856" i="113"/>
  <c r="B42" i="127"/>
  <c r="C857" i="113"/>
  <c r="B32" i="127"/>
  <c r="C847" i="113"/>
  <c r="B31" i="127"/>
  <c r="C846" i="113"/>
  <c r="F19" i="138"/>
  <c r="C259" i="113"/>
  <c r="F16" i="138"/>
  <c r="C256" i="113"/>
  <c r="F17" i="138"/>
  <c r="C257" i="113"/>
  <c r="F18" i="138"/>
  <c r="C258" i="113"/>
  <c r="F7" i="138"/>
  <c r="C262" i="113"/>
  <c r="F8" i="138"/>
  <c r="C263" i="113"/>
  <c r="F9" i="138"/>
  <c r="C264" i="113"/>
  <c r="F10" i="138"/>
  <c r="C265" i="113"/>
  <c r="F11" i="138"/>
  <c r="C266" i="113"/>
  <c r="F12" i="138"/>
  <c r="C267" i="113"/>
  <c r="F13" i="138"/>
  <c r="C268" i="113"/>
  <c r="F14" i="138"/>
  <c r="C254" i="113"/>
  <c r="F15" i="138"/>
  <c r="C255" i="113"/>
  <c r="F6" i="138"/>
  <c r="C261" i="113"/>
  <c r="F5" i="138"/>
  <c r="C260" i="113"/>
  <c r="H6" i="45"/>
  <c r="I6" i="45"/>
  <c r="F487" i="113"/>
  <c r="J11" i="43"/>
  <c r="K11" i="43"/>
  <c r="F517" i="113"/>
  <c r="I21" i="54"/>
  <c r="F807" i="113"/>
  <c r="I50" i="54"/>
  <c r="F829" i="113"/>
  <c r="I49" i="54"/>
  <c r="F828" i="113"/>
  <c r="I48" i="54"/>
  <c r="F827" i="113"/>
  <c r="I22" i="54"/>
  <c r="F808" i="113"/>
  <c r="I23" i="54"/>
  <c r="F809" i="113"/>
  <c r="E57" i="135"/>
  <c r="C569" i="113"/>
  <c r="E58" i="135"/>
  <c r="C575" i="113"/>
  <c r="E59" i="135"/>
  <c r="C581" i="113"/>
  <c r="E60" i="135"/>
  <c r="C588" i="113"/>
  <c r="E61" i="135"/>
  <c r="C591" i="113"/>
  <c r="E62" i="135"/>
  <c r="C528" i="113"/>
  <c r="E63" i="135"/>
  <c r="C534" i="113"/>
  <c r="E64" i="135"/>
  <c r="C542" i="113"/>
  <c r="E65" i="135"/>
  <c r="C546" i="113"/>
  <c r="E66" i="135"/>
  <c r="C553" i="113"/>
  <c r="E67" i="135"/>
  <c r="C559" i="113"/>
  <c r="E68" i="135"/>
  <c r="C565" i="113"/>
  <c r="E69" i="135"/>
  <c r="C568" i="113"/>
  <c r="E70" i="135"/>
  <c r="C576" i="113"/>
  <c r="E71" i="135"/>
  <c r="C582" i="113"/>
  <c r="E72" i="135"/>
  <c r="C587" i="113"/>
  <c r="E73" i="135"/>
  <c r="C594" i="113"/>
  <c r="E7" i="135"/>
  <c r="C540" i="113"/>
  <c r="E8" i="135"/>
  <c r="C551" i="113"/>
  <c r="E9" i="135"/>
  <c r="C557" i="113"/>
  <c r="E10" i="135"/>
  <c r="C563" i="113"/>
  <c r="E11" i="135"/>
  <c r="C571" i="113"/>
  <c r="E12" i="135"/>
  <c r="C579" i="113"/>
  <c r="E13" i="135"/>
  <c r="C586" i="113"/>
  <c r="E14" i="135"/>
  <c r="C592" i="113"/>
  <c r="E15" i="135"/>
  <c r="C529" i="113"/>
  <c r="E16" i="135"/>
  <c r="C536" i="113"/>
  <c r="E17" i="135"/>
  <c r="C541" i="113"/>
  <c r="E18" i="135"/>
  <c r="C547" i="113"/>
  <c r="E19" i="135"/>
  <c r="C552" i="113"/>
  <c r="E20" i="135"/>
  <c r="C558" i="113"/>
  <c r="E21" i="135"/>
  <c r="C564" i="113"/>
  <c r="E22" i="135"/>
  <c r="C570" i="113"/>
  <c r="E23" i="135"/>
  <c r="C574" i="113"/>
  <c r="E24" i="135"/>
  <c r="C580" i="113"/>
  <c r="E25" i="135"/>
  <c r="C585" i="113"/>
  <c r="E26" i="135"/>
  <c r="C593" i="113"/>
  <c r="E27" i="135"/>
  <c r="C527" i="113"/>
  <c r="E28" i="135"/>
  <c r="C532" i="113"/>
  <c r="E29" i="135"/>
  <c r="C538" i="113"/>
  <c r="E30" i="135"/>
  <c r="C544" i="113"/>
  <c r="E31" i="135"/>
  <c r="C550" i="113"/>
  <c r="E32" i="135"/>
  <c r="C556" i="113"/>
  <c r="E33" i="135"/>
  <c r="C562" i="113"/>
  <c r="E34" i="135"/>
  <c r="C566" i="113"/>
  <c r="E35" i="135"/>
  <c r="C572" i="113"/>
  <c r="E36" i="135"/>
  <c r="C578" i="113"/>
  <c r="E37" i="135"/>
  <c r="C584" i="113"/>
  <c r="E38" i="135"/>
  <c r="C590" i="113"/>
  <c r="E39" i="135"/>
  <c r="C526" i="113"/>
  <c r="E40" i="135"/>
  <c r="C533" i="113"/>
  <c r="E41" i="135"/>
  <c r="C539" i="113"/>
  <c r="E42" i="135"/>
  <c r="C545" i="113"/>
  <c r="E43" i="135"/>
  <c r="C549" i="113"/>
  <c r="E44" i="135"/>
  <c r="C555" i="113"/>
  <c r="E45" i="135"/>
  <c r="C561" i="113"/>
  <c r="E46" i="135"/>
  <c r="C567" i="113"/>
  <c r="E47" i="135"/>
  <c r="C573" i="113"/>
  <c r="E48" i="135"/>
  <c r="C577" i="113"/>
  <c r="E49" i="135"/>
  <c r="C583" i="113"/>
  <c r="E50" i="135"/>
  <c r="C589" i="113"/>
  <c r="E51" i="135"/>
  <c r="C531" i="113"/>
  <c r="E52" i="135"/>
  <c r="C537" i="113"/>
  <c r="E53" i="135"/>
  <c r="C543" i="113"/>
  <c r="E54" i="135"/>
  <c r="C548" i="113"/>
  <c r="E55" i="135"/>
  <c r="C554" i="113"/>
  <c r="E56" i="135"/>
  <c r="C560" i="113"/>
  <c r="E6" i="135"/>
  <c r="C535" i="113"/>
  <c r="E5" i="135"/>
  <c r="C530" i="113"/>
  <c r="F5" i="133"/>
  <c r="C775" i="113"/>
  <c r="B6" i="131"/>
  <c r="C486" i="113"/>
  <c r="B5" i="131"/>
  <c r="C485" i="113"/>
  <c r="F8" i="129"/>
  <c r="C695" i="113"/>
  <c r="C5" i="128"/>
  <c r="C865" i="113"/>
  <c r="C6" i="128"/>
  <c r="C861" i="113"/>
  <c r="C7" i="128"/>
  <c r="C863" i="113"/>
  <c r="C8" i="128"/>
  <c r="C864" i="113"/>
  <c r="C9" i="128"/>
  <c r="C858" i="113"/>
  <c r="C10" i="128"/>
  <c r="C866" i="113"/>
  <c r="C11" i="128"/>
  <c r="C860" i="113"/>
  <c r="C12" i="128"/>
  <c r="C859" i="113"/>
  <c r="C4" i="128"/>
  <c r="C862" i="113"/>
  <c r="C3" i="128"/>
  <c r="C867" i="113"/>
  <c r="B17" i="126"/>
  <c r="C406" i="113"/>
  <c r="B18" i="126"/>
  <c r="C407" i="113"/>
  <c r="B19" i="126"/>
  <c r="C408" i="113"/>
  <c r="B20" i="126"/>
  <c r="C409" i="113"/>
  <c r="B21" i="126"/>
  <c r="C410" i="113"/>
  <c r="B22" i="126"/>
  <c r="C411" i="113"/>
  <c r="B7" i="126"/>
  <c r="C414" i="113"/>
  <c r="B8" i="126"/>
  <c r="C415" i="113"/>
  <c r="B9" i="126"/>
  <c r="C416" i="113"/>
  <c r="B10" i="126"/>
  <c r="C417" i="113"/>
  <c r="B11" i="126"/>
  <c r="C418" i="113"/>
  <c r="B12" i="126"/>
  <c r="C419" i="113"/>
  <c r="B13" i="126"/>
  <c r="C420" i="113"/>
  <c r="B14" i="126"/>
  <c r="C421" i="113"/>
  <c r="B15" i="126"/>
  <c r="C404" i="113"/>
  <c r="B16" i="126"/>
  <c r="C405" i="113"/>
  <c r="B6" i="126"/>
  <c r="C413" i="113"/>
  <c r="B5" i="126"/>
  <c r="C412" i="113"/>
  <c r="I14" i="33"/>
  <c r="J14" i="33"/>
  <c r="I839" i="113"/>
  <c r="F14" i="33"/>
  <c r="G14" i="33"/>
  <c r="J839" i="113"/>
  <c r="K839" i="113"/>
  <c r="N839" i="113"/>
  <c r="J7" i="87"/>
  <c r="K7" i="87"/>
  <c r="J647" i="113"/>
  <c r="J27" i="87"/>
  <c r="K27" i="87"/>
  <c r="J664" i="113"/>
  <c r="J36" i="87"/>
  <c r="K36" i="87"/>
  <c r="J673" i="113"/>
  <c r="D5" i="34"/>
  <c r="E5" i="34"/>
  <c r="J106" i="113"/>
  <c r="I5" i="33"/>
  <c r="J5" i="33"/>
  <c r="I830" i="113"/>
  <c r="F5" i="33"/>
  <c r="G5" i="33"/>
  <c r="J830" i="113"/>
  <c r="K830" i="113"/>
  <c r="N830" i="113"/>
  <c r="I6" i="33"/>
  <c r="J6" i="33"/>
  <c r="I831" i="113"/>
  <c r="F6" i="33"/>
  <c r="G6" i="33"/>
  <c r="J831" i="113"/>
  <c r="K831" i="113"/>
  <c r="N831" i="113"/>
  <c r="I7" i="33"/>
  <c r="J7" i="33"/>
  <c r="I832" i="113"/>
  <c r="F7" i="33"/>
  <c r="G7" i="33"/>
  <c r="J832" i="113"/>
  <c r="K832" i="113"/>
  <c r="N832" i="113"/>
  <c r="I8" i="33"/>
  <c r="J8" i="33"/>
  <c r="I833" i="113"/>
  <c r="F8" i="33"/>
  <c r="G8" i="33"/>
  <c r="J833" i="113"/>
  <c r="K833" i="113"/>
  <c r="N833" i="113"/>
  <c r="I9" i="33"/>
  <c r="J9" i="33"/>
  <c r="I834" i="113"/>
  <c r="F9" i="33"/>
  <c r="G9" i="33"/>
  <c r="J834" i="113"/>
  <c r="K834" i="113"/>
  <c r="N834" i="113"/>
  <c r="I10" i="33"/>
  <c r="J10" i="33"/>
  <c r="I835" i="113"/>
  <c r="F10" i="33"/>
  <c r="G10" i="33"/>
  <c r="J835" i="113"/>
  <c r="K835" i="113"/>
  <c r="N835" i="113"/>
  <c r="I11" i="33"/>
  <c r="J11" i="33"/>
  <c r="I836" i="113"/>
  <c r="F11" i="33"/>
  <c r="G11" i="33"/>
  <c r="J836" i="113"/>
  <c r="K836" i="113"/>
  <c r="N836" i="113"/>
  <c r="I13" i="33"/>
  <c r="J13" i="33"/>
  <c r="I838" i="113"/>
  <c r="F13" i="33"/>
  <c r="G13" i="33"/>
  <c r="J838" i="113"/>
  <c r="K838" i="113"/>
  <c r="N838" i="113"/>
  <c r="I15" i="33"/>
  <c r="J15" i="33"/>
  <c r="I840" i="113"/>
  <c r="F15" i="33"/>
  <c r="G15" i="33"/>
  <c r="J840" i="113"/>
  <c r="K840" i="113"/>
  <c r="N840" i="113"/>
  <c r="I16" i="33"/>
  <c r="J16" i="33"/>
  <c r="I841" i="113"/>
  <c r="F16" i="33"/>
  <c r="G16" i="33"/>
  <c r="J841" i="113"/>
  <c r="K841" i="113"/>
  <c r="N841" i="113"/>
  <c r="I17" i="33"/>
  <c r="J17" i="33"/>
  <c r="I842" i="113"/>
  <c r="F17" i="33"/>
  <c r="G17" i="33"/>
  <c r="J842" i="113"/>
  <c r="K842" i="113"/>
  <c r="N842" i="113"/>
  <c r="I18" i="33"/>
  <c r="J18" i="33"/>
  <c r="I843" i="113"/>
  <c r="F18" i="33"/>
  <c r="G18" i="33"/>
  <c r="J843" i="113"/>
  <c r="K843" i="113"/>
  <c r="N843" i="113"/>
  <c r="I19" i="33"/>
  <c r="J19" i="33"/>
  <c r="I844" i="113"/>
  <c r="F19" i="33"/>
  <c r="G19" i="33"/>
  <c r="J844" i="113"/>
  <c r="K844" i="113"/>
  <c r="N844" i="113"/>
  <c r="I20" i="33"/>
  <c r="J20" i="33"/>
  <c r="I845" i="113"/>
  <c r="F20" i="33"/>
  <c r="G20" i="33"/>
  <c r="J845" i="113"/>
  <c r="K845" i="113"/>
  <c r="N845" i="113"/>
  <c r="R12" i="36"/>
  <c r="S12" i="36"/>
  <c r="T12" i="36"/>
  <c r="J1584" i="113"/>
  <c r="R15" i="36"/>
  <c r="S15" i="36"/>
  <c r="T15" i="36"/>
  <c r="J1587" i="113"/>
  <c r="R17" i="36"/>
  <c r="S17" i="36"/>
  <c r="T17" i="36"/>
  <c r="J1588" i="113"/>
  <c r="R18" i="36"/>
  <c r="S18" i="36"/>
  <c r="T18" i="36"/>
  <c r="J1589" i="113"/>
  <c r="R19" i="36"/>
  <c r="S19" i="36"/>
  <c r="T19" i="36"/>
  <c r="J1590" i="113"/>
  <c r="R20" i="36"/>
  <c r="S20" i="36"/>
  <c r="T20" i="36"/>
  <c r="J1591" i="113"/>
  <c r="P6" i="119"/>
  <c r="L1479" i="113"/>
  <c r="P7" i="119"/>
  <c r="L1480" i="113"/>
  <c r="P8" i="119"/>
  <c r="L1481" i="113"/>
  <c r="P10" i="119"/>
  <c r="L1483" i="113"/>
  <c r="P18" i="119"/>
  <c r="L1491" i="113"/>
  <c r="P21" i="119"/>
  <c r="L1495" i="113"/>
  <c r="P27" i="119"/>
  <c r="L1500" i="113"/>
  <c r="P29" i="119"/>
  <c r="L1502" i="113"/>
  <c r="P34" i="119"/>
  <c r="L1507" i="113"/>
  <c r="P36" i="119"/>
  <c r="L1509" i="113"/>
  <c r="P37" i="119"/>
  <c r="L1510" i="113"/>
  <c r="P39" i="119"/>
  <c r="L1512" i="113"/>
  <c r="P41" i="119"/>
  <c r="L1514" i="113"/>
  <c r="P43" i="119"/>
  <c r="L1516" i="113"/>
  <c r="P46" i="119"/>
  <c r="L1519" i="113"/>
  <c r="P47" i="119"/>
  <c r="L1520" i="113"/>
  <c r="P52" i="119"/>
  <c r="L1525" i="113"/>
  <c r="P54" i="119"/>
  <c r="L1527" i="113"/>
  <c r="P55" i="119"/>
  <c r="L1528" i="113"/>
  <c r="P57" i="119"/>
  <c r="L1530" i="113"/>
  <c r="P59" i="119"/>
  <c r="L1532" i="113"/>
  <c r="P61" i="119"/>
  <c r="L1534" i="113"/>
  <c r="P64" i="119"/>
  <c r="L1537" i="113"/>
  <c r="P65" i="119"/>
  <c r="L1538" i="113"/>
  <c r="P66" i="119"/>
  <c r="L1539" i="113"/>
  <c r="P67" i="119"/>
  <c r="L1540" i="113"/>
  <c r="P68" i="119"/>
  <c r="L1541" i="113"/>
  <c r="P70" i="119"/>
  <c r="L1543" i="113"/>
  <c r="P72" i="119"/>
  <c r="L1545" i="113"/>
  <c r="P74" i="119"/>
  <c r="L1547" i="113"/>
  <c r="P78" i="119"/>
  <c r="L1551" i="113"/>
  <c r="P81" i="119"/>
  <c r="L1554" i="113"/>
  <c r="P89" i="119"/>
  <c r="L1562" i="113"/>
  <c r="P90" i="119"/>
  <c r="L1563" i="113"/>
  <c r="P5" i="119"/>
  <c r="L1478" i="113"/>
  <c r="C6" i="119"/>
  <c r="C1479" i="113"/>
  <c r="C7" i="119"/>
  <c r="C1480" i="113"/>
  <c r="C8" i="119"/>
  <c r="C1481" i="113"/>
  <c r="C9" i="119"/>
  <c r="C1482" i="113"/>
  <c r="C10" i="119"/>
  <c r="C1483" i="113"/>
  <c r="C11" i="119"/>
  <c r="C1484" i="113"/>
  <c r="C12" i="119"/>
  <c r="C1485" i="113"/>
  <c r="C13" i="119"/>
  <c r="C1486" i="113"/>
  <c r="C14" i="119"/>
  <c r="C1487" i="113"/>
  <c r="C15" i="119"/>
  <c r="C1488" i="113"/>
  <c r="C16" i="119"/>
  <c r="C1489" i="113"/>
  <c r="C17" i="119"/>
  <c r="C1490" i="113"/>
  <c r="C18" i="119"/>
  <c r="C1491" i="113"/>
  <c r="C19" i="119"/>
  <c r="C1492" i="113"/>
  <c r="C20" i="119"/>
  <c r="C1493" i="113"/>
  <c r="C21" i="119"/>
  <c r="C1495" i="113"/>
  <c r="C22" i="119"/>
  <c r="C1494" i="113"/>
  <c r="C23" i="119"/>
  <c r="C1496" i="113"/>
  <c r="C24" i="119"/>
  <c r="C1497" i="113"/>
  <c r="C25" i="119"/>
  <c r="C1498" i="113"/>
  <c r="C26" i="119"/>
  <c r="C1499" i="113"/>
  <c r="C27" i="119"/>
  <c r="C1500" i="113"/>
  <c r="C28" i="119"/>
  <c r="C1501" i="113"/>
  <c r="C29" i="119"/>
  <c r="C1502" i="113"/>
  <c r="C30" i="119"/>
  <c r="C1503" i="113"/>
  <c r="C31" i="119"/>
  <c r="C1504" i="113"/>
  <c r="C32" i="119"/>
  <c r="C1505" i="113"/>
  <c r="C33" i="119"/>
  <c r="C1506" i="113"/>
  <c r="C34" i="119"/>
  <c r="C1507" i="113"/>
  <c r="C35" i="119"/>
  <c r="C1508" i="113"/>
  <c r="C36" i="119"/>
  <c r="C1509" i="113"/>
  <c r="C37" i="119"/>
  <c r="C1510" i="113"/>
  <c r="C38" i="119"/>
  <c r="C1511" i="113"/>
  <c r="C39" i="119"/>
  <c r="C1512" i="113"/>
  <c r="C40" i="119"/>
  <c r="C1513" i="113"/>
  <c r="C41" i="119"/>
  <c r="C1514" i="113"/>
  <c r="C42" i="119"/>
  <c r="C1515" i="113"/>
  <c r="C43" i="119"/>
  <c r="C1516" i="113"/>
  <c r="C44" i="119"/>
  <c r="C1517" i="113"/>
  <c r="C45" i="119"/>
  <c r="C1518" i="113"/>
  <c r="C46" i="119"/>
  <c r="C1519" i="113"/>
  <c r="C47" i="119"/>
  <c r="C1520" i="113"/>
  <c r="C48" i="119"/>
  <c r="C1521" i="113"/>
  <c r="C49" i="119"/>
  <c r="C1522" i="113"/>
  <c r="C50" i="119"/>
  <c r="C1523" i="113"/>
  <c r="C51" i="119"/>
  <c r="C1524" i="113"/>
  <c r="C52" i="119"/>
  <c r="C1525" i="113"/>
  <c r="C53" i="119"/>
  <c r="C1526" i="113"/>
  <c r="C54" i="119"/>
  <c r="C1527" i="113"/>
  <c r="C55" i="119"/>
  <c r="C1528" i="113"/>
  <c r="C56" i="119"/>
  <c r="C1529" i="113"/>
  <c r="C57" i="119"/>
  <c r="C1530" i="113"/>
  <c r="C58" i="119"/>
  <c r="C1531" i="113"/>
  <c r="C59" i="119"/>
  <c r="C1532" i="113"/>
  <c r="C60" i="119"/>
  <c r="C1533" i="113"/>
  <c r="C61" i="119"/>
  <c r="C1534" i="113"/>
  <c r="C62" i="119"/>
  <c r="C1535" i="113"/>
  <c r="C63" i="119"/>
  <c r="C1536" i="113"/>
  <c r="C64" i="119"/>
  <c r="C1537" i="113"/>
  <c r="C65" i="119"/>
  <c r="C1538" i="113"/>
  <c r="C66" i="119"/>
  <c r="C1539" i="113"/>
  <c r="C67" i="119"/>
  <c r="C1540" i="113"/>
  <c r="C68" i="119"/>
  <c r="C1541" i="113"/>
  <c r="C69" i="119"/>
  <c r="C1542" i="113"/>
  <c r="C70" i="119"/>
  <c r="C1543" i="113"/>
  <c r="C71" i="119"/>
  <c r="C1544" i="113"/>
  <c r="C72" i="119"/>
  <c r="C1545" i="113"/>
  <c r="C73" i="119"/>
  <c r="C1546" i="113"/>
  <c r="C74" i="119"/>
  <c r="C1547" i="113"/>
  <c r="C75" i="119"/>
  <c r="C1548" i="113"/>
  <c r="C76" i="119"/>
  <c r="C1549" i="113"/>
  <c r="C77" i="119"/>
  <c r="C1550" i="113"/>
  <c r="C78" i="119"/>
  <c r="C1551" i="113"/>
  <c r="C79" i="119"/>
  <c r="C1552" i="113"/>
  <c r="C80" i="119"/>
  <c r="C1553" i="113"/>
  <c r="C81" i="119"/>
  <c r="C1554" i="113"/>
  <c r="C82" i="119"/>
  <c r="C1555" i="113"/>
  <c r="C83" i="119"/>
  <c r="C1556" i="113"/>
  <c r="C84" i="119"/>
  <c r="C1557" i="113"/>
  <c r="C85" i="119"/>
  <c r="C1558" i="113"/>
  <c r="C86" i="119"/>
  <c r="C1559" i="113"/>
  <c r="C87" i="119"/>
  <c r="C1560" i="113"/>
  <c r="C88" i="119"/>
  <c r="C1561" i="113"/>
  <c r="C89" i="119"/>
  <c r="C1562" i="113"/>
  <c r="C90" i="119"/>
  <c r="C1563" i="113"/>
  <c r="C5" i="119"/>
  <c r="C1478" i="113"/>
  <c r="C5" i="120"/>
  <c r="C1430" i="113"/>
  <c r="C6" i="120"/>
  <c r="C1431" i="113"/>
  <c r="C7" i="120"/>
  <c r="C1432" i="113"/>
  <c r="C8" i="120"/>
  <c r="C1433" i="113"/>
  <c r="C9" i="120"/>
  <c r="C1434" i="113"/>
  <c r="C10" i="120"/>
  <c r="C1435" i="113"/>
  <c r="C11" i="120"/>
  <c r="C1436" i="113"/>
  <c r="C12" i="120"/>
  <c r="C1437" i="113"/>
  <c r="C13" i="120"/>
  <c r="C1438" i="113"/>
  <c r="C14" i="120"/>
  <c r="C1439" i="113"/>
  <c r="C15" i="120"/>
  <c r="C1440" i="113"/>
  <c r="C16" i="120"/>
  <c r="C1441" i="113"/>
  <c r="C17" i="120"/>
  <c r="C1442" i="113"/>
  <c r="C18" i="120"/>
  <c r="C1443" i="113"/>
  <c r="C19" i="120"/>
  <c r="C1444" i="113"/>
  <c r="C20" i="120"/>
  <c r="C1445" i="113"/>
  <c r="C21" i="120"/>
  <c r="C1446" i="113"/>
  <c r="C22" i="120"/>
  <c r="C1447" i="113"/>
  <c r="C23" i="120"/>
  <c r="C1448" i="113"/>
  <c r="C24" i="120"/>
  <c r="C1449" i="113"/>
  <c r="C25" i="120"/>
  <c r="C1450" i="113"/>
  <c r="C26" i="120"/>
  <c r="C1451" i="113"/>
  <c r="C27" i="120"/>
  <c r="C1452" i="113"/>
  <c r="C28" i="120"/>
  <c r="C1453" i="113"/>
  <c r="C29" i="120"/>
  <c r="C1454" i="113"/>
  <c r="C4" i="120"/>
  <c r="C1429" i="113"/>
  <c r="B34" i="34"/>
  <c r="C135" i="113"/>
  <c r="G34" i="34"/>
  <c r="H34" i="34"/>
  <c r="I135" i="113"/>
  <c r="B35" i="34"/>
  <c r="C136" i="113"/>
  <c r="B31" i="34"/>
  <c r="C132" i="113"/>
  <c r="B32" i="34"/>
  <c r="C133" i="113"/>
  <c r="B33" i="34"/>
  <c r="C134" i="113"/>
  <c r="B24" i="34"/>
  <c r="C125" i="113"/>
  <c r="B25" i="34"/>
  <c r="C126" i="113"/>
  <c r="B26" i="34"/>
  <c r="C127" i="113"/>
  <c r="B27" i="34"/>
  <c r="C128" i="113"/>
  <c r="B28" i="34"/>
  <c r="C129" i="113"/>
  <c r="B29" i="34"/>
  <c r="C130" i="113"/>
  <c r="B30" i="34"/>
  <c r="C131" i="113"/>
  <c r="B6" i="34"/>
  <c r="C107" i="113"/>
  <c r="B7" i="34"/>
  <c r="C108" i="113"/>
  <c r="B8" i="34"/>
  <c r="C109" i="113"/>
  <c r="B9" i="34"/>
  <c r="C110" i="113"/>
  <c r="B10" i="34"/>
  <c r="C112" i="113"/>
  <c r="B11" i="34"/>
  <c r="C111" i="113"/>
  <c r="B12" i="34"/>
  <c r="C113" i="113"/>
  <c r="B13" i="34"/>
  <c r="C114" i="113"/>
  <c r="B14" i="34"/>
  <c r="C115" i="113"/>
  <c r="B15" i="34"/>
  <c r="C116" i="113"/>
  <c r="B16" i="34"/>
  <c r="C117" i="113"/>
  <c r="B17" i="34"/>
  <c r="C118" i="113"/>
  <c r="B18" i="34"/>
  <c r="C119" i="113"/>
  <c r="B19" i="34"/>
  <c r="C120" i="113"/>
  <c r="B20" i="34"/>
  <c r="C121" i="113"/>
  <c r="B21" i="34"/>
  <c r="C122" i="113"/>
  <c r="B22" i="34"/>
  <c r="C123" i="113"/>
  <c r="B23" i="34"/>
  <c r="C124" i="113"/>
  <c r="B5" i="34"/>
  <c r="C106" i="113"/>
  <c r="B4" i="34"/>
  <c r="C105" i="113"/>
  <c r="C13" i="56"/>
  <c r="C14" i="56"/>
  <c r="C15" i="56"/>
  <c r="C16" i="56"/>
  <c r="C435" i="113"/>
  <c r="C17" i="56"/>
  <c r="C436" i="113"/>
  <c r="C18" i="56"/>
  <c r="C437" i="113"/>
  <c r="C19" i="56"/>
  <c r="C438" i="113"/>
  <c r="C20" i="56"/>
  <c r="C439" i="113"/>
  <c r="C22" i="56"/>
  <c r="C446" i="113"/>
  <c r="C23" i="56"/>
  <c r="C447" i="113"/>
  <c r="C24" i="56"/>
  <c r="C448" i="113"/>
  <c r="C25" i="56"/>
  <c r="C449" i="113"/>
  <c r="C26" i="56"/>
  <c r="C450" i="113"/>
  <c r="C27" i="56"/>
  <c r="C451" i="113"/>
  <c r="C28" i="56"/>
  <c r="C452" i="113"/>
  <c r="C5" i="56"/>
  <c r="C441" i="113"/>
  <c r="C7" i="56"/>
  <c r="C443" i="113"/>
  <c r="C8" i="56"/>
  <c r="C444" i="113"/>
  <c r="C432" i="113"/>
  <c r="C433" i="113"/>
  <c r="C434" i="113"/>
  <c r="C4" i="56"/>
  <c r="C440" i="113"/>
  <c r="B2" i="101"/>
  <c r="D5" i="101"/>
  <c r="F5" i="101"/>
  <c r="L401" i="113"/>
  <c r="D6" i="101"/>
  <c r="F6" i="101"/>
  <c r="L399" i="113"/>
  <c r="D7" i="101"/>
  <c r="F7" i="101"/>
  <c r="L397" i="113"/>
  <c r="D8" i="101"/>
  <c r="F8" i="101"/>
  <c r="L402" i="113"/>
  <c r="D9" i="101"/>
  <c r="F9" i="101"/>
  <c r="L398" i="113"/>
  <c r="D10" i="101"/>
  <c r="F10" i="101"/>
  <c r="L396" i="113"/>
  <c r="D11" i="101"/>
  <c r="F11" i="101"/>
  <c r="L400" i="113"/>
  <c r="D12" i="101"/>
  <c r="F12" i="101"/>
  <c r="L393" i="113"/>
  <c r="D13" i="101"/>
  <c r="F13" i="101"/>
  <c r="L385" i="113"/>
  <c r="D14" i="101"/>
  <c r="F14" i="101"/>
  <c r="L394" i="113"/>
  <c r="D15" i="101"/>
  <c r="F15" i="101"/>
  <c r="L392" i="113"/>
  <c r="D16" i="101"/>
  <c r="F16" i="101"/>
  <c r="L391" i="113"/>
  <c r="D17" i="101"/>
  <c r="F17" i="101"/>
  <c r="L388" i="113"/>
  <c r="D18" i="101"/>
  <c r="F18" i="101"/>
  <c r="L395" i="113"/>
  <c r="D19" i="101"/>
  <c r="F19" i="101"/>
  <c r="L390" i="113"/>
  <c r="D20" i="101"/>
  <c r="F20" i="101"/>
  <c r="L389" i="113"/>
  <c r="D21" i="101"/>
  <c r="F21" i="101"/>
  <c r="L386" i="113"/>
  <c r="D22" i="101"/>
  <c r="F22" i="101"/>
  <c r="L387" i="113"/>
  <c r="D23" i="101"/>
  <c r="F23" i="101"/>
  <c r="L383" i="113"/>
  <c r="D24" i="101"/>
  <c r="F24" i="101"/>
  <c r="L379" i="113"/>
  <c r="D25" i="101"/>
  <c r="F25" i="101"/>
  <c r="L384" i="113"/>
  <c r="D26" i="101"/>
  <c r="F26" i="101"/>
  <c r="L382" i="113"/>
  <c r="D27" i="101"/>
  <c r="F27" i="101"/>
  <c r="L381" i="113"/>
  <c r="D28" i="101"/>
  <c r="F28" i="101"/>
  <c r="L380" i="113"/>
  <c r="D29" i="101"/>
  <c r="F29" i="101"/>
  <c r="L377" i="113"/>
  <c r="D30" i="101"/>
  <c r="F30" i="101"/>
  <c r="L375" i="113"/>
  <c r="D31" i="101"/>
  <c r="F31" i="101"/>
  <c r="L374" i="113"/>
  <c r="D32" i="101"/>
  <c r="F32" i="101"/>
  <c r="L372" i="113"/>
  <c r="D33" i="101"/>
  <c r="F33" i="101"/>
  <c r="L376" i="113"/>
  <c r="D34" i="101"/>
  <c r="F34" i="101"/>
  <c r="L378" i="113"/>
  <c r="D35" i="101"/>
  <c r="F35" i="101"/>
  <c r="L373" i="113"/>
  <c r="D4" i="101"/>
  <c r="F4" i="101"/>
  <c r="L403" i="113"/>
  <c r="B16" i="45"/>
  <c r="C16" i="45"/>
  <c r="C497" i="113"/>
  <c r="B17" i="45"/>
  <c r="C17" i="45"/>
  <c r="C498" i="113"/>
  <c r="B18" i="45"/>
  <c r="C18" i="45"/>
  <c r="C499" i="113"/>
  <c r="B19" i="45"/>
  <c r="C19" i="45"/>
  <c r="C500" i="113"/>
  <c r="B20" i="45"/>
  <c r="C20" i="45"/>
  <c r="C501" i="113"/>
  <c r="B21" i="45"/>
  <c r="C21" i="45"/>
  <c r="C502" i="113"/>
  <c r="B22" i="45"/>
  <c r="C22" i="45"/>
  <c r="C503" i="113"/>
  <c r="B23" i="45"/>
  <c r="C23" i="45"/>
  <c r="C504" i="113"/>
  <c r="B24" i="45"/>
  <c r="C24" i="45"/>
  <c r="C505" i="113"/>
  <c r="B7" i="45"/>
  <c r="C7" i="45"/>
  <c r="C488" i="113"/>
  <c r="B8" i="45"/>
  <c r="C8" i="45"/>
  <c r="C489" i="113"/>
  <c r="B9" i="45"/>
  <c r="C9" i="45"/>
  <c r="C490" i="113"/>
  <c r="B10" i="45"/>
  <c r="C10" i="45"/>
  <c r="C491" i="113"/>
  <c r="B11" i="45"/>
  <c r="C11" i="45"/>
  <c r="C492" i="113"/>
  <c r="B12" i="45"/>
  <c r="C12" i="45"/>
  <c r="C493" i="113"/>
  <c r="B13" i="45"/>
  <c r="C13" i="45"/>
  <c r="C494" i="113"/>
  <c r="B14" i="45"/>
  <c r="C14" i="45"/>
  <c r="C495" i="113"/>
  <c r="B15" i="45"/>
  <c r="C15" i="45"/>
  <c r="C496" i="113"/>
  <c r="B6" i="45"/>
  <c r="C6" i="45"/>
  <c r="C487" i="113"/>
  <c r="C10" i="38"/>
  <c r="D10" i="38"/>
  <c r="C600" i="113"/>
  <c r="C6" i="38"/>
  <c r="D6" i="38"/>
  <c r="C596" i="113"/>
  <c r="C7" i="38"/>
  <c r="D7" i="38"/>
  <c r="C597" i="113"/>
  <c r="C8" i="38"/>
  <c r="D8" i="38"/>
  <c r="C598" i="113"/>
  <c r="C9" i="38"/>
  <c r="D9" i="38"/>
  <c r="C599" i="113"/>
  <c r="C5" i="38"/>
  <c r="D5" i="38"/>
  <c r="C595" i="113"/>
  <c r="L7" i="37"/>
  <c r="C602" i="113"/>
  <c r="L8" i="37"/>
  <c r="C603" i="113"/>
  <c r="L9" i="37"/>
  <c r="C604" i="113"/>
  <c r="L10" i="37"/>
  <c r="C605" i="113"/>
  <c r="B7" i="37"/>
  <c r="C607" i="113"/>
  <c r="B8" i="37"/>
  <c r="C608" i="113"/>
  <c r="B9" i="37"/>
  <c r="C609" i="113"/>
  <c r="B10" i="37"/>
  <c r="C610" i="113"/>
  <c r="B11" i="37"/>
  <c r="C611" i="113"/>
  <c r="B12" i="37"/>
  <c r="C612" i="113"/>
  <c r="B13" i="37"/>
  <c r="C613" i="113"/>
  <c r="B14" i="37"/>
  <c r="C614" i="113"/>
  <c r="B15" i="37"/>
  <c r="C615" i="113"/>
  <c r="B16" i="37"/>
  <c r="C616" i="113"/>
  <c r="B17" i="37"/>
  <c r="C617" i="113"/>
  <c r="B18" i="37"/>
  <c r="C618" i="113"/>
  <c r="B19" i="37"/>
  <c r="C619" i="113"/>
  <c r="B20" i="37"/>
  <c r="C620" i="113"/>
  <c r="B21" i="37"/>
  <c r="C621" i="113"/>
  <c r="B22" i="37"/>
  <c r="C622" i="113"/>
  <c r="B6" i="37"/>
  <c r="C606" i="113"/>
  <c r="L6" i="37"/>
  <c r="C601" i="113"/>
  <c r="B49" i="54"/>
  <c r="C828" i="113"/>
  <c r="B50" i="54"/>
  <c r="C829" i="113"/>
  <c r="B42" i="54"/>
  <c r="C821" i="113"/>
  <c r="B43" i="54"/>
  <c r="C822" i="113"/>
  <c r="B44" i="54"/>
  <c r="C823" i="113"/>
  <c r="B45" i="54"/>
  <c r="C824" i="113"/>
  <c r="B46" i="54"/>
  <c r="C825" i="113"/>
  <c r="B47" i="54"/>
  <c r="C826" i="113"/>
  <c r="B48" i="54"/>
  <c r="C827" i="113"/>
  <c r="B35" i="54"/>
  <c r="C814" i="113"/>
  <c r="B36" i="54"/>
  <c r="C815" i="113"/>
  <c r="B37" i="54"/>
  <c r="C816" i="113"/>
  <c r="B38" i="54"/>
  <c r="C817" i="113"/>
  <c r="B39" i="54"/>
  <c r="C818" i="113"/>
  <c r="B40" i="54"/>
  <c r="C819" i="113"/>
  <c r="B41" i="54"/>
  <c r="C820" i="113"/>
  <c r="B33" i="54"/>
  <c r="C812" i="113"/>
  <c r="B34" i="54"/>
  <c r="C813" i="113"/>
  <c r="B20" i="54"/>
  <c r="C806" i="113"/>
  <c r="B21" i="54"/>
  <c r="C807" i="113"/>
  <c r="B22" i="54"/>
  <c r="C808" i="113"/>
  <c r="B23" i="54"/>
  <c r="C809" i="113"/>
  <c r="B24" i="54"/>
  <c r="C810" i="113"/>
  <c r="B25" i="54"/>
  <c r="C811" i="113"/>
  <c r="B7" i="54"/>
  <c r="C793" i="113"/>
  <c r="B8" i="54"/>
  <c r="C794" i="113"/>
  <c r="B9" i="54"/>
  <c r="C795" i="113"/>
  <c r="B10" i="54"/>
  <c r="C796" i="113"/>
  <c r="B11" i="54"/>
  <c r="C797" i="113"/>
  <c r="B12" i="54"/>
  <c r="C798" i="113"/>
  <c r="B13" i="54"/>
  <c r="C799" i="113"/>
  <c r="B14" i="54"/>
  <c r="C800" i="113"/>
  <c r="B15" i="54"/>
  <c r="C801" i="113"/>
  <c r="B16" i="54"/>
  <c r="C802" i="113"/>
  <c r="B17" i="54"/>
  <c r="C803" i="113"/>
  <c r="B18" i="54"/>
  <c r="C804" i="113"/>
  <c r="B19" i="54"/>
  <c r="C805" i="113"/>
  <c r="B6" i="54"/>
  <c r="C792" i="113"/>
  <c r="C16" i="33"/>
  <c r="D16" i="33"/>
  <c r="C841" i="113"/>
  <c r="C17" i="33"/>
  <c r="D17" i="33"/>
  <c r="C842" i="113"/>
  <c r="C18" i="33"/>
  <c r="D18" i="33"/>
  <c r="C843" i="113"/>
  <c r="C19" i="33"/>
  <c r="D19" i="33"/>
  <c r="C844" i="113"/>
  <c r="C20" i="33"/>
  <c r="D20" i="33"/>
  <c r="C845" i="113"/>
  <c r="C6" i="33"/>
  <c r="D6" i="33"/>
  <c r="C831" i="113"/>
  <c r="C7" i="33"/>
  <c r="D7" i="33"/>
  <c r="C832" i="113"/>
  <c r="C8" i="33"/>
  <c r="D8" i="33"/>
  <c r="C833" i="113"/>
  <c r="C9" i="33"/>
  <c r="D9" i="33"/>
  <c r="C834" i="113"/>
  <c r="C10" i="33"/>
  <c r="D10" i="33"/>
  <c r="C835" i="113"/>
  <c r="C11" i="33"/>
  <c r="D11" i="33"/>
  <c r="C836" i="113"/>
  <c r="C12" i="33"/>
  <c r="D12" i="33"/>
  <c r="C837" i="113"/>
  <c r="I12" i="33"/>
  <c r="J12" i="33"/>
  <c r="I837" i="113"/>
  <c r="C13" i="33"/>
  <c r="D13" i="33"/>
  <c r="C838" i="113"/>
  <c r="C14" i="33"/>
  <c r="D14" i="33"/>
  <c r="C839" i="113"/>
  <c r="C15" i="33"/>
  <c r="D15" i="33"/>
  <c r="C840" i="113"/>
  <c r="C5" i="33"/>
  <c r="D5" i="33"/>
  <c r="C830" i="113"/>
  <c r="D4" i="118"/>
  <c r="C1213" i="113"/>
  <c r="D5" i="118"/>
  <c r="C1214" i="113"/>
  <c r="D6" i="118"/>
  <c r="C1215" i="113"/>
  <c r="D7" i="118"/>
  <c r="C1216" i="113"/>
  <c r="D8" i="118"/>
  <c r="C1217" i="113"/>
  <c r="D9" i="118"/>
  <c r="C1218" i="113"/>
  <c r="D10" i="118"/>
  <c r="C1219" i="113"/>
  <c r="D11" i="118"/>
  <c r="C1220" i="113"/>
  <c r="D12" i="118"/>
  <c r="C1221" i="113"/>
  <c r="D13" i="118"/>
  <c r="C1222" i="113"/>
  <c r="D14" i="118"/>
  <c r="C1223" i="113"/>
  <c r="D15" i="118"/>
  <c r="C1224" i="113"/>
  <c r="D16" i="118"/>
  <c r="C1225" i="113"/>
  <c r="D17" i="118"/>
  <c r="C1226" i="113"/>
  <c r="D18" i="118"/>
  <c r="C1227" i="113"/>
  <c r="D19" i="118"/>
  <c r="C1228" i="113"/>
  <c r="D20" i="118"/>
  <c r="C1229" i="113"/>
  <c r="D21" i="118"/>
  <c r="C1230" i="113"/>
  <c r="D3" i="118"/>
  <c r="C1212" i="113"/>
  <c r="W12" i="36"/>
  <c r="X12" i="36"/>
  <c r="Y12" i="36"/>
  <c r="I1597" i="113"/>
  <c r="W13" i="36"/>
  <c r="X13" i="36"/>
  <c r="Y13" i="36"/>
  <c r="I1598" i="113"/>
  <c r="W14" i="36"/>
  <c r="X14" i="36"/>
  <c r="Y14" i="36"/>
  <c r="I1599" i="113"/>
  <c r="W15" i="36"/>
  <c r="X15" i="36"/>
  <c r="Y15" i="36"/>
  <c r="I1600" i="113"/>
  <c r="W17" i="36"/>
  <c r="X17" i="36"/>
  <c r="Y17" i="36"/>
  <c r="I1602" i="113"/>
  <c r="W18" i="36"/>
  <c r="X18" i="36"/>
  <c r="Y18" i="36"/>
  <c r="I1603" i="113"/>
  <c r="W21" i="36"/>
  <c r="X21" i="36"/>
  <c r="Y21" i="36"/>
  <c r="I1605" i="113"/>
  <c r="B7" i="36"/>
  <c r="C7" i="36"/>
  <c r="C1593" i="113"/>
  <c r="B8" i="36"/>
  <c r="C8" i="36"/>
  <c r="C1594" i="113"/>
  <c r="B9" i="36"/>
  <c r="C9" i="36"/>
  <c r="C1595" i="113"/>
  <c r="B10" i="36"/>
  <c r="C10" i="36"/>
  <c r="C1596" i="113"/>
  <c r="B12" i="36"/>
  <c r="C12" i="36"/>
  <c r="C1597" i="113"/>
  <c r="B13" i="36"/>
  <c r="C13" i="36"/>
  <c r="C1598" i="113"/>
  <c r="B14" i="36"/>
  <c r="C14" i="36"/>
  <c r="C1599" i="113"/>
  <c r="B15" i="36"/>
  <c r="C15" i="36"/>
  <c r="C1600" i="113"/>
  <c r="B16" i="36"/>
  <c r="C16" i="36"/>
  <c r="C1601" i="113"/>
  <c r="B17" i="36"/>
  <c r="C17" i="36"/>
  <c r="C1602" i="113"/>
  <c r="B18" i="36"/>
  <c r="C18" i="36"/>
  <c r="C1603" i="113"/>
  <c r="B20" i="36"/>
  <c r="C20" i="36"/>
  <c r="C1604" i="113"/>
  <c r="B21" i="36"/>
  <c r="C21" i="36"/>
  <c r="C1605" i="113"/>
  <c r="B6" i="36"/>
  <c r="C6" i="36"/>
  <c r="C1592" i="113"/>
  <c r="C1580" i="113"/>
  <c r="C1581" i="113"/>
  <c r="C1582" i="113"/>
  <c r="B11" i="36"/>
  <c r="C11" i="36"/>
  <c r="C1583" i="113"/>
  <c r="C1584" i="113"/>
  <c r="C1585" i="113"/>
  <c r="C1586" i="113"/>
  <c r="C1587" i="113"/>
  <c r="C1588" i="113"/>
  <c r="C1589" i="113"/>
  <c r="B19" i="36"/>
  <c r="C19" i="36"/>
  <c r="C1590" i="113"/>
  <c r="C1591" i="113"/>
  <c r="C1579" i="113"/>
  <c r="C1574" i="113"/>
  <c r="C1575" i="113"/>
  <c r="C1576" i="113"/>
  <c r="C1577" i="113"/>
  <c r="C1578" i="113"/>
  <c r="C1565" i="113"/>
  <c r="C1566" i="113"/>
  <c r="C1567" i="113"/>
  <c r="C1568" i="113"/>
  <c r="C1569" i="113"/>
  <c r="C1570" i="113"/>
  <c r="C1571" i="113"/>
  <c r="C1572" i="113"/>
  <c r="C1573" i="113"/>
  <c r="C1564" i="113"/>
  <c r="AA7" i="117"/>
  <c r="C198" i="113"/>
  <c r="AA8" i="117"/>
  <c r="C199" i="113"/>
  <c r="AA9" i="117"/>
  <c r="C200" i="113"/>
  <c r="AA10" i="117"/>
  <c r="C201" i="113"/>
  <c r="AA11" i="117"/>
  <c r="C202" i="113"/>
  <c r="AA12" i="117"/>
  <c r="C203" i="113"/>
  <c r="AA13" i="117"/>
  <c r="C204" i="113"/>
  <c r="AA14" i="117"/>
  <c r="C205" i="113"/>
  <c r="AA15" i="117"/>
  <c r="C206" i="113"/>
  <c r="AA16" i="117"/>
  <c r="C207" i="113"/>
  <c r="AA17" i="117"/>
  <c r="C208" i="113"/>
  <c r="AA18" i="117"/>
  <c r="C209" i="113"/>
  <c r="AA6" i="117"/>
  <c r="C197" i="113"/>
  <c r="S7" i="117"/>
  <c r="C190" i="113"/>
  <c r="S8" i="117"/>
  <c r="C191" i="113"/>
  <c r="S9" i="117"/>
  <c r="C192" i="113"/>
  <c r="S10" i="117"/>
  <c r="C193" i="113"/>
  <c r="S11" i="117"/>
  <c r="C194" i="113"/>
  <c r="S12" i="117"/>
  <c r="C195" i="113"/>
  <c r="S13" i="117"/>
  <c r="C196" i="113"/>
  <c r="S6" i="117"/>
  <c r="C189" i="113"/>
  <c r="K27" i="117"/>
  <c r="C187" i="113"/>
  <c r="K28" i="117"/>
  <c r="C188" i="113"/>
  <c r="K22" i="117"/>
  <c r="C182" i="113"/>
  <c r="K23" i="117"/>
  <c r="C183" i="113"/>
  <c r="K24" i="117"/>
  <c r="C184" i="113"/>
  <c r="K25" i="117"/>
  <c r="C185" i="113"/>
  <c r="K26" i="117"/>
  <c r="C186" i="113"/>
  <c r="K7" i="117"/>
  <c r="C167" i="113"/>
  <c r="K8" i="117"/>
  <c r="C168" i="113"/>
  <c r="K9" i="117"/>
  <c r="C169" i="113"/>
  <c r="K10" i="117"/>
  <c r="C170" i="113"/>
  <c r="K11" i="117"/>
  <c r="C171" i="113"/>
  <c r="K12" i="117"/>
  <c r="C172" i="113"/>
  <c r="K13" i="117"/>
  <c r="C173" i="113"/>
  <c r="K14" i="117"/>
  <c r="C174" i="113"/>
  <c r="K15" i="117"/>
  <c r="C175" i="113"/>
  <c r="K16" i="117"/>
  <c r="C176" i="113"/>
  <c r="K17" i="117"/>
  <c r="C177" i="113"/>
  <c r="K18" i="117"/>
  <c r="C178" i="113"/>
  <c r="K19" i="117"/>
  <c r="C179" i="113"/>
  <c r="K20" i="117"/>
  <c r="C180" i="113"/>
  <c r="K21" i="117"/>
  <c r="C181" i="113"/>
  <c r="K6" i="117"/>
  <c r="C166" i="113"/>
  <c r="C21" i="117"/>
  <c r="C164" i="113"/>
  <c r="C22" i="117"/>
  <c r="C165" i="113"/>
  <c r="C7" i="117"/>
  <c r="C150" i="113"/>
  <c r="C8" i="117"/>
  <c r="C151" i="113"/>
  <c r="C9" i="117"/>
  <c r="C152" i="113"/>
  <c r="C10" i="117"/>
  <c r="C153" i="113"/>
  <c r="C11" i="117"/>
  <c r="C154" i="113"/>
  <c r="C12" i="117"/>
  <c r="C155" i="113"/>
  <c r="C13" i="117"/>
  <c r="C156" i="113"/>
  <c r="C14" i="117"/>
  <c r="C157" i="113"/>
  <c r="C15" i="117"/>
  <c r="C158" i="113"/>
  <c r="C16" i="117"/>
  <c r="C159" i="113"/>
  <c r="C17" i="117"/>
  <c r="C160" i="113"/>
  <c r="C18" i="117"/>
  <c r="C161" i="113"/>
  <c r="C19" i="117"/>
  <c r="C162" i="113"/>
  <c r="C20" i="117"/>
  <c r="C163" i="113"/>
  <c r="C6" i="117"/>
  <c r="C149" i="113"/>
  <c r="B30" i="82"/>
  <c r="C30" i="82"/>
  <c r="C237" i="113"/>
  <c r="B31" i="82"/>
  <c r="C31" i="82"/>
  <c r="C238" i="113"/>
  <c r="B32" i="82"/>
  <c r="C32" i="82"/>
  <c r="C239" i="113"/>
  <c r="B33" i="82"/>
  <c r="C33" i="82"/>
  <c r="C240" i="113"/>
  <c r="B34" i="82"/>
  <c r="C34" i="82"/>
  <c r="C241" i="113"/>
  <c r="B35" i="82"/>
  <c r="C35" i="82"/>
  <c r="C242" i="113"/>
  <c r="B36" i="82"/>
  <c r="C36" i="82"/>
  <c r="C243" i="113"/>
  <c r="B37" i="82"/>
  <c r="C37" i="82"/>
  <c r="C244" i="113"/>
  <c r="B38" i="82"/>
  <c r="C38" i="82"/>
  <c r="C245" i="113"/>
  <c r="B39" i="82"/>
  <c r="C39" i="82"/>
  <c r="C246" i="113"/>
  <c r="B40" i="82"/>
  <c r="C40" i="82"/>
  <c r="C247" i="113"/>
  <c r="B41" i="82"/>
  <c r="C41" i="82"/>
  <c r="C248" i="113"/>
  <c r="B42" i="82"/>
  <c r="C42" i="82"/>
  <c r="C249" i="113"/>
  <c r="B43" i="82"/>
  <c r="C43" i="82"/>
  <c r="C250" i="113"/>
  <c r="B44" i="82"/>
  <c r="C44" i="82"/>
  <c r="C251" i="113"/>
  <c r="B45" i="82"/>
  <c r="C45" i="82"/>
  <c r="C252" i="113"/>
  <c r="B46" i="82"/>
  <c r="C46" i="82"/>
  <c r="C253" i="113"/>
  <c r="B29" i="82"/>
  <c r="C29" i="82"/>
  <c r="C236" i="113"/>
  <c r="B92" i="84"/>
  <c r="C312" i="113"/>
  <c r="B93" i="84"/>
  <c r="C313" i="113"/>
  <c r="B94" i="84"/>
  <c r="C314" i="113"/>
  <c r="B95" i="84"/>
  <c r="C315" i="113"/>
  <c r="B96" i="84"/>
  <c r="C316" i="113"/>
  <c r="B97" i="84"/>
  <c r="C317" i="113"/>
  <c r="B98" i="84"/>
  <c r="C318" i="113"/>
  <c r="B99" i="84"/>
  <c r="C319" i="113"/>
  <c r="B100" i="84"/>
  <c r="C320" i="113"/>
  <c r="B91" i="84"/>
  <c r="C311" i="113"/>
  <c r="B76" i="84"/>
  <c r="C295" i="113"/>
  <c r="B77" i="84"/>
  <c r="C296" i="113"/>
  <c r="B78" i="84"/>
  <c r="C297" i="113"/>
  <c r="B79" i="84"/>
  <c r="C298" i="113"/>
  <c r="B80" i="84"/>
  <c r="C299" i="113"/>
  <c r="B81" i="84"/>
  <c r="C300" i="113"/>
  <c r="B82" i="84"/>
  <c r="C301" i="113"/>
  <c r="B83" i="84"/>
  <c r="C302" i="113"/>
  <c r="B84" i="84"/>
  <c r="C303" i="113"/>
  <c r="B85" i="84"/>
  <c r="C304" i="113"/>
  <c r="B86" i="84"/>
  <c r="C305" i="113"/>
  <c r="B75" i="84"/>
  <c r="C294" i="113"/>
  <c r="B65" i="84"/>
  <c r="C287" i="113"/>
  <c r="B66" i="84"/>
  <c r="C288" i="113"/>
  <c r="B58" i="84"/>
  <c r="C280" i="113"/>
  <c r="B59" i="84"/>
  <c r="C281" i="113"/>
  <c r="B60" i="84"/>
  <c r="C282" i="113"/>
  <c r="B61" i="84"/>
  <c r="C283" i="113"/>
  <c r="B62" i="84"/>
  <c r="C284" i="113"/>
  <c r="B63" i="84"/>
  <c r="C285" i="113"/>
  <c r="B64" i="84"/>
  <c r="C286" i="113"/>
  <c r="B57" i="84"/>
  <c r="C279" i="113"/>
  <c r="B40" i="84"/>
  <c r="C307" i="113"/>
  <c r="B41" i="84"/>
  <c r="B42" i="84"/>
  <c r="B43" i="84"/>
  <c r="C308" i="113"/>
  <c r="B44" i="84"/>
  <c r="B45" i="84"/>
  <c r="B46" i="84"/>
  <c r="B47" i="84"/>
  <c r="C309" i="113"/>
  <c r="B48" i="84"/>
  <c r="C310" i="113"/>
  <c r="B39" i="84"/>
  <c r="C306" i="113"/>
  <c r="B34" i="84"/>
  <c r="C293" i="113"/>
  <c r="B26" i="84"/>
  <c r="C290" i="113"/>
  <c r="B27" i="84"/>
  <c r="B28" i="84"/>
  <c r="B29" i="84"/>
  <c r="C291" i="113"/>
  <c r="B30" i="84"/>
  <c r="B31" i="84"/>
  <c r="B32" i="84"/>
  <c r="B33" i="84"/>
  <c r="C292" i="113"/>
  <c r="B25" i="84"/>
  <c r="C289" i="113"/>
  <c r="B19" i="84"/>
  <c r="C277" i="113"/>
  <c r="B20" i="84"/>
  <c r="C278" i="113"/>
  <c r="B12" i="84"/>
  <c r="C270" i="113"/>
  <c r="B13" i="84"/>
  <c r="C271" i="113"/>
  <c r="B14" i="84"/>
  <c r="C272" i="113"/>
  <c r="B15" i="84"/>
  <c r="C273" i="113"/>
  <c r="B16" i="84"/>
  <c r="C274" i="113"/>
  <c r="B17" i="84"/>
  <c r="C275" i="113"/>
  <c r="B18" i="84"/>
  <c r="C276" i="113"/>
  <c r="B11" i="84"/>
  <c r="C269" i="113"/>
  <c r="C16" i="86"/>
  <c r="C747" i="113"/>
  <c r="C17" i="86"/>
  <c r="C748" i="113"/>
  <c r="C7" i="86"/>
  <c r="C750" i="113"/>
  <c r="C8" i="86"/>
  <c r="C751" i="113"/>
  <c r="C9" i="86"/>
  <c r="C752" i="113"/>
  <c r="C10" i="86"/>
  <c r="C753" i="113"/>
  <c r="C11" i="86"/>
  <c r="C754" i="113"/>
  <c r="C12" i="86"/>
  <c r="C743" i="113"/>
  <c r="C13" i="86"/>
  <c r="C744" i="113"/>
  <c r="C14" i="86"/>
  <c r="C745" i="113"/>
  <c r="C15" i="86"/>
  <c r="C746" i="113"/>
  <c r="C6" i="86"/>
  <c r="C749" i="113"/>
  <c r="B62" i="87"/>
  <c r="C637" i="113"/>
  <c r="B63" i="87"/>
  <c r="C636" i="113"/>
  <c r="B64" i="87"/>
  <c r="C638" i="113"/>
  <c r="B65" i="87"/>
  <c r="C639" i="113"/>
  <c r="B66" i="87"/>
  <c r="C640" i="113"/>
  <c r="B67" i="87"/>
  <c r="C641" i="113"/>
  <c r="B68" i="87"/>
  <c r="C642" i="113"/>
  <c r="B69" i="87"/>
  <c r="C643" i="113"/>
  <c r="B70" i="87"/>
  <c r="C644" i="113"/>
  <c r="B71" i="87"/>
  <c r="C645" i="113"/>
  <c r="B61" i="87"/>
  <c r="C635" i="113"/>
  <c r="B46" i="87"/>
  <c r="C624" i="113"/>
  <c r="B47" i="87"/>
  <c r="C625" i="113"/>
  <c r="B48" i="87"/>
  <c r="C626" i="113"/>
  <c r="B49" i="87"/>
  <c r="C627" i="113"/>
  <c r="B50" i="87"/>
  <c r="C628" i="113"/>
  <c r="B51" i="87"/>
  <c r="C629" i="113"/>
  <c r="B52" i="87"/>
  <c r="C630" i="113"/>
  <c r="B53" i="87"/>
  <c r="C631" i="113"/>
  <c r="B54" i="87"/>
  <c r="C632" i="113"/>
  <c r="B55" i="87"/>
  <c r="C633" i="113"/>
  <c r="B56" i="87"/>
  <c r="C634" i="113"/>
  <c r="B45" i="87"/>
  <c r="C623" i="113"/>
  <c r="B26" i="87"/>
  <c r="C663" i="113"/>
  <c r="B27" i="87"/>
  <c r="C664" i="113"/>
  <c r="B28" i="87"/>
  <c r="C665" i="113"/>
  <c r="B29" i="87"/>
  <c r="C666" i="113"/>
  <c r="B30" i="87"/>
  <c r="C667" i="113"/>
  <c r="B31" i="87"/>
  <c r="C668" i="113"/>
  <c r="B32" i="87"/>
  <c r="C669" i="113"/>
  <c r="B33" i="87"/>
  <c r="C670" i="113"/>
  <c r="B34" i="87"/>
  <c r="C671" i="113"/>
  <c r="B35" i="87"/>
  <c r="C672" i="113"/>
  <c r="B36" i="87"/>
  <c r="C673" i="113"/>
  <c r="B37" i="87"/>
  <c r="C674" i="113"/>
  <c r="B38" i="87"/>
  <c r="C675" i="113"/>
  <c r="B39" i="87"/>
  <c r="C676" i="113"/>
  <c r="B40" i="87"/>
  <c r="C677" i="113"/>
  <c r="B41" i="87"/>
  <c r="C678" i="113"/>
  <c r="B25" i="87"/>
  <c r="C662" i="113"/>
  <c r="B7" i="87"/>
  <c r="C647" i="113"/>
  <c r="B8" i="87"/>
  <c r="C648" i="113"/>
  <c r="B9" i="87"/>
  <c r="C649" i="113"/>
  <c r="B10" i="87"/>
  <c r="C650" i="113"/>
  <c r="B11" i="87"/>
  <c r="C651" i="113"/>
  <c r="B12" i="87"/>
  <c r="C652" i="113"/>
  <c r="B13" i="87"/>
  <c r="C653" i="113"/>
  <c r="B14" i="87"/>
  <c r="C654" i="113"/>
  <c r="B15" i="87"/>
  <c r="C655" i="113"/>
  <c r="B16" i="87"/>
  <c r="C656" i="113"/>
  <c r="B17" i="87"/>
  <c r="C657" i="113"/>
  <c r="B18" i="87"/>
  <c r="C658" i="113"/>
  <c r="B19" i="87"/>
  <c r="C659" i="113"/>
  <c r="B20" i="87"/>
  <c r="C660" i="113"/>
  <c r="B21" i="87"/>
  <c r="C661" i="113"/>
  <c r="B6" i="87"/>
  <c r="C646" i="113"/>
  <c r="G5" i="126"/>
  <c r="E412" i="113"/>
  <c r="G412" i="113"/>
  <c r="M412" i="113"/>
  <c r="H412" i="113"/>
  <c r="G6" i="126"/>
  <c r="E413" i="113"/>
  <c r="G413" i="113"/>
  <c r="M413" i="113"/>
  <c r="G7" i="126"/>
  <c r="E414" i="113"/>
  <c r="G414" i="113"/>
  <c r="M414" i="113"/>
  <c r="G8" i="126"/>
  <c r="E415" i="113"/>
  <c r="G415" i="113"/>
  <c r="M415" i="113"/>
  <c r="G9" i="126"/>
  <c r="E416" i="113"/>
  <c r="G416" i="113"/>
  <c r="M416" i="113"/>
  <c r="G10" i="126"/>
  <c r="E417" i="113"/>
  <c r="G417" i="113"/>
  <c r="M417" i="113"/>
  <c r="G11" i="126"/>
  <c r="E418" i="113"/>
  <c r="G418" i="113"/>
  <c r="M418" i="113"/>
  <c r="G12" i="126"/>
  <c r="E419" i="113"/>
  <c r="G419" i="113"/>
  <c r="M419" i="113"/>
  <c r="G13" i="126"/>
  <c r="E420" i="113"/>
  <c r="G420" i="113"/>
  <c r="M420" i="113"/>
  <c r="G14" i="126"/>
  <c r="E421" i="113"/>
  <c r="G421" i="113"/>
  <c r="M421" i="113"/>
  <c r="H421" i="113"/>
  <c r="H420" i="113"/>
  <c r="H419" i="113"/>
  <c r="H418" i="113"/>
  <c r="H417" i="113"/>
  <c r="H415" i="113"/>
  <c r="H414" i="113"/>
  <c r="H416" i="113"/>
  <c r="H413" i="113"/>
  <c r="G17" i="126"/>
  <c r="E406" i="113"/>
  <c r="G406" i="113"/>
  <c r="H406" i="113"/>
  <c r="G18" i="126"/>
  <c r="E407" i="113"/>
  <c r="G407" i="113"/>
  <c r="H407" i="113"/>
  <c r="G16" i="126"/>
  <c r="E405" i="113"/>
  <c r="G405" i="113"/>
  <c r="H405" i="113"/>
  <c r="G19" i="126"/>
  <c r="H408" i="113"/>
  <c r="G20" i="126"/>
  <c r="E409" i="113"/>
  <c r="G409" i="113"/>
  <c r="H409" i="113"/>
  <c r="G21" i="126"/>
  <c r="E410" i="113"/>
  <c r="G410" i="113"/>
  <c r="H410" i="113"/>
  <c r="G15" i="126"/>
  <c r="E404" i="113"/>
  <c r="G404" i="113"/>
  <c r="H404" i="113"/>
  <c r="G22" i="126"/>
  <c r="E411" i="113"/>
  <c r="G411" i="113"/>
  <c r="H411" i="113"/>
  <c r="M411" i="113"/>
  <c r="M410" i="113"/>
  <c r="M409" i="113"/>
  <c r="M407" i="113"/>
  <c r="M406" i="113"/>
  <c r="M405" i="113"/>
  <c r="M404" i="113"/>
  <c r="I7" i="83"/>
  <c r="J7" i="83"/>
  <c r="C7" i="83"/>
  <c r="D7" i="83"/>
  <c r="K7" i="83"/>
  <c r="F476" i="113"/>
  <c r="F7" i="83"/>
  <c r="G7" i="83"/>
  <c r="E476" i="113"/>
  <c r="G476" i="113"/>
  <c r="M476" i="113"/>
  <c r="D476" i="113"/>
  <c r="H476" i="113"/>
  <c r="I8" i="83"/>
  <c r="J8" i="83"/>
  <c r="C8" i="83"/>
  <c r="D8" i="83"/>
  <c r="K8" i="83"/>
  <c r="F477" i="113"/>
  <c r="F8" i="83"/>
  <c r="G8" i="83"/>
  <c r="E477" i="113"/>
  <c r="G477" i="113"/>
  <c r="M477" i="113"/>
  <c r="D477" i="113"/>
  <c r="H477" i="113"/>
  <c r="C9" i="83"/>
  <c r="D9" i="83"/>
  <c r="D478" i="113"/>
  <c r="F9" i="83"/>
  <c r="G9" i="83"/>
  <c r="E478" i="113"/>
  <c r="I9" i="83"/>
  <c r="J9" i="83"/>
  <c r="K9" i="83"/>
  <c r="F478" i="113"/>
  <c r="G478" i="113"/>
  <c r="H478" i="113"/>
  <c r="M478" i="113"/>
  <c r="C11" i="83"/>
  <c r="D11" i="83"/>
  <c r="D480" i="113"/>
  <c r="F11" i="83"/>
  <c r="G11" i="83"/>
  <c r="E480" i="113"/>
  <c r="I11" i="83"/>
  <c r="J11" i="83"/>
  <c r="K11" i="83"/>
  <c r="F480" i="113"/>
  <c r="G480" i="113"/>
  <c r="H480" i="113"/>
  <c r="C13" i="83"/>
  <c r="D13" i="83"/>
  <c r="D482" i="113"/>
  <c r="F13" i="83"/>
  <c r="G13" i="83"/>
  <c r="E482" i="113"/>
  <c r="I13" i="83"/>
  <c r="J13" i="83"/>
  <c r="K13" i="83"/>
  <c r="F482" i="113"/>
  <c r="G482" i="113"/>
  <c r="H482" i="113"/>
  <c r="C15" i="83"/>
  <c r="D15" i="83"/>
  <c r="D484" i="113"/>
  <c r="F15" i="83"/>
  <c r="G15" i="83"/>
  <c r="E484" i="113"/>
  <c r="I15" i="83"/>
  <c r="J15" i="83"/>
  <c r="K15" i="83"/>
  <c r="F484" i="113"/>
  <c r="G484" i="113"/>
  <c r="H484" i="113"/>
  <c r="C14" i="83"/>
  <c r="D14" i="83"/>
  <c r="D483" i="113"/>
  <c r="F14" i="83"/>
  <c r="G14" i="83"/>
  <c r="E483" i="113"/>
  <c r="I14" i="83"/>
  <c r="J14" i="83"/>
  <c r="K14" i="83"/>
  <c r="F483" i="113"/>
  <c r="G483" i="113"/>
  <c r="H483" i="113"/>
  <c r="C12" i="83"/>
  <c r="D12" i="83"/>
  <c r="D481" i="113"/>
  <c r="F12" i="83"/>
  <c r="G12" i="83"/>
  <c r="E481" i="113"/>
  <c r="I12" i="83"/>
  <c r="J12" i="83"/>
  <c r="K12" i="83"/>
  <c r="F481" i="113"/>
  <c r="G481" i="113"/>
  <c r="H481" i="113"/>
  <c r="C10" i="83"/>
  <c r="D10" i="83"/>
  <c r="D479" i="113"/>
  <c r="F10" i="83"/>
  <c r="G10" i="83"/>
  <c r="E479" i="113"/>
  <c r="I10" i="83"/>
  <c r="J10" i="83"/>
  <c r="K10" i="83"/>
  <c r="F479" i="113"/>
  <c r="G479" i="113"/>
  <c r="H479" i="113"/>
  <c r="M484" i="113"/>
  <c r="M483" i="113"/>
  <c r="M482" i="113"/>
  <c r="M481" i="113"/>
  <c r="M480" i="113"/>
  <c r="M479" i="113"/>
  <c r="L7" i="34"/>
  <c r="M7" i="34"/>
  <c r="L11" i="34"/>
  <c r="M11" i="34"/>
  <c r="L12" i="34"/>
  <c r="M12" i="34"/>
  <c r="L15" i="34"/>
  <c r="M15" i="34"/>
  <c r="L18" i="34"/>
  <c r="M18" i="34"/>
  <c r="L20" i="34"/>
  <c r="M20" i="34"/>
  <c r="L21" i="34"/>
  <c r="M21" i="34"/>
  <c r="L23" i="34"/>
  <c r="M23" i="34"/>
  <c r="L24" i="34"/>
  <c r="M24" i="34"/>
  <c r="L25" i="34"/>
  <c r="M25" i="34"/>
  <c r="L26" i="34"/>
  <c r="M26" i="34"/>
  <c r="L28" i="34"/>
  <c r="M28" i="34"/>
  <c r="L30" i="34"/>
  <c r="M30" i="34"/>
  <c r="L32" i="34"/>
  <c r="M32" i="34"/>
  <c r="L34" i="34"/>
  <c r="M34" i="34"/>
  <c r="L5" i="34"/>
  <c r="M5" i="34"/>
  <c r="E6" i="60"/>
  <c r="B6" i="60"/>
  <c r="C6" i="60"/>
  <c r="K7" i="60"/>
  <c r="L7" i="60"/>
  <c r="K8" i="60"/>
  <c r="L8" i="60"/>
  <c r="K9" i="60"/>
  <c r="L9" i="60"/>
  <c r="K10" i="60"/>
  <c r="L10" i="60"/>
  <c r="K11" i="60"/>
  <c r="L11" i="60"/>
  <c r="K12" i="60"/>
  <c r="L12" i="60"/>
  <c r="K13" i="60"/>
  <c r="L13" i="60"/>
  <c r="K14" i="60"/>
  <c r="L14" i="60"/>
  <c r="K15" i="60"/>
  <c r="L15" i="60"/>
  <c r="K6" i="60"/>
  <c r="L6" i="60"/>
  <c r="H7" i="60"/>
  <c r="I7" i="60"/>
  <c r="H8" i="60"/>
  <c r="I8" i="60"/>
  <c r="H9" i="60"/>
  <c r="I9" i="60"/>
  <c r="H10" i="60"/>
  <c r="I10" i="60"/>
  <c r="H11" i="60"/>
  <c r="I11" i="60"/>
  <c r="H12" i="60"/>
  <c r="I12" i="60"/>
  <c r="H13" i="60"/>
  <c r="I13" i="60"/>
  <c r="H14" i="60"/>
  <c r="I14" i="60"/>
  <c r="H15" i="60"/>
  <c r="I15" i="60"/>
  <c r="H6" i="60"/>
  <c r="I6" i="60"/>
  <c r="E7" i="60"/>
  <c r="F7" i="60"/>
  <c r="E8" i="60"/>
  <c r="F8" i="60"/>
  <c r="E9" i="60"/>
  <c r="F9" i="60"/>
  <c r="E10" i="60"/>
  <c r="F10" i="60"/>
  <c r="E11" i="60"/>
  <c r="F11" i="60"/>
  <c r="E12" i="60"/>
  <c r="F12" i="60"/>
  <c r="E13" i="60"/>
  <c r="F13" i="60"/>
  <c r="E14" i="60"/>
  <c r="F14" i="60"/>
  <c r="E15" i="60"/>
  <c r="F15" i="60"/>
  <c r="F6" i="60"/>
  <c r="B7" i="60"/>
  <c r="C7" i="60"/>
  <c r="B8" i="60"/>
  <c r="C8" i="60"/>
  <c r="B9" i="60"/>
  <c r="C9" i="60"/>
  <c r="B10" i="60"/>
  <c r="C10" i="60"/>
  <c r="B11" i="60"/>
  <c r="C11" i="60"/>
  <c r="B12" i="60"/>
  <c r="C12" i="60"/>
  <c r="B13" i="60"/>
  <c r="C13" i="60"/>
  <c r="B14" i="60"/>
  <c r="C14" i="60"/>
  <c r="B15" i="60"/>
  <c r="C15" i="60"/>
  <c r="C6" i="58"/>
  <c r="D6" i="58"/>
  <c r="C7" i="58"/>
  <c r="D7" i="58"/>
  <c r="C8" i="58"/>
  <c r="D8" i="58"/>
  <c r="C9" i="58"/>
  <c r="D9" i="58"/>
  <c r="C10" i="58"/>
  <c r="D10" i="58"/>
  <c r="C11" i="58"/>
  <c r="D11" i="58"/>
  <c r="C5" i="58"/>
  <c r="D5" i="58"/>
  <c r="F6" i="58"/>
  <c r="G6" i="58"/>
  <c r="F7" i="58"/>
  <c r="G7" i="58"/>
  <c r="F8" i="58"/>
  <c r="G8" i="58"/>
  <c r="F9" i="58"/>
  <c r="G9" i="58"/>
  <c r="F10" i="58"/>
  <c r="G10" i="58"/>
  <c r="F11" i="58"/>
  <c r="G11" i="58"/>
  <c r="F5" i="58"/>
  <c r="G5" i="58"/>
  <c r="E34" i="58"/>
  <c r="C34" i="58"/>
  <c r="C22" i="58"/>
  <c r="C21" i="58"/>
  <c r="C20" i="58"/>
  <c r="C19" i="58"/>
  <c r="C18" i="58"/>
  <c r="C17" i="58"/>
  <c r="C16" i="58"/>
  <c r="E7" i="117"/>
  <c r="E6" i="117"/>
  <c r="F6" i="117"/>
  <c r="M28" i="117"/>
  <c r="N28" i="117"/>
  <c r="M27" i="117"/>
  <c r="N27" i="117"/>
  <c r="M26" i="117"/>
  <c r="N26" i="117"/>
  <c r="M25" i="117"/>
  <c r="N25" i="117"/>
  <c r="M24" i="117"/>
  <c r="N24" i="117"/>
  <c r="M23" i="117"/>
  <c r="N23" i="117"/>
  <c r="M22" i="117"/>
  <c r="N22" i="117"/>
  <c r="E22" i="117"/>
  <c r="F22" i="117"/>
  <c r="M21" i="117"/>
  <c r="N21" i="117"/>
  <c r="E21" i="117"/>
  <c r="F21" i="117"/>
  <c r="M20" i="117"/>
  <c r="N20" i="117"/>
  <c r="E20" i="117"/>
  <c r="F20" i="117"/>
  <c r="M19" i="117"/>
  <c r="N19" i="117"/>
  <c r="E19" i="117"/>
  <c r="F19" i="117"/>
  <c r="AC18" i="117"/>
  <c r="AD18" i="117"/>
  <c r="M18" i="117"/>
  <c r="N18" i="117"/>
  <c r="E18" i="117"/>
  <c r="F18" i="117"/>
  <c r="AC17" i="117"/>
  <c r="AD17" i="117"/>
  <c r="M17" i="117"/>
  <c r="N17" i="117"/>
  <c r="E17" i="117"/>
  <c r="F17" i="117"/>
  <c r="AC16" i="117"/>
  <c r="AD16" i="117"/>
  <c r="M16" i="117"/>
  <c r="N16" i="117"/>
  <c r="E16" i="117"/>
  <c r="F16" i="117"/>
  <c r="AC15" i="117"/>
  <c r="AD15" i="117"/>
  <c r="M15" i="117"/>
  <c r="N15" i="117"/>
  <c r="E15" i="117"/>
  <c r="F15" i="117"/>
  <c r="AC14" i="117"/>
  <c r="AD14" i="117"/>
  <c r="M14" i="117"/>
  <c r="N14" i="117"/>
  <c r="E14" i="117"/>
  <c r="F14" i="117"/>
  <c r="AC13" i="117"/>
  <c r="AD13" i="117"/>
  <c r="U13" i="117"/>
  <c r="V13" i="117"/>
  <c r="M13" i="117"/>
  <c r="N13" i="117"/>
  <c r="E13" i="117"/>
  <c r="F13" i="117"/>
  <c r="AC12" i="117"/>
  <c r="AD12" i="117"/>
  <c r="U12" i="117"/>
  <c r="V12" i="117"/>
  <c r="M12" i="117"/>
  <c r="N12" i="117"/>
  <c r="E12" i="117"/>
  <c r="F12" i="117"/>
  <c r="AC11" i="117"/>
  <c r="AD11" i="117"/>
  <c r="U11" i="117"/>
  <c r="V11" i="117"/>
  <c r="M11" i="117"/>
  <c r="N11" i="117"/>
  <c r="E11" i="117"/>
  <c r="F11" i="117"/>
  <c r="AC10" i="117"/>
  <c r="AD10" i="117"/>
  <c r="U10" i="117"/>
  <c r="V10" i="117"/>
  <c r="M10" i="117"/>
  <c r="N10" i="117"/>
  <c r="E10" i="117"/>
  <c r="F10" i="117"/>
  <c r="AC9" i="117"/>
  <c r="AD9" i="117"/>
  <c r="U9" i="117"/>
  <c r="V9" i="117"/>
  <c r="M9" i="117"/>
  <c r="N9" i="117"/>
  <c r="E9" i="117"/>
  <c r="F9" i="117"/>
  <c r="AC8" i="117"/>
  <c r="AD8" i="117"/>
  <c r="U8" i="117"/>
  <c r="V8" i="117"/>
  <c r="M8" i="117"/>
  <c r="N8" i="117"/>
  <c r="E8" i="117"/>
  <c r="F8" i="117"/>
  <c r="AC7" i="117"/>
  <c r="AD7" i="117"/>
  <c r="U7" i="117"/>
  <c r="V7" i="117"/>
  <c r="M7" i="117"/>
  <c r="N7" i="117"/>
  <c r="F7" i="117"/>
  <c r="AC6" i="117"/>
  <c r="AD6" i="117"/>
  <c r="U6" i="117"/>
  <c r="V6" i="117"/>
  <c r="M6" i="117"/>
  <c r="N6" i="117"/>
  <c r="J33" i="61"/>
  <c r="K33" i="61"/>
  <c r="E16" i="61"/>
  <c r="F16" i="61"/>
  <c r="E33" i="61"/>
  <c r="F33" i="61"/>
  <c r="E8" i="61"/>
  <c r="F8" i="61"/>
  <c r="L33" i="61"/>
  <c r="M33" i="61"/>
  <c r="H22" i="45"/>
  <c r="I22" i="45"/>
  <c r="H24" i="45"/>
  <c r="I24" i="45"/>
  <c r="E22" i="45"/>
  <c r="F22" i="45"/>
  <c r="E24" i="45"/>
  <c r="F24" i="45"/>
  <c r="B12" i="43"/>
  <c r="R7" i="42"/>
  <c r="S7" i="42"/>
  <c r="K8" i="42"/>
  <c r="L8" i="42"/>
  <c r="K9" i="42"/>
  <c r="L9" i="42"/>
  <c r="K10" i="42"/>
  <c r="L10" i="42"/>
  <c r="K11" i="42"/>
  <c r="L11" i="42"/>
  <c r="K12" i="42"/>
  <c r="L12" i="42"/>
  <c r="K13" i="42"/>
  <c r="L13" i="42"/>
  <c r="K14" i="42"/>
  <c r="L14" i="42"/>
  <c r="K15" i="42"/>
  <c r="L15" i="42"/>
  <c r="K16" i="42"/>
  <c r="L16" i="42"/>
  <c r="K17" i="42"/>
  <c r="L17" i="42"/>
  <c r="K18" i="42"/>
  <c r="L18" i="42"/>
  <c r="K7" i="42"/>
  <c r="L7" i="42"/>
  <c r="H8" i="42"/>
  <c r="I8" i="42"/>
  <c r="H9" i="42"/>
  <c r="I9" i="42"/>
  <c r="H10" i="42"/>
  <c r="I10" i="42"/>
  <c r="H11" i="42"/>
  <c r="I11" i="42"/>
  <c r="H12" i="42"/>
  <c r="I12" i="42"/>
  <c r="H13" i="42"/>
  <c r="I13" i="42"/>
  <c r="H14" i="42"/>
  <c r="I14" i="42"/>
  <c r="H15" i="42"/>
  <c r="I15" i="42"/>
  <c r="H16" i="42"/>
  <c r="I16" i="42"/>
  <c r="H17" i="42"/>
  <c r="I17" i="42"/>
  <c r="H18" i="42"/>
  <c r="I18" i="42"/>
  <c r="H7" i="42"/>
  <c r="I7" i="42"/>
  <c r="E8" i="42"/>
  <c r="F8" i="42"/>
  <c r="E9" i="42"/>
  <c r="F9" i="42"/>
  <c r="E10" i="42"/>
  <c r="F10" i="42"/>
  <c r="E11" i="42"/>
  <c r="F11" i="42"/>
  <c r="E12" i="42"/>
  <c r="F12" i="42"/>
  <c r="E13" i="42"/>
  <c r="F13" i="42"/>
  <c r="E14" i="42"/>
  <c r="F14" i="42"/>
  <c r="E15" i="42"/>
  <c r="F15" i="42"/>
  <c r="E16" i="42"/>
  <c r="F16" i="42"/>
  <c r="E17" i="42"/>
  <c r="F17" i="42"/>
  <c r="E18" i="42"/>
  <c r="F18" i="42"/>
  <c r="E7" i="42"/>
  <c r="F7" i="42"/>
  <c r="X8" i="42"/>
  <c r="Y8" i="42"/>
  <c r="X11" i="42"/>
  <c r="Y11" i="42"/>
  <c r="X12" i="42"/>
  <c r="Y12" i="42"/>
  <c r="X13" i="42"/>
  <c r="Y13" i="42"/>
  <c r="X14" i="42"/>
  <c r="Y14" i="42"/>
  <c r="X15" i="42"/>
  <c r="Y15" i="42"/>
  <c r="X16" i="42"/>
  <c r="Y16" i="42"/>
  <c r="X17" i="42"/>
  <c r="Y17" i="42"/>
  <c r="X18" i="42"/>
  <c r="Y18" i="42"/>
  <c r="X7" i="42"/>
  <c r="Y7" i="42"/>
  <c r="U8" i="42"/>
  <c r="V8" i="42"/>
  <c r="U9" i="42"/>
  <c r="V9" i="42"/>
  <c r="U10" i="42"/>
  <c r="V10" i="42"/>
  <c r="U11" i="42"/>
  <c r="V11" i="42"/>
  <c r="U12" i="42"/>
  <c r="V12" i="42"/>
  <c r="U13" i="42"/>
  <c r="V13" i="42"/>
  <c r="U14" i="42"/>
  <c r="V14" i="42"/>
  <c r="U15" i="42"/>
  <c r="V15" i="42"/>
  <c r="U16" i="42"/>
  <c r="V16" i="42"/>
  <c r="U17" i="42"/>
  <c r="V17" i="42"/>
  <c r="U18" i="42"/>
  <c r="V18" i="42"/>
  <c r="U7" i="42"/>
  <c r="V7" i="42"/>
  <c r="R8" i="42"/>
  <c r="S8" i="42"/>
  <c r="R9" i="42"/>
  <c r="S9" i="42"/>
  <c r="R10" i="42"/>
  <c r="S10" i="42"/>
  <c r="R11" i="42"/>
  <c r="S11" i="42"/>
  <c r="R12" i="42"/>
  <c r="S12" i="42"/>
  <c r="R13" i="42"/>
  <c r="S13" i="42"/>
  <c r="R14" i="42"/>
  <c r="S14" i="42"/>
  <c r="R15" i="42"/>
  <c r="S15" i="42"/>
  <c r="R16" i="42"/>
  <c r="S16" i="42"/>
  <c r="R17" i="42"/>
  <c r="S17" i="42"/>
  <c r="R18" i="42"/>
  <c r="S18" i="42"/>
  <c r="N8" i="42"/>
  <c r="O8" i="42"/>
  <c r="N9" i="42"/>
  <c r="O9" i="42"/>
  <c r="N10" i="42"/>
  <c r="O10" i="42"/>
  <c r="N11" i="42"/>
  <c r="O11" i="42"/>
  <c r="N12" i="42"/>
  <c r="O12" i="42"/>
  <c r="N13" i="42"/>
  <c r="O13" i="42"/>
  <c r="N14" i="42"/>
  <c r="O14" i="42"/>
  <c r="N15" i="42"/>
  <c r="O15" i="42"/>
  <c r="N16" i="42"/>
  <c r="O16" i="42"/>
  <c r="N17" i="42"/>
  <c r="O17" i="42"/>
  <c r="N18" i="42"/>
  <c r="O18" i="42"/>
  <c r="N7" i="42"/>
  <c r="O7" i="42"/>
  <c r="B8" i="42"/>
  <c r="C8" i="42"/>
  <c r="B9" i="42"/>
  <c r="C9" i="42"/>
  <c r="B10" i="42"/>
  <c r="C10" i="42"/>
  <c r="B11" i="42"/>
  <c r="C11" i="42"/>
  <c r="B12" i="42"/>
  <c r="C12" i="42"/>
  <c r="B13" i="42"/>
  <c r="C13" i="42"/>
  <c r="B14" i="42"/>
  <c r="C14" i="42"/>
  <c r="B15" i="42"/>
  <c r="C15" i="42"/>
  <c r="B16" i="42"/>
  <c r="C16" i="42"/>
  <c r="B17" i="42"/>
  <c r="C17" i="42"/>
  <c r="B18" i="42"/>
  <c r="C18" i="42"/>
  <c r="B7" i="42"/>
  <c r="C7" i="42"/>
  <c r="K5" i="38"/>
  <c r="K6" i="38"/>
  <c r="K7" i="38"/>
  <c r="K8" i="38"/>
  <c r="K9" i="38"/>
  <c r="K10" i="38"/>
  <c r="H9" i="37"/>
  <c r="O7" i="37"/>
  <c r="O8" i="37"/>
  <c r="O6" i="37"/>
  <c r="H6" i="37"/>
  <c r="S7" i="37"/>
  <c r="S8" i="37"/>
  <c r="S6" i="37"/>
  <c r="H7" i="37"/>
  <c r="H8" i="37"/>
  <c r="H10" i="37"/>
  <c r="H11" i="37"/>
  <c r="H12" i="37"/>
  <c r="H13" i="37"/>
  <c r="H14" i="37"/>
  <c r="H15" i="37"/>
  <c r="H16" i="37"/>
  <c r="H17" i="37"/>
  <c r="H20" i="37"/>
  <c r="W7" i="37"/>
  <c r="W8" i="37"/>
  <c r="W6" i="37"/>
  <c r="H7" i="57"/>
  <c r="I7" i="57"/>
  <c r="H8" i="57"/>
  <c r="I8" i="57"/>
  <c r="H9" i="57"/>
  <c r="I9" i="57"/>
  <c r="H10" i="57"/>
  <c r="I10" i="57"/>
  <c r="H15" i="57"/>
  <c r="I15" i="57"/>
  <c r="H16" i="57"/>
  <c r="I16" i="57"/>
  <c r="H17" i="57"/>
  <c r="I17" i="57"/>
  <c r="H18" i="57"/>
  <c r="I18" i="57"/>
  <c r="H19" i="57"/>
  <c r="I19" i="57"/>
  <c r="H24" i="57"/>
  <c r="I24" i="57"/>
  <c r="H25" i="57"/>
  <c r="I25" i="57"/>
  <c r="H26" i="57"/>
  <c r="I26" i="57"/>
  <c r="H27" i="57"/>
  <c r="I27" i="57"/>
  <c r="H28" i="57"/>
  <c r="I28" i="57"/>
  <c r="H33" i="57"/>
  <c r="I33" i="57"/>
  <c r="H34" i="57"/>
  <c r="I34" i="57"/>
  <c r="H35" i="57"/>
  <c r="I35" i="57"/>
  <c r="H36" i="57"/>
  <c r="I36" i="57"/>
  <c r="H37" i="57"/>
  <c r="I37" i="57"/>
  <c r="H6" i="57"/>
  <c r="I6" i="57"/>
  <c r="E7" i="57"/>
  <c r="F7" i="57"/>
  <c r="E8" i="57"/>
  <c r="F8" i="57"/>
  <c r="E9" i="57"/>
  <c r="F9" i="57"/>
  <c r="E10" i="57"/>
  <c r="F10" i="57"/>
  <c r="E15" i="57"/>
  <c r="F15" i="57"/>
  <c r="E16" i="57"/>
  <c r="F16" i="57"/>
  <c r="E17" i="57"/>
  <c r="F17" i="57"/>
  <c r="E18" i="57"/>
  <c r="F18" i="57"/>
  <c r="E19" i="57"/>
  <c r="F19" i="57"/>
  <c r="E24" i="57"/>
  <c r="F24" i="57"/>
  <c r="E25" i="57"/>
  <c r="F25" i="57"/>
  <c r="E26" i="57"/>
  <c r="F26" i="57"/>
  <c r="E27" i="57"/>
  <c r="F27" i="57"/>
  <c r="E28" i="57"/>
  <c r="F28" i="57"/>
  <c r="E33" i="57"/>
  <c r="F33" i="57"/>
  <c r="E34" i="57"/>
  <c r="F34" i="57"/>
  <c r="E35" i="57"/>
  <c r="F35" i="57"/>
  <c r="E36" i="57"/>
  <c r="F36" i="57"/>
  <c r="E37" i="57"/>
  <c r="F37" i="57"/>
  <c r="E6" i="57"/>
  <c r="F6" i="57"/>
  <c r="L6" i="57"/>
  <c r="B7" i="57"/>
  <c r="C7" i="57"/>
  <c r="B8" i="57"/>
  <c r="C8" i="57"/>
  <c r="B9" i="57"/>
  <c r="C9" i="57"/>
  <c r="B10" i="57"/>
  <c r="C10" i="57"/>
  <c r="B15" i="57"/>
  <c r="C15" i="57"/>
  <c r="B16" i="57"/>
  <c r="C16" i="57"/>
  <c r="B17" i="57"/>
  <c r="C17" i="57"/>
  <c r="B18" i="57"/>
  <c r="C18" i="57"/>
  <c r="B19" i="57"/>
  <c r="C19" i="57"/>
  <c r="B24" i="57"/>
  <c r="C24" i="57"/>
  <c r="B25" i="57"/>
  <c r="C25" i="57"/>
  <c r="B26" i="57"/>
  <c r="C26" i="57"/>
  <c r="B27" i="57"/>
  <c r="C27" i="57"/>
  <c r="B28" i="57"/>
  <c r="C28" i="57"/>
  <c r="B33" i="57"/>
  <c r="C33" i="57"/>
  <c r="B34" i="57"/>
  <c r="C34" i="57"/>
  <c r="B35" i="57"/>
  <c r="C35" i="57"/>
  <c r="B36" i="57"/>
  <c r="C36" i="57"/>
  <c r="B37" i="57"/>
  <c r="C37" i="57"/>
  <c r="B6" i="57"/>
  <c r="C6" i="57"/>
  <c r="H33" i="59"/>
  <c r="I33" i="59"/>
  <c r="E33" i="59"/>
  <c r="F33" i="59"/>
  <c r="E32" i="59"/>
  <c r="F32" i="59"/>
  <c r="E19" i="59"/>
  <c r="F19" i="59"/>
  <c r="H10" i="59"/>
  <c r="I10" i="59"/>
  <c r="H11" i="59"/>
  <c r="I11" i="59"/>
  <c r="H12" i="59"/>
  <c r="I12" i="59"/>
  <c r="H13" i="59"/>
  <c r="I13" i="59"/>
  <c r="H19" i="59"/>
  <c r="I19" i="59"/>
  <c r="H20" i="59"/>
  <c r="I20" i="59"/>
  <c r="H21" i="59"/>
  <c r="I21" i="59"/>
  <c r="H22" i="59"/>
  <c r="I22" i="59"/>
  <c r="H23" i="59"/>
  <c r="I23" i="59"/>
  <c r="H29" i="59"/>
  <c r="I29" i="59"/>
  <c r="H30" i="59"/>
  <c r="I30" i="59"/>
  <c r="H31" i="59"/>
  <c r="I31" i="59"/>
  <c r="H32" i="59"/>
  <c r="I32" i="59"/>
  <c r="H38" i="59"/>
  <c r="I38" i="59"/>
  <c r="H39" i="59"/>
  <c r="I39" i="59"/>
  <c r="H40" i="59"/>
  <c r="I40" i="59"/>
  <c r="H41" i="59"/>
  <c r="I41" i="59"/>
  <c r="H42" i="59"/>
  <c r="I42" i="59"/>
  <c r="H9" i="59"/>
  <c r="I9" i="59"/>
  <c r="E10" i="59"/>
  <c r="F10" i="59"/>
  <c r="E11" i="59"/>
  <c r="F11" i="59"/>
  <c r="E12" i="59"/>
  <c r="F12" i="59"/>
  <c r="E13" i="59"/>
  <c r="F13" i="59"/>
  <c r="E20" i="59"/>
  <c r="F20" i="59"/>
  <c r="E21" i="59"/>
  <c r="F21" i="59"/>
  <c r="E22" i="59"/>
  <c r="F22" i="59"/>
  <c r="E23" i="59"/>
  <c r="F23" i="59"/>
  <c r="E29" i="59"/>
  <c r="F29" i="59"/>
  <c r="E30" i="59"/>
  <c r="F30" i="59"/>
  <c r="E31" i="59"/>
  <c r="F31" i="59"/>
  <c r="E38" i="59"/>
  <c r="F38" i="59"/>
  <c r="E39" i="59"/>
  <c r="F39" i="59"/>
  <c r="E40" i="59"/>
  <c r="F40" i="59"/>
  <c r="E41" i="59"/>
  <c r="F41" i="59"/>
  <c r="E42" i="59"/>
  <c r="F42" i="59"/>
  <c r="E9" i="59"/>
  <c r="F9" i="59"/>
  <c r="B10" i="59"/>
  <c r="C10" i="59"/>
  <c r="B11" i="59"/>
  <c r="C11" i="59"/>
  <c r="B12" i="59"/>
  <c r="C12" i="59"/>
  <c r="B13" i="59"/>
  <c r="C13" i="59"/>
  <c r="B19" i="59"/>
  <c r="C19" i="59"/>
  <c r="B20" i="59"/>
  <c r="C20" i="59"/>
  <c r="B21" i="59"/>
  <c r="C21" i="59"/>
  <c r="B22" i="59"/>
  <c r="C22" i="59"/>
  <c r="B23" i="59"/>
  <c r="C23" i="59"/>
  <c r="B29" i="59"/>
  <c r="C29" i="59"/>
  <c r="B30" i="59"/>
  <c r="C30" i="59"/>
  <c r="B31" i="59"/>
  <c r="C31" i="59"/>
  <c r="B32" i="59"/>
  <c r="C32" i="59"/>
  <c r="B33" i="59"/>
  <c r="C33" i="59"/>
  <c r="B38" i="59"/>
  <c r="C38" i="59"/>
  <c r="B39" i="59"/>
  <c r="C39" i="59"/>
  <c r="B40" i="59"/>
  <c r="C40" i="59"/>
  <c r="B41" i="59"/>
  <c r="C41" i="59"/>
  <c r="B42" i="59"/>
  <c r="C42" i="59"/>
  <c r="B9" i="59"/>
  <c r="C9" i="59"/>
  <c r="R29" i="119"/>
  <c r="Q29" i="119"/>
  <c r="R27" i="119"/>
  <c r="Q27" i="119"/>
  <c r="R21" i="119"/>
  <c r="Q21" i="119"/>
  <c r="R18" i="119"/>
  <c r="Q18" i="119"/>
  <c r="R10" i="119"/>
  <c r="Q10" i="119"/>
  <c r="R8" i="119"/>
  <c r="Q8" i="119"/>
  <c r="R7" i="119"/>
  <c r="Q7" i="119"/>
  <c r="R6" i="119"/>
  <c r="Q6" i="119"/>
  <c r="R5" i="119"/>
  <c r="Q5" i="119"/>
  <c r="R65" i="119"/>
  <c r="Q65" i="119"/>
  <c r="R64" i="119"/>
  <c r="Q64" i="119"/>
  <c r="R61" i="119"/>
  <c r="Q61" i="119"/>
  <c r="R59" i="119"/>
  <c r="Q59" i="119"/>
  <c r="R57" i="119"/>
  <c r="Q57" i="119"/>
  <c r="R55" i="119"/>
  <c r="Q55" i="119"/>
  <c r="R54" i="119"/>
  <c r="Q54" i="119"/>
  <c r="R52" i="119"/>
  <c r="Q52" i="119"/>
  <c r="R47" i="119"/>
  <c r="Q47" i="119"/>
  <c r="R46" i="119"/>
  <c r="Q46" i="119"/>
  <c r="R43" i="119"/>
  <c r="Q43" i="119"/>
  <c r="R41" i="119"/>
  <c r="Q41" i="119"/>
  <c r="R39" i="119"/>
  <c r="Q39" i="119"/>
  <c r="R37" i="119"/>
  <c r="Q37" i="119"/>
  <c r="R36" i="119"/>
  <c r="Q36" i="119"/>
  <c r="R34" i="119"/>
  <c r="Q34" i="119"/>
  <c r="S90" i="119"/>
  <c r="Q90" i="119"/>
  <c r="R90" i="119"/>
  <c r="S89" i="119"/>
  <c r="Q89" i="119"/>
  <c r="R89" i="119"/>
  <c r="S81" i="119"/>
  <c r="Q81" i="119"/>
  <c r="R81" i="119"/>
  <c r="S78" i="119"/>
  <c r="Q78" i="119"/>
  <c r="R78" i="119"/>
  <c r="S74" i="119"/>
  <c r="Q74" i="119"/>
  <c r="R74" i="119"/>
  <c r="S72" i="119"/>
  <c r="Q72" i="119"/>
  <c r="R72" i="119"/>
  <c r="S70" i="119"/>
  <c r="Q70" i="119"/>
  <c r="R70" i="119"/>
  <c r="S68" i="119"/>
  <c r="Q68" i="119"/>
  <c r="R68" i="119"/>
  <c r="S67" i="119"/>
  <c r="Q67" i="119"/>
  <c r="R67" i="119"/>
  <c r="S66" i="119"/>
  <c r="Q66" i="119"/>
  <c r="R66" i="119"/>
  <c r="I19" i="36"/>
  <c r="J19" i="36"/>
  <c r="K19" i="36"/>
  <c r="B26" i="36"/>
  <c r="B25" i="36"/>
  <c r="B7" i="41"/>
  <c r="B8" i="41"/>
  <c r="B9" i="41"/>
  <c r="B10" i="41"/>
  <c r="B11" i="41"/>
  <c r="B12" i="41"/>
  <c r="B13" i="41"/>
  <c r="B14" i="41"/>
  <c r="B6" i="41"/>
  <c r="F6" i="41"/>
  <c r="F7" i="41"/>
  <c r="G7" i="41"/>
  <c r="F8" i="41"/>
  <c r="G8" i="41"/>
  <c r="F9" i="41"/>
  <c r="G9" i="41"/>
  <c r="F10" i="41"/>
  <c r="G10" i="41"/>
  <c r="F11" i="41"/>
  <c r="G11" i="41"/>
  <c r="F12" i="41"/>
  <c r="G12" i="41"/>
  <c r="F13" i="41"/>
  <c r="G13" i="41"/>
  <c r="F14" i="41"/>
  <c r="G14" i="41"/>
  <c r="G6" i="41"/>
  <c r="C9" i="56"/>
  <c r="C10" i="56"/>
  <c r="C11" i="56"/>
  <c r="B52" i="54"/>
  <c r="B51" i="54"/>
  <c r="C47" i="55"/>
  <c r="C48" i="55"/>
  <c r="C41" i="55"/>
  <c r="C42" i="55"/>
  <c r="C43" i="55"/>
  <c r="C44" i="55"/>
  <c r="C45" i="55"/>
  <c r="C46" i="55"/>
  <c r="C30" i="55"/>
  <c r="C31" i="55"/>
  <c r="C32" i="55"/>
  <c r="C33" i="55"/>
  <c r="C34" i="55"/>
  <c r="C35" i="55"/>
  <c r="C36" i="55"/>
  <c r="C37" i="55"/>
  <c r="C39" i="55"/>
  <c r="C40" i="55"/>
  <c r="C7" i="55"/>
  <c r="C8" i="55"/>
  <c r="C9" i="55"/>
  <c r="C10" i="55"/>
  <c r="C11" i="55"/>
  <c r="C12" i="55"/>
  <c r="C13" i="55"/>
  <c r="C14" i="55"/>
  <c r="C15" i="55"/>
  <c r="C17" i="55"/>
  <c r="C18" i="55"/>
  <c r="C19" i="55"/>
  <c r="C20" i="55"/>
  <c r="C21" i="55"/>
  <c r="C22" i="55"/>
  <c r="C23" i="55"/>
  <c r="C24" i="55"/>
  <c r="C25" i="55"/>
  <c r="C26" i="55"/>
  <c r="C28" i="55"/>
  <c r="C29" i="55"/>
  <c r="C6" i="55"/>
  <c r="F34" i="55"/>
  <c r="G34" i="55"/>
  <c r="F29" i="55"/>
  <c r="G29" i="55"/>
  <c r="F30" i="55"/>
  <c r="G30" i="55"/>
  <c r="F31" i="55"/>
  <c r="G31" i="55"/>
  <c r="F32" i="55"/>
  <c r="G32" i="55"/>
  <c r="F33" i="55"/>
  <c r="G33" i="55"/>
  <c r="F39" i="55"/>
  <c r="G39" i="55"/>
  <c r="F40" i="55"/>
  <c r="G40" i="55"/>
  <c r="F41" i="55"/>
  <c r="G41" i="55"/>
  <c r="F42" i="55"/>
  <c r="G42" i="55"/>
  <c r="F43" i="55"/>
  <c r="G43" i="55"/>
  <c r="F44" i="55"/>
  <c r="G44" i="55"/>
  <c r="F28" i="55"/>
  <c r="G28" i="55"/>
  <c r="F17" i="55"/>
  <c r="F18" i="55"/>
  <c r="G18" i="55"/>
  <c r="F19" i="55"/>
  <c r="G19" i="55"/>
  <c r="F20" i="55"/>
  <c r="G20" i="55"/>
  <c r="F21" i="55"/>
  <c r="G21" i="55"/>
  <c r="G17" i="55"/>
  <c r="F6" i="55"/>
  <c r="F7" i="55"/>
  <c r="G7" i="55"/>
  <c r="F8" i="55"/>
  <c r="G8" i="55"/>
  <c r="F9" i="55"/>
  <c r="G9" i="55"/>
  <c r="F10" i="55"/>
  <c r="G10" i="55"/>
  <c r="G6" i="55"/>
  <c r="M9" i="82"/>
  <c r="O9" i="82"/>
  <c r="O12" i="82"/>
  <c r="O7" i="82"/>
  <c r="O8" i="82"/>
  <c r="O10" i="82"/>
  <c r="O11" i="82"/>
  <c r="O13" i="82"/>
  <c r="O14" i="82"/>
  <c r="O15" i="82"/>
  <c r="O16" i="82"/>
  <c r="O17" i="82"/>
  <c r="O18" i="82"/>
  <c r="O19" i="82"/>
  <c r="O20" i="82"/>
  <c r="O21" i="82"/>
  <c r="O22" i="82"/>
  <c r="J21" i="82"/>
  <c r="J18" i="82"/>
  <c r="J17" i="82"/>
  <c r="M8" i="82"/>
  <c r="M10" i="82"/>
  <c r="M11" i="82"/>
  <c r="M12" i="82"/>
  <c r="M13" i="82"/>
  <c r="M14" i="82"/>
  <c r="M15" i="82"/>
  <c r="M16" i="82"/>
  <c r="M17" i="82"/>
  <c r="M18" i="82"/>
  <c r="M19" i="82"/>
  <c r="M20" i="82"/>
  <c r="M21" i="82"/>
  <c r="M22" i="82"/>
  <c r="M7" i="82"/>
  <c r="J22" i="82"/>
  <c r="J20" i="82"/>
  <c r="J19" i="82"/>
  <c r="J16" i="82"/>
  <c r="J15" i="82"/>
  <c r="J14" i="82"/>
  <c r="J13" i="82"/>
  <c r="J12" i="82"/>
  <c r="J11" i="82"/>
  <c r="J10" i="82"/>
  <c r="J9" i="82"/>
  <c r="J8" i="82"/>
  <c r="J7" i="82"/>
  <c r="F8" i="82"/>
  <c r="F9" i="82"/>
  <c r="F10" i="82"/>
  <c r="F11" i="82"/>
  <c r="F12" i="82"/>
  <c r="F13" i="82"/>
  <c r="F14" i="82"/>
  <c r="F15" i="82"/>
  <c r="F16" i="82"/>
  <c r="F17" i="82"/>
  <c r="F18" i="82"/>
  <c r="F19" i="82"/>
  <c r="F20" i="82"/>
  <c r="F21" i="82"/>
  <c r="F22" i="82"/>
  <c r="F23" i="82"/>
  <c r="F24" i="82"/>
  <c r="F7" i="82"/>
  <c r="K91" i="84"/>
  <c r="K92" i="84"/>
  <c r="K94" i="84"/>
  <c r="D87" i="84"/>
  <c r="E87" i="84"/>
  <c r="D6" i="84"/>
  <c r="I101" i="84"/>
  <c r="I102" i="84"/>
  <c r="B103" i="84"/>
  <c r="B102" i="84"/>
  <c r="B101" i="84"/>
  <c r="B87" i="84"/>
  <c r="B67" i="84"/>
  <c r="B68" i="84"/>
  <c r="B69" i="84"/>
  <c r="J43" i="147"/>
  <c r="I43" i="147"/>
  <c r="L43" i="147"/>
  <c r="J42" i="147"/>
  <c r="I42" i="147"/>
  <c r="L42" i="147"/>
  <c r="D44" i="147"/>
  <c r="D42" i="147"/>
  <c r="D32" i="147"/>
  <c r="C59" i="147"/>
  <c r="C58" i="147"/>
  <c r="C57" i="147"/>
  <c r="C56" i="147"/>
  <c r="C55" i="147"/>
  <c r="C54" i="147"/>
  <c r="C53" i="147"/>
  <c r="C50" i="147"/>
  <c r="C49" i="147"/>
  <c r="C48" i="147"/>
  <c r="C47" i="147"/>
  <c r="C46" i="147"/>
  <c r="C45" i="147"/>
  <c r="C41" i="147"/>
  <c r="C40" i="147"/>
  <c r="C39" i="147"/>
  <c r="C38" i="147"/>
  <c r="C37" i="147"/>
  <c r="C36" i="147"/>
  <c r="C35" i="147"/>
  <c r="C34" i="147"/>
  <c r="C33" i="147"/>
  <c r="C31" i="147"/>
  <c r="C30" i="147"/>
  <c r="C29" i="147"/>
  <c r="C28" i="147"/>
  <c r="C27" i="147"/>
  <c r="C26" i="147"/>
  <c r="C25" i="147"/>
  <c r="C24" i="147"/>
  <c r="C23" i="147"/>
  <c r="C22" i="147"/>
  <c r="C21" i="147"/>
  <c r="C20" i="147"/>
  <c r="C19" i="147"/>
  <c r="C18" i="147"/>
  <c r="C17" i="147"/>
  <c r="C16" i="147"/>
  <c r="C15" i="147"/>
  <c r="C14" i="147"/>
  <c r="C13" i="147"/>
  <c r="C12" i="147"/>
  <c r="C11" i="147"/>
  <c r="C10" i="147"/>
  <c r="C9" i="147"/>
  <c r="C8" i="147"/>
  <c r="C7" i="147"/>
  <c r="C6" i="147"/>
  <c r="C5" i="147"/>
  <c r="C4" i="147"/>
  <c r="H3" i="112"/>
  <c r="H4" i="112"/>
  <c r="H5" i="112"/>
  <c r="H6" i="112"/>
  <c r="H7" i="112"/>
  <c r="H8" i="112"/>
  <c r="H9" i="112"/>
  <c r="H10" i="112"/>
  <c r="H11" i="112"/>
  <c r="H12" i="112"/>
  <c r="H13" i="112"/>
  <c r="H2" i="112"/>
  <c r="C3" i="112"/>
  <c r="C4" i="112"/>
  <c r="C5" i="112"/>
  <c r="C6" i="112"/>
  <c r="C7" i="112"/>
  <c r="C8" i="112"/>
  <c r="C9" i="112"/>
  <c r="C10" i="112"/>
  <c r="C11" i="112"/>
  <c r="C12" i="112"/>
  <c r="C13" i="112"/>
  <c r="E3" i="112"/>
  <c r="E4" i="112"/>
  <c r="E5" i="112"/>
  <c r="E6" i="112"/>
  <c r="E7" i="112"/>
  <c r="E8" i="112"/>
  <c r="E9" i="112"/>
  <c r="E10" i="112"/>
  <c r="E11" i="112"/>
  <c r="E12" i="112"/>
  <c r="E13" i="112"/>
  <c r="E2" i="112"/>
  <c r="C2" i="112"/>
  <c r="F2" i="112"/>
  <c r="F13" i="112"/>
  <c r="F12" i="112"/>
  <c r="F11" i="112"/>
  <c r="F10" i="112"/>
  <c r="F9" i="112"/>
  <c r="F8" i="112"/>
  <c r="F7" i="112"/>
  <c r="F6" i="112"/>
  <c r="F5" i="112"/>
  <c r="F4" i="112"/>
  <c r="F3" i="112"/>
  <c r="E7" i="87"/>
  <c r="E8" i="87"/>
  <c r="E9" i="87"/>
  <c r="E10" i="87"/>
  <c r="E11" i="87"/>
  <c r="E12" i="87"/>
  <c r="E13" i="87"/>
  <c r="E14" i="87"/>
  <c r="E15" i="87"/>
  <c r="E16" i="87"/>
  <c r="E17" i="87"/>
  <c r="E18" i="87"/>
  <c r="E19" i="87"/>
  <c r="E20" i="87"/>
  <c r="E21" i="87"/>
  <c r="E25" i="87"/>
  <c r="E26" i="87"/>
  <c r="E27" i="87"/>
  <c r="E28" i="87"/>
  <c r="E29" i="87"/>
  <c r="E30" i="87"/>
  <c r="E31" i="87"/>
  <c r="E32" i="87"/>
  <c r="E33" i="87"/>
  <c r="E34" i="87"/>
  <c r="E35" i="87"/>
  <c r="E36" i="87"/>
  <c r="E37" i="87"/>
  <c r="E38" i="87"/>
  <c r="E39" i="87"/>
  <c r="E40" i="87"/>
  <c r="E41" i="87"/>
  <c r="E46" i="87"/>
  <c r="E47" i="87"/>
  <c r="E50" i="87"/>
  <c r="E51" i="87"/>
  <c r="E52" i="87"/>
  <c r="D61" i="87"/>
  <c r="E61" i="87"/>
  <c r="D62" i="87"/>
  <c r="E62" i="87"/>
  <c r="D63" i="87"/>
  <c r="E63" i="87"/>
  <c r="D64" i="87"/>
  <c r="E64" i="87"/>
  <c r="D65" i="87"/>
  <c r="E65" i="87"/>
  <c r="D66" i="87"/>
  <c r="E66" i="87"/>
  <c r="D67" i="87"/>
  <c r="E67" i="87"/>
  <c r="D68" i="87"/>
  <c r="E68" i="87"/>
  <c r="D70" i="87"/>
  <c r="E70" i="87"/>
  <c r="D71" i="87"/>
  <c r="E71" i="87"/>
  <c r="E6" i="87"/>
  <c r="K43" i="127"/>
  <c r="K44" i="127"/>
  <c r="K45" i="127"/>
  <c r="K46" i="127"/>
  <c r="K47" i="127"/>
  <c r="K48" i="127"/>
  <c r="K49" i="127"/>
  <c r="I28" i="127"/>
  <c r="J28" i="127"/>
  <c r="K28" i="127"/>
  <c r="B8" i="127"/>
  <c r="B9" i="127"/>
  <c r="B10" i="127"/>
  <c r="B11" i="127"/>
  <c r="B12" i="127"/>
  <c r="B13" i="127"/>
  <c r="B14" i="127"/>
  <c r="B15" i="127"/>
  <c r="B16" i="127"/>
  <c r="B17" i="127"/>
  <c r="B18" i="127"/>
  <c r="B19" i="127"/>
  <c r="B20" i="127"/>
  <c r="B21" i="127"/>
  <c r="B22" i="127"/>
  <c r="B23" i="127"/>
  <c r="B24" i="127"/>
  <c r="B25" i="127"/>
  <c r="B26" i="127"/>
  <c r="B27" i="127"/>
  <c r="B28" i="127"/>
  <c r="B29" i="127"/>
  <c r="B30" i="127"/>
  <c r="B43" i="127"/>
  <c r="B44" i="127"/>
  <c r="B45" i="127"/>
  <c r="B46" i="127"/>
  <c r="B47" i="127"/>
  <c r="B48" i="127"/>
  <c r="B49" i="127"/>
  <c r="B7" i="127"/>
  <c r="I43" i="127"/>
  <c r="J43" i="127"/>
  <c r="I44" i="127"/>
  <c r="J44" i="127"/>
  <c r="I45" i="127"/>
  <c r="J45" i="127"/>
  <c r="I46" i="127"/>
  <c r="J46" i="127"/>
  <c r="I47" i="127"/>
  <c r="J47" i="127"/>
  <c r="I48" i="127"/>
  <c r="J48" i="127"/>
  <c r="I49" i="127"/>
  <c r="J49" i="127"/>
  <c r="I7" i="127"/>
  <c r="J7" i="127"/>
  <c r="I8" i="127"/>
  <c r="J8" i="127"/>
  <c r="K8" i="127"/>
  <c r="I9" i="127"/>
  <c r="J9" i="127"/>
  <c r="K9" i="127"/>
  <c r="I10" i="127"/>
  <c r="J10" i="127"/>
  <c r="K10" i="127"/>
  <c r="I11" i="127"/>
  <c r="J11" i="127"/>
  <c r="K11" i="127"/>
  <c r="I12" i="127"/>
  <c r="J12" i="127"/>
  <c r="K12" i="127"/>
  <c r="I13" i="127"/>
  <c r="J13" i="127"/>
  <c r="K13" i="127"/>
  <c r="I14" i="127"/>
  <c r="J14" i="127"/>
  <c r="K14" i="127"/>
  <c r="I15" i="127"/>
  <c r="J15" i="127"/>
  <c r="K15" i="127"/>
  <c r="I16" i="127"/>
  <c r="J16" i="127"/>
  <c r="K16" i="127"/>
  <c r="I17" i="127"/>
  <c r="J17" i="127"/>
  <c r="K17" i="127"/>
  <c r="I18" i="127"/>
  <c r="J18" i="127"/>
  <c r="K18" i="127"/>
  <c r="I19" i="127"/>
  <c r="J19" i="127"/>
  <c r="K19" i="127"/>
  <c r="I20" i="127"/>
  <c r="J20" i="127"/>
  <c r="K20" i="127"/>
  <c r="I21" i="127"/>
  <c r="J21" i="127"/>
  <c r="K21" i="127"/>
  <c r="I22" i="127"/>
  <c r="J22" i="127"/>
  <c r="K22" i="127"/>
  <c r="I23" i="127"/>
  <c r="J23" i="127"/>
  <c r="K23" i="127"/>
  <c r="I24" i="127"/>
  <c r="J24" i="127"/>
  <c r="K24" i="127"/>
  <c r="I25" i="127"/>
  <c r="J25" i="127"/>
  <c r="K25" i="127"/>
  <c r="I26" i="127"/>
  <c r="J26" i="127"/>
  <c r="K26" i="127"/>
  <c r="I27" i="127"/>
  <c r="J27" i="127"/>
  <c r="K27" i="127"/>
  <c r="I29" i="127"/>
  <c r="J29" i="127"/>
  <c r="K29" i="127"/>
  <c r="I30" i="127"/>
  <c r="J30" i="127"/>
  <c r="K30" i="127"/>
  <c r="K7" i="127"/>
  <c r="E18" i="128"/>
  <c r="E23" i="128"/>
  <c r="E29" i="128"/>
  <c r="E34" i="128"/>
  <c r="E36" i="128"/>
  <c r="E40" i="128"/>
  <c r="E14" i="128"/>
  <c r="E17" i="128"/>
  <c r="E19" i="128"/>
  <c r="E25" i="128"/>
  <c r="E30" i="128"/>
  <c r="E35" i="128"/>
  <c r="E37" i="128"/>
  <c r="E41" i="128"/>
  <c r="E44" i="128"/>
  <c r="E13" i="128"/>
  <c r="E21" i="128"/>
  <c r="E26" i="128"/>
  <c r="E28" i="128"/>
  <c r="E32" i="128"/>
  <c r="E39" i="128"/>
  <c r="E43" i="128"/>
  <c r="E46" i="128"/>
  <c r="E15" i="128"/>
  <c r="E16" i="128"/>
  <c r="E20" i="128"/>
  <c r="E22" i="128"/>
  <c r="E24" i="128"/>
  <c r="E27" i="128"/>
  <c r="E31" i="128"/>
  <c r="E33" i="128"/>
  <c r="E38" i="128"/>
  <c r="E42" i="128"/>
  <c r="E45" i="128"/>
  <c r="C18" i="128"/>
  <c r="C23" i="128"/>
  <c r="C29" i="128"/>
  <c r="C34" i="128"/>
  <c r="C36" i="128"/>
  <c r="C40" i="128"/>
  <c r="C14" i="128"/>
  <c r="C17" i="128"/>
  <c r="C19" i="128"/>
  <c r="C25" i="128"/>
  <c r="C30" i="128"/>
  <c r="C35" i="128"/>
  <c r="C37" i="128"/>
  <c r="C41" i="128"/>
  <c r="C44" i="128"/>
  <c r="C13" i="128"/>
  <c r="C21" i="128"/>
  <c r="C26" i="128"/>
  <c r="C28" i="128"/>
  <c r="C32" i="128"/>
  <c r="C39" i="128"/>
  <c r="C43" i="128"/>
  <c r="C46" i="128"/>
  <c r="C15" i="128"/>
  <c r="C16" i="128"/>
  <c r="C20" i="128"/>
  <c r="C22" i="128"/>
  <c r="C24" i="128"/>
  <c r="C27" i="128"/>
  <c r="C31" i="128"/>
  <c r="C33" i="128"/>
  <c r="C38" i="128"/>
  <c r="C42" i="128"/>
  <c r="C45" i="128"/>
  <c r="J250" i="114"/>
  <c r="J254" i="114"/>
  <c r="J255" i="114"/>
  <c r="J258" i="114"/>
  <c r="J267" i="114"/>
  <c r="J268" i="114"/>
  <c r="J269" i="114"/>
  <c r="J274" i="114"/>
  <c r="J275" i="114"/>
  <c r="J280" i="114"/>
  <c r="J284" i="114"/>
  <c r="J368" i="114"/>
  <c r="J367" i="114"/>
  <c r="J189" i="114"/>
  <c r="J191" i="114"/>
  <c r="J194" i="114"/>
  <c r="J195" i="114"/>
  <c r="J199" i="114"/>
  <c r="J202" i="114"/>
  <c r="J205" i="114"/>
  <c r="J207" i="114"/>
  <c r="J212" i="114"/>
  <c r="J213" i="114"/>
  <c r="J214" i="114"/>
  <c r="J219" i="114"/>
  <c r="J221" i="114"/>
  <c r="J223" i="114"/>
  <c r="J226" i="114"/>
  <c r="J229" i="114"/>
  <c r="J234" i="114"/>
  <c r="J235" i="114"/>
  <c r="J236" i="114"/>
  <c r="J239" i="114"/>
  <c r="J241" i="114"/>
  <c r="J245" i="114"/>
  <c r="J246" i="114"/>
  <c r="J247" i="114"/>
  <c r="D220" i="114"/>
  <c r="G296" i="114"/>
  <c r="G354" i="114"/>
  <c r="G350" i="114"/>
  <c r="G14" i="114"/>
  <c r="G357" i="114"/>
  <c r="G319" i="114"/>
  <c r="G17" i="114"/>
  <c r="G304" i="114"/>
  <c r="G352" i="114"/>
  <c r="G38" i="114"/>
  <c r="G24" i="114"/>
  <c r="G287" i="114"/>
  <c r="G345" i="114"/>
  <c r="G312" i="114"/>
  <c r="G289" i="114"/>
  <c r="G324" i="114"/>
  <c r="G48" i="114"/>
  <c r="G286" i="114"/>
  <c r="G305" i="114"/>
  <c r="G293" i="114"/>
  <c r="G348" i="114"/>
  <c r="G11" i="114"/>
  <c r="G320" i="114"/>
  <c r="G43" i="114"/>
  <c r="G329" i="114"/>
  <c r="G7" i="114"/>
  <c r="G113" i="114"/>
  <c r="G256" i="114"/>
  <c r="G339" i="114"/>
  <c r="G291" i="114"/>
  <c r="G190" i="114"/>
  <c r="G108" i="114"/>
  <c r="G301" i="114"/>
  <c r="G328" i="114"/>
  <c r="G27" i="114"/>
  <c r="G336" i="114"/>
  <c r="G333" i="114"/>
  <c r="G45" i="114"/>
  <c r="G263" i="114"/>
  <c r="G92" i="114"/>
  <c r="G41" i="114"/>
  <c r="G140" i="114"/>
  <c r="G5" i="114"/>
  <c r="G103" i="114"/>
  <c r="G209" i="114"/>
  <c r="G341" i="114"/>
  <c r="G181" i="114"/>
  <c r="G3" i="114"/>
  <c r="G30" i="114"/>
  <c r="G185" i="114"/>
  <c r="G171" i="114"/>
  <c r="G184" i="114"/>
  <c r="G26" i="114"/>
  <c r="G155" i="114"/>
  <c r="G90" i="114"/>
  <c r="G31" i="114"/>
  <c r="G81" i="114"/>
  <c r="G151" i="114"/>
  <c r="G136" i="114"/>
  <c r="G34" i="114"/>
  <c r="G252" i="114"/>
  <c r="G94" i="114"/>
  <c r="G52" i="114"/>
  <c r="G50" i="114"/>
  <c r="G130" i="114"/>
  <c r="G20" i="114"/>
  <c r="G201" i="114"/>
  <c r="G175" i="114"/>
  <c r="G264" i="114"/>
  <c r="G158" i="114"/>
  <c r="G22" i="114"/>
  <c r="G164" i="114"/>
  <c r="G36" i="114"/>
  <c r="G107" i="114"/>
  <c r="G118" i="114"/>
  <c r="G125" i="114"/>
  <c r="G192" i="114"/>
  <c r="G112" i="114"/>
  <c r="G147" i="114"/>
  <c r="G77" i="114"/>
  <c r="G249" i="114"/>
  <c r="G178" i="114"/>
  <c r="G88" i="114"/>
  <c r="G168" i="114"/>
  <c r="G196" i="114"/>
  <c r="G100" i="114"/>
  <c r="G217" i="114"/>
  <c r="G73" i="114"/>
  <c r="G70" i="114"/>
  <c r="G231" i="114"/>
  <c r="G61" i="114"/>
  <c r="G282" i="114"/>
  <c r="G208" i="114"/>
  <c r="G85" i="114"/>
  <c r="G163" i="114"/>
  <c r="G79" i="114"/>
  <c r="G67" i="114"/>
  <c r="G270" i="114"/>
  <c r="G64" i="114"/>
  <c r="G98" i="114"/>
  <c r="G57" i="114"/>
  <c r="G278" i="114"/>
  <c r="G233" i="114"/>
  <c r="G276" i="114"/>
  <c r="G83" i="114"/>
  <c r="G237" i="114"/>
  <c r="G197" i="114"/>
  <c r="G283" i="114"/>
  <c r="G227" i="114"/>
  <c r="G243" i="114"/>
  <c r="G204" i="114"/>
  <c r="G224" i="114"/>
  <c r="G54" i="114"/>
  <c r="G6" i="114"/>
  <c r="D361" i="114"/>
  <c r="D351" i="114"/>
  <c r="D338" i="114"/>
  <c r="D277" i="114"/>
  <c r="D268" i="114"/>
  <c r="D267" i="114"/>
  <c r="D269" i="114"/>
  <c r="D258" i="114"/>
  <c r="D259" i="114"/>
  <c r="D260" i="114"/>
  <c r="D261" i="114"/>
  <c r="D257" i="114"/>
  <c r="D252" i="114"/>
  <c r="D253" i="114"/>
  <c r="D254" i="114"/>
  <c r="D255" i="114"/>
  <c r="D256" i="114"/>
  <c r="D249" i="114"/>
  <c r="D236" i="114"/>
  <c r="D235" i="114"/>
  <c r="D234" i="114"/>
  <c r="D231" i="114"/>
  <c r="D229" i="114"/>
  <c r="D228" i="114"/>
  <c r="D227" i="114"/>
  <c r="D226" i="114"/>
  <c r="D223" i="114"/>
  <c r="D221" i="114"/>
  <c r="D207" i="114"/>
  <c r="D208" i="114"/>
  <c r="D201" i="114"/>
  <c r="D195" i="114"/>
  <c r="D194" i="114"/>
  <c r="D171" i="114"/>
  <c r="D170" i="114"/>
  <c r="D169" i="114"/>
  <c r="D153" i="114"/>
  <c r="D154" i="114"/>
  <c r="D155" i="114"/>
  <c r="D156" i="114"/>
  <c r="D157" i="114"/>
  <c r="D158" i="114"/>
  <c r="D146" i="114"/>
  <c r="D145" i="114"/>
  <c r="D139" i="114"/>
  <c r="D138" i="114"/>
  <c r="D134" i="114"/>
  <c r="D133" i="114"/>
  <c r="D132" i="114"/>
  <c r="D120" i="114"/>
  <c r="D118" i="114"/>
  <c r="D117" i="114"/>
  <c r="D116" i="114"/>
  <c r="D111" i="114"/>
  <c r="D110" i="114"/>
  <c r="D112" i="114"/>
  <c r="D103" i="114"/>
  <c r="D85" i="114"/>
  <c r="D81" i="114"/>
  <c r="U20" i="23"/>
  <c r="U21" i="23"/>
  <c r="U22" i="23"/>
  <c r="U23" i="23"/>
  <c r="U24" i="23"/>
  <c r="U25" i="23"/>
  <c r="U26" i="23"/>
  <c r="U27" i="23"/>
  <c r="U28" i="23"/>
  <c r="U29" i="23"/>
  <c r="U30" i="23"/>
  <c r="U31" i="23"/>
  <c r="U32" i="23"/>
  <c r="U33" i="23"/>
  <c r="U34" i="23"/>
  <c r="U37" i="23"/>
  <c r="U38" i="23"/>
  <c r="U39" i="23"/>
  <c r="U40" i="23"/>
  <c r="U41" i="23"/>
  <c r="U42" i="23"/>
  <c r="U43" i="23"/>
  <c r="U44" i="23"/>
  <c r="U45" i="23"/>
  <c r="U46" i="23"/>
  <c r="U47" i="23"/>
  <c r="U48" i="23"/>
  <c r="U49" i="23"/>
  <c r="U50" i="23"/>
  <c r="U51" i="23"/>
  <c r="U52" i="23"/>
  <c r="U53" i="23"/>
  <c r="U54" i="23"/>
  <c r="U55" i="23"/>
  <c r="U3" i="23"/>
  <c r="U4" i="23"/>
  <c r="U5" i="23"/>
  <c r="U6" i="23"/>
  <c r="U7" i="23"/>
  <c r="U8" i="23"/>
  <c r="U9" i="23"/>
  <c r="U10" i="23"/>
  <c r="U11" i="23"/>
  <c r="U12" i="23"/>
  <c r="U13" i="23"/>
  <c r="U14" i="23"/>
  <c r="U15" i="23"/>
  <c r="U16" i="23"/>
  <c r="U17" i="23"/>
  <c r="U2" i="23"/>
  <c r="T3" i="23"/>
  <c r="T4" i="23"/>
  <c r="T5" i="23"/>
  <c r="T6" i="23"/>
  <c r="T7" i="23"/>
  <c r="T8" i="23"/>
  <c r="T9" i="23"/>
  <c r="T10" i="23"/>
  <c r="T11" i="23"/>
  <c r="T12" i="23"/>
  <c r="T13" i="23"/>
  <c r="T14" i="23"/>
  <c r="T15" i="23"/>
  <c r="T16" i="23"/>
  <c r="T17" i="23"/>
  <c r="T20" i="23"/>
  <c r="T21" i="23"/>
  <c r="T22" i="23"/>
  <c r="T23" i="23"/>
  <c r="T24" i="23"/>
  <c r="T25" i="23"/>
  <c r="T26" i="23"/>
  <c r="T27" i="23"/>
  <c r="T28" i="23"/>
  <c r="T29" i="23"/>
  <c r="T30" i="23"/>
  <c r="T31" i="23"/>
  <c r="T32" i="23"/>
  <c r="T33" i="23"/>
  <c r="T34" i="23"/>
  <c r="T37" i="23"/>
  <c r="T38" i="23"/>
  <c r="T39" i="23"/>
  <c r="T40" i="23"/>
  <c r="T41" i="23"/>
  <c r="T42" i="23"/>
  <c r="T43" i="23"/>
  <c r="T44" i="23"/>
  <c r="T45" i="23"/>
  <c r="T46" i="23"/>
  <c r="T47" i="23"/>
  <c r="T48" i="23"/>
  <c r="T49" i="23"/>
  <c r="T50" i="23"/>
  <c r="T51" i="23"/>
  <c r="T52" i="23"/>
  <c r="T53" i="23"/>
  <c r="T54" i="23"/>
  <c r="T55" i="23"/>
  <c r="T2" i="23"/>
  <c r="O10" i="120"/>
  <c r="O9" i="120"/>
  <c r="O8" i="120"/>
  <c r="O7" i="120"/>
  <c r="O6" i="120"/>
  <c r="O5" i="120"/>
  <c r="O4" i="120"/>
  <c r="G10" i="141"/>
  <c r="K10" i="141"/>
  <c r="G7" i="141"/>
  <c r="K7" i="141"/>
  <c r="G11" i="141"/>
  <c r="K11" i="141"/>
  <c r="G12" i="141"/>
  <c r="K12" i="141"/>
  <c r="G13" i="141"/>
  <c r="K13" i="141"/>
  <c r="G14" i="141"/>
  <c r="K14" i="141"/>
  <c r="G15" i="141"/>
  <c r="K15" i="141"/>
  <c r="G16" i="141"/>
  <c r="K16" i="141"/>
  <c r="G17" i="141"/>
  <c r="K17" i="141"/>
  <c r="G18" i="141"/>
  <c r="K18" i="141"/>
  <c r="G19" i="141"/>
  <c r="K19" i="141"/>
  <c r="G20" i="141"/>
  <c r="K20" i="141"/>
  <c r="G21" i="141"/>
  <c r="K21" i="141"/>
  <c r="G22" i="141"/>
  <c r="K22" i="141"/>
  <c r="G23" i="141"/>
  <c r="K23" i="141"/>
  <c r="G24" i="141"/>
  <c r="K24" i="141"/>
  <c r="G25" i="141"/>
  <c r="K25" i="141"/>
  <c r="G26" i="141"/>
  <c r="K26" i="141"/>
  <c r="G27" i="141"/>
  <c r="K27" i="141"/>
  <c r="G28" i="141"/>
  <c r="K28" i="141"/>
  <c r="G29" i="141"/>
  <c r="K29" i="141"/>
  <c r="G6" i="141"/>
  <c r="K6" i="141"/>
  <c r="G8" i="141"/>
  <c r="G9" i="141"/>
</calcChain>
</file>

<file path=xl/sharedStrings.xml><?xml version="1.0" encoding="utf-8"?>
<sst xmlns="http://schemas.openxmlformats.org/spreadsheetml/2006/main" count="20484" uniqueCount="1744">
  <si>
    <t>CARDFISH</t>
    <phoneticPr fontId="12" type="noConversion"/>
  </si>
  <si>
    <t xml:space="preserve">Number of cells per g dry sed </t>
    <phoneticPr fontId="12" type="noConversion"/>
  </si>
  <si>
    <t>Porosity (%) from Janus data respository</t>
    <phoneticPr fontId="12" type="noConversion"/>
  </si>
  <si>
    <t>Bulk density from Janus (g/cc)</t>
    <phoneticPr fontId="12" type="noConversion"/>
  </si>
  <si>
    <t xml:space="preserve">They could not detect any archaea with 915 in 7 and 13 day bag incubations. However, in the natural samples, I see no indication that they measured anything besides bacteria and DAPI. </t>
  </si>
  <si>
    <t>Non-intertidal marine sediments measured with FISH or CARDFISH/protK</t>
  </si>
  <si>
    <t>CARD-FISH, archaea not measured</t>
    <phoneticPr fontId="12" type="noConversion"/>
  </si>
  <si>
    <t>FISH, archaea not measured</t>
    <phoneticPr fontId="12" type="noConversion"/>
  </si>
  <si>
    <t>Wadden mud flat (Jadebusen), FISH</t>
    <phoneticPr fontId="12" type="noConversion"/>
  </si>
  <si>
    <t>Waden Sea, Janssand, CARD-FISH</t>
    <phoneticPr fontId="12" type="noConversion"/>
  </si>
  <si>
    <t>Wadden Sea, Janssand, FISH</t>
    <phoneticPr fontId="12" type="noConversion"/>
  </si>
  <si>
    <t>FracArc915 out of CARD-FISH</t>
  </si>
  <si>
    <t>They also did water column stuff, but didn't give absolute DAPI coutns for the sediment samples.</t>
  </si>
  <si>
    <t>Ishii 2004</t>
  </si>
  <si>
    <t>Wadden mud flat (Jadebusen), FISH</t>
  </si>
  <si>
    <t>Wadden mud flat (Jadebusen), CARD-FISH</t>
  </si>
  <si>
    <t>MauClaire 2004</t>
  </si>
  <si>
    <t>Mud volcano or seep?</t>
  </si>
  <si>
    <t>Sand or seds</t>
  </si>
  <si>
    <t>Sand</t>
  </si>
  <si>
    <t>Seds</t>
  </si>
  <si>
    <t>They do not list a permeabilization method for either bacteria or archaea. I emailed Jose Luis Sanz 04/06/13, who directed me to Irene Sanchez-Andrea and Thorsten Kochling.</t>
  </si>
  <si>
    <t>A publication out of the same lab at the same time (Sanchez-Andrea 2012) pointedly used proteinase K to get archaea. I emailed Irene, the first author and she said that she and Thorsten were using the same protocol.</t>
  </si>
  <si>
    <t>Water depth</t>
  </si>
  <si>
    <t>The water depth information is also missing, but the samples were collected by diver, so I used 20 m for SP16, and 0.5 m for the beach sediments.</t>
  </si>
  <si>
    <t>Black Sea, Izmit IZ17</t>
  </si>
  <si>
    <t>Black Sea, Izmit IZ25</t>
  </si>
  <si>
    <t>Black Sea, Izmit IZ30</t>
  </si>
  <si>
    <t>Black Sea, Gemlik GEM</t>
  </si>
  <si>
    <t>Black Sea, Kucuk-cekmece KUC</t>
  </si>
  <si>
    <t>Black Sea, Halic HalVK</t>
  </si>
  <si>
    <t>Black Sea, Halic HalEY</t>
  </si>
  <si>
    <t>Black Sea, Halic HalAS</t>
  </si>
  <si>
    <t>CARDFISH</t>
    <phoneticPr fontId="12" type="noConversion"/>
  </si>
  <si>
    <t>Cascadia Margin, Reference 51-5</t>
  </si>
  <si>
    <t>Cascadia Margin, Reference 51-5</t>
    <phoneticPr fontId="12" type="noConversion"/>
  </si>
  <si>
    <t>Maramara Sea</t>
  </si>
  <si>
    <t>Black Sea, Romanian Shelf</t>
  </si>
  <si>
    <t>Polluted coast, Cadiz, SP16</t>
  </si>
  <si>
    <t xml:space="preserve">Papua New Guinea hydrothermal </t>
  </si>
  <si>
    <t>Portuguese margin, Cascais Canyon</t>
  </si>
  <si>
    <t>Portuguese margin, N. Portuguese Slope</t>
  </si>
  <si>
    <t>Gulf of Mexico GC232 (hydrate)</t>
  </si>
  <si>
    <t xml:space="preserve">Gulf of Mexico GC233 (brine pool) </t>
  </si>
  <si>
    <t>Dry density (g/cc) from Table 1</t>
  </si>
  <si>
    <t>Eub338 and Arc915</t>
  </si>
  <si>
    <t>DAPI/AO (cells/cc)</t>
  </si>
  <si>
    <t>none</t>
  </si>
  <si>
    <t>lysozyme/achromopeptidase</t>
    <phoneticPr fontId="12" type="noConversion"/>
  </si>
  <si>
    <t>none</t>
    <phoneticPr fontId="12" type="noConversion"/>
  </si>
  <si>
    <t>none</t>
    <phoneticPr fontId="12" type="noConversion"/>
  </si>
  <si>
    <t>lysozyme</t>
    <phoneticPr fontId="12" type="noConversion"/>
  </si>
  <si>
    <t>formaldehyde</t>
    <phoneticPr fontId="12" type="noConversion"/>
  </si>
  <si>
    <t>DAPI</t>
    <phoneticPr fontId="12" type="noConversion"/>
  </si>
  <si>
    <t>none</t>
    <phoneticPr fontId="12" type="noConversion"/>
  </si>
  <si>
    <t>lysozyme</t>
    <phoneticPr fontId="12" type="noConversion"/>
  </si>
  <si>
    <t>proteinase K</t>
    <phoneticPr fontId="12" type="noConversion"/>
  </si>
  <si>
    <t>paraformaldehyde</t>
    <phoneticPr fontId="12" type="noConversion"/>
  </si>
  <si>
    <t>DAPI</t>
    <phoneticPr fontId="12" type="noConversion"/>
  </si>
  <si>
    <t>lysozyme</t>
    <phoneticPr fontId="12" type="noConversion"/>
  </si>
  <si>
    <t>lysozyme/achromopeptidase</t>
    <phoneticPr fontId="12" type="noConversion"/>
  </si>
  <si>
    <t>none</t>
    <phoneticPr fontId="12" type="noConversion"/>
  </si>
  <si>
    <t>Pernthaler 2002</t>
  </si>
  <si>
    <t>Pernthaler 2002</t>
    <phoneticPr fontId="12" type="noConversion"/>
  </si>
  <si>
    <t>Pernthaler 2002</t>
    <phoneticPr fontId="12" type="noConversion"/>
  </si>
  <si>
    <t>CARD% of DAPI</t>
    <phoneticPr fontId="12" type="noConversion"/>
  </si>
  <si>
    <t>Depth (cm)</t>
    <phoneticPr fontId="12" type="noConversion"/>
  </si>
  <si>
    <t>FISH yield</t>
    <phoneticPr fontId="12" type="noConversion"/>
  </si>
  <si>
    <t>FISH% of DAPI</t>
    <phoneticPr fontId="12" type="noConversion"/>
  </si>
  <si>
    <t>CARD yield</t>
    <phoneticPr fontId="12" type="noConversion"/>
  </si>
  <si>
    <t>FiSH yield</t>
    <phoneticPr fontId="12" type="noConversion"/>
  </si>
  <si>
    <t>CARDFISH</t>
    <phoneticPr fontId="12" type="noConversion"/>
  </si>
  <si>
    <t>formaldehyde</t>
    <phoneticPr fontId="12" type="noConversion"/>
  </si>
  <si>
    <t>FISH</t>
    <phoneticPr fontId="12" type="noConversion"/>
  </si>
  <si>
    <t>Depth (m)</t>
    <phoneticPr fontId="12" type="noConversion"/>
  </si>
  <si>
    <t>Total fish yield</t>
    <phoneticPr fontId="12" type="noConversion"/>
  </si>
  <si>
    <t>Ince 2006</t>
  </si>
  <si>
    <t>Ince 2006</t>
    <phoneticPr fontId="12" type="noConversion"/>
  </si>
  <si>
    <t>Mat</t>
  </si>
  <si>
    <t>NL18PC(8)</t>
  </si>
  <si>
    <t>(white)</t>
  </si>
  <si>
    <t>NL18PC(5)</t>
  </si>
  <si>
    <t>AO x 10^9 cells/cc</t>
  </si>
  <si>
    <t>Arc915 x 10^9 cells/cc</t>
  </si>
  <si>
    <t>EUBI-III x 10^9 cells/cc</t>
  </si>
  <si>
    <t>AO cells/cc</t>
  </si>
  <si>
    <t>Arc cells/cc</t>
  </si>
  <si>
    <t>Omoregie 2008</t>
  </si>
  <si>
    <t>Bac formamide</t>
  </si>
  <si>
    <t>Arc formamide</t>
  </si>
  <si>
    <t>Sonication</t>
  </si>
  <si>
    <t>3 times, 60 W, 1 minute</t>
  </si>
  <si>
    <t>Average cells per field</t>
  </si>
  <si>
    <t>20</t>
  </si>
  <si>
    <t>Filter</t>
  </si>
  <si>
    <t>None</t>
  </si>
  <si>
    <t>unknown</t>
  </si>
  <si>
    <t>0.2 µm, polycarbonate</t>
  </si>
  <si>
    <t>20 seconds</t>
  </si>
  <si>
    <t>Directly on glass slide</t>
  </si>
  <si>
    <t>0.2 µm, GTTP polycarbonate</t>
  </si>
  <si>
    <t>Black Sea Station 20</t>
  </si>
  <si>
    <t>Black Sea Station 22</t>
  </si>
  <si>
    <t>Black Sea Station 6</t>
  </si>
  <si>
    <t>Benguela upwelling Station 10</t>
  </si>
  <si>
    <t>Benguela upwelling Station 3</t>
  </si>
  <si>
    <t>Benguela upwelling Station 8</t>
  </si>
  <si>
    <t>White Oak River estuary Station H</t>
  </si>
  <si>
    <t>35-55%</t>
  </si>
  <si>
    <t>0.2 µm, Nucleopore polycarbonate</t>
  </si>
  <si>
    <t>55% for Arc915, 20% for Eury/Cren</t>
  </si>
  <si>
    <t>Adreatic sea, these also have Eury and Cren CARD-FISH counts</t>
  </si>
  <si>
    <t>3 times, 100 W, 1 minute</t>
  </si>
  <si>
    <t>directly on glass slide</t>
  </si>
  <si>
    <t>40 seconds at 20% power</t>
  </si>
  <si>
    <t>5 minutes in bath</t>
  </si>
  <si>
    <t>lysozyme for Bacteria, protK for Arc, both with 55% formamide</t>
  </si>
  <si>
    <t>Also tried were triton X, lysozyme for arc, protK for bac, and a range of formamide concentrations</t>
  </si>
  <si>
    <t>Formamide</t>
  </si>
  <si>
    <t>proetinase K</t>
  </si>
  <si>
    <t>Black Sea, Station 29</t>
  </si>
  <si>
    <t>Black Sea, Station 30</t>
  </si>
  <si>
    <t>Jorgensen 2012 (Schleper's group)</t>
  </si>
  <si>
    <t>They didn't do any general qPCR counts, so we only have bacteria and archaea</t>
  </si>
  <si>
    <t>—</t>
  </si>
  <si>
    <t>BD</t>
  </si>
  <si>
    <t>Arc SSU copies/g wet</t>
  </si>
  <si>
    <t>Bac SSU copies/g wet</t>
  </si>
  <si>
    <t>MidAtlantic Ridge GC6</t>
  </si>
  <si>
    <t>MidAtlantic Ridge GC12</t>
  </si>
  <si>
    <t>Jorgensen 2012</t>
  </si>
  <si>
    <t>Bac copies/cc</t>
  </si>
  <si>
    <t>Arc copies/cc</t>
  </si>
  <si>
    <t>They sonicated the cells to separate them from sediments, and then concentrated them on a membrane. This is why they were able to count so low.</t>
  </si>
  <si>
    <t>EUB338 x 10^8 cells/gdw</t>
  </si>
  <si>
    <t>Kolukirik 2011</t>
  </si>
  <si>
    <t>Samples were 15 cm cores, it is not specified where in the core the samples were taken from, so I just used the middle depth, 7.5</t>
  </si>
  <si>
    <t>Cell stain</t>
  </si>
  <si>
    <t>SYBR Green I</t>
  </si>
  <si>
    <t>Fixative</t>
  </si>
  <si>
    <t>formalin</t>
  </si>
  <si>
    <t>formaldehyde</t>
  </si>
  <si>
    <t>paraformaldehyde</t>
  </si>
  <si>
    <t>ethanol</t>
  </si>
  <si>
    <t>Bac permeabilization</t>
  </si>
  <si>
    <t>lysozyme</t>
  </si>
  <si>
    <t>Arc permeabilization</t>
  </si>
  <si>
    <t>proteinase K</t>
  </si>
  <si>
    <t>DAPI cells per cc sediment</t>
    <phoneticPr fontId="3" type="noConversion"/>
  </si>
  <si>
    <t>Total cells x 10^8 per g sed</t>
    <phoneticPr fontId="3" type="noConversion"/>
  </si>
  <si>
    <t>Depth (cm)</t>
    <phoneticPr fontId="3" type="noConversion"/>
  </si>
  <si>
    <t>Year</t>
    <phoneticPr fontId="3" type="noConversion"/>
  </si>
  <si>
    <t>Sampling point</t>
    <phoneticPr fontId="3" type="noConversion"/>
  </si>
  <si>
    <t>They say there's sulfate there. ND means &lt; 0.5% of DAPI.</t>
    <phoneticPr fontId="3" type="noConversion"/>
  </si>
  <si>
    <t>Polluted coastal sediments, Cadiz, Spain</t>
    <phoneticPr fontId="3" type="noConversion"/>
  </si>
  <si>
    <t>Kochling 2011 CARDFISH</t>
    <phoneticPr fontId="3" type="noConversion"/>
  </si>
  <si>
    <t>FISH</t>
    <phoneticPr fontId="12" type="noConversion"/>
  </si>
  <si>
    <t>SYBR Green I</t>
    <phoneticPr fontId="12" type="noConversion"/>
  </si>
  <si>
    <t>Ince 2006, SYBR Green I, FISH, stored at -20°C before being fixed.</t>
    <phoneticPr fontId="12" type="noConversion"/>
  </si>
  <si>
    <t>Black Sea, Tuzla TUZ</t>
  </si>
  <si>
    <t>Black Sea, Moda MOD</t>
  </si>
  <si>
    <t>This was an intertidal zone, so I used 0.5 m water depth.</t>
  </si>
  <si>
    <t>Intertidal</t>
  </si>
  <si>
    <t>Samples were first frozen before fixation</t>
    <phoneticPr fontId="12" type="noConversion"/>
  </si>
  <si>
    <t>formaldehyde</t>
    <phoneticPr fontId="12" type="noConversion"/>
  </si>
  <si>
    <t>none</t>
    <phoneticPr fontId="12" type="noConversion"/>
  </si>
  <si>
    <t xml:space="preserve">						</t>
  </si>
  <si>
    <t>0-3</t>
  </si>
  <si>
    <t>3-6</t>
  </si>
  <si>
    <t>6-9</t>
  </si>
  <si>
    <t>9-12</t>
  </si>
  <si>
    <t xml:space="preserve">15-18	</t>
  </si>
  <si>
    <t xml:space="preserve">18-21	</t>
  </si>
  <si>
    <t xml:space="preserve">21-24	</t>
  </si>
  <si>
    <t xml:space="preserve">24-27	</t>
  </si>
  <si>
    <t xml:space="preserve">30-33	</t>
  </si>
  <si>
    <t xml:space="preserve">33-36	</t>
  </si>
  <si>
    <t xml:space="preserve">36-39	</t>
  </si>
  <si>
    <t xml:space="preserve">39-42	</t>
  </si>
  <si>
    <t>Polluted coast, Cadiz, SP02 beach</t>
  </si>
  <si>
    <t xml:space="preserve">54-57	</t>
  </si>
  <si>
    <t xml:space="preserve">66-69	</t>
  </si>
  <si>
    <t xml:space="preserve">69-72	</t>
  </si>
  <si>
    <t xml:space="preserve">72-75	</t>
  </si>
  <si>
    <t>12-15</t>
  </si>
  <si>
    <t>Bac (cell/ml)</t>
  </si>
  <si>
    <t>Arc (cell/ml)</t>
  </si>
  <si>
    <t>DAPI (cell/ml)</t>
  </si>
  <si>
    <t>Richard Kevorkian's data from White Oak River, Oct 2012 core B</t>
  </si>
  <si>
    <t>Quan 2010</t>
  </si>
  <si>
    <t>10–12</t>
  </si>
  <si>
    <t>Napoli mud volcano</t>
    <phoneticPr fontId="3" type="noConversion"/>
  </si>
  <si>
    <t>NL1PC2</t>
  </si>
  <si>
    <t>Napoli</t>
  </si>
  <si>
    <t>Chefren mud volcano</t>
    <phoneticPr fontId="3" type="noConversion"/>
  </si>
  <si>
    <t>NL18PC2(7)</t>
  </si>
  <si>
    <t>Chefren</t>
  </si>
  <si>
    <t>NL18PC4(6)</t>
  </si>
  <si>
    <t>North A. mud volcano</t>
    <phoneticPr fontId="3" type="noConversion"/>
  </si>
  <si>
    <t>NL15BC1</t>
  </si>
  <si>
    <t>North</t>
  </si>
  <si>
    <t>PockM mud volcano</t>
    <phoneticPr fontId="3" type="noConversion"/>
  </si>
  <si>
    <t>NL14PC2</t>
  </si>
  <si>
    <t>PockM</t>
  </si>
  <si>
    <t>Isis mud volcano</t>
    <phoneticPr fontId="3" type="noConversion"/>
  </si>
  <si>
    <t>NL13PC4(7)</t>
  </si>
  <si>
    <t>Isis</t>
  </si>
  <si>
    <t>Amon mud volcano</t>
    <phoneticPr fontId="3" type="noConversion"/>
  </si>
  <si>
    <t>NL12PC1</t>
  </si>
  <si>
    <t>Amon</t>
  </si>
  <si>
    <t>Sulfate (mM)</t>
    <phoneticPr fontId="3" type="noConversion"/>
  </si>
  <si>
    <t>Arc cells/cc</t>
    <phoneticPr fontId="3" type="noConversion"/>
  </si>
  <si>
    <t>Bac cells/cc</t>
    <phoneticPr fontId="3" type="noConversion"/>
  </si>
  <si>
    <t>DAPI cells/cc</t>
    <phoneticPr fontId="3" type="noConversion"/>
  </si>
  <si>
    <t>Arc915 x 10^9 per cc</t>
    <phoneticPr fontId="3" type="noConversion"/>
  </si>
  <si>
    <t>EubI-III x 10^9 per cc</t>
    <phoneticPr fontId="3" type="noConversion"/>
  </si>
  <si>
    <t>Total cells x 10^9 per cc</t>
    <phoneticPr fontId="3" type="noConversion"/>
  </si>
  <si>
    <t>Depth</t>
    <phoneticPr fontId="3" type="noConversion"/>
  </si>
  <si>
    <t>Sample</t>
    <phoneticPr fontId="3" type="noConversion"/>
  </si>
  <si>
    <t>CARDFISH</t>
    <phoneticPr fontId="3" type="noConversion"/>
  </si>
  <si>
    <t>Omoregie 2009</t>
    <phoneticPr fontId="3" type="noConversion"/>
  </si>
  <si>
    <t>Omoregie 2009</t>
  </si>
  <si>
    <t>Musat 2006 - they saw low archaeal amounts in the RNA slot blot, so they didn't count them in CARDFISH</t>
  </si>
  <si>
    <t>DAPI x 10^9 cell/cc</t>
  </si>
  <si>
    <t>OctA</t>
  </si>
  <si>
    <t>OctB</t>
  </si>
  <si>
    <t>MarA</t>
  </si>
  <si>
    <t>MarB</t>
  </si>
  <si>
    <t>JulA</t>
  </si>
  <si>
    <t>JulB</t>
  </si>
  <si>
    <t>EUB338I-III % DAPI</t>
  </si>
  <si>
    <t>Musat 2006</t>
  </si>
  <si>
    <t>Monlabel FISH, Wadden Sea, sediments previously shown to contain sulfate</t>
  </si>
  <si>
    <t>Bac cells/cc</t>
  </si>
  <si>
    <t>Wadden Sea sand flat</t>
  </si>
  <si>
    <t>16–18</t>
  </si>
  <si>
    <t>14–16</t>
  </si>
  <si>
    <t>(orange)</t>
  </si>
  <si>
    <t>DAPI x 10^8/g sed dry wt</t>
  </si>
  <si>
    <t>Incubation time (days)</t>
  </si>
  <si>
    <t xml:space="preserve">EUB338 % </t>
  </si>
  <si>
    <t>EUB338 cells per cc wet</t>
  </si>
  <si>
    <t>Cell numbers per cc wet volume, assuming density above</t>
  </si>
  <si>
    <t>N/A</t>
  </si>
  <si>
    <t>Natural samples</t>
  </si>
  <si>
    <t>Figure 1</t>
  </si>
  <si>
    <t>Sulfate present</t>
  </si>
  <si>
    <t>briefly, at 300 W/cm2</t>
  </si>
  <si>
    <t>20 seconds at &lt;10 W</t>
  </si>
  <si>
    <t>0.2 µm, Anodisc</t>
  </si>
  <si>
    <t>gelatin coated slides</t>
  </si>
  <si>
    <t>Yes</t>
  </si>
  <si>
    <t>Chefren mud volcano NL18PC(8)</t>
  </si>
  <si>
    <t>CARDFISH, W. Mediterranean</t>
  </si>
  <si>
    <t>W. Mediterranean Marsili</t>
  </si>
  <si>
    <t>W. Mediterranean Non-Seamount 1</t>
  </si>
  <si>
    <t>W. Mediterranean Palinuro</t>
  </si>
  <si>
    <t>W. Mediterranean Non-Seamount 2</t>
  </si>
  <si>
    <t>AO Total Prokaryotic Abundance (cells/g)</t>
  </si>
  <si>
    <t>sulfate not mentioned, nor oxygen</t>
  </si>
  <si>
    <t>5-20</t>
  </si>
  <si>
    <t>mild</t>
  </si>
  <si>
    <t>70-200</t>
  </si>
  <si>
    <t>Black Sea, Station 3</t>
  </si>
  <si>
    <t>Black Sea, Station 5-top</t>
  </si>
  <si>
    <t>Black Sea, Station 5-middle</t>
  </si>
  <si>
    <t>Black Sea, Station 5-bottom</t>
  </si>
  <si>
    <t>Black Sea, Station 7</t>
  </si>
  <si>
    <t>Black Sea, Station 19</t>
  </si>
  <si>
    <t>Arc915 x 10^8 cell/gdw</t>
  </si>
  <si>
    <t>Halimione stand</t>
  </si>
  <si>
    <t>Spartina stand</t>
  </si>
  <si>
    <t>DAPI numbers per cc wet volume, assuming 90% water weight in samples, and density above</t>
  </si>
  <si>
    <t>EUB numbers per cc wet volume, assuming 90% water weight in samples, and density above</t>
  </si>
  <si>
    <t>Arc numbers per cc wet volume, assuming 90% water weight in samples, and density above</t>
  </si>
  <si>
    <t>Amaro 2012</t>
  </si>
  <si>
    <t>Nazaro Canyon, NE Atlantic</t>
  </si>
  <si>
    <t>SYBR cells/gdw</t>
  </si>
  <si>
    <t>Density was estimated to be 2.5(.20)+1(.80) since dry sediments are about 2.5 g/cc and water, which is assumed to be 80% is 1</t>
  </si>
  <si>
    <t>SYBR cells/cc</t>
  </si>
  <si>
    <t>% Bac of SYBR</t>
  </si>
  <si>
    <t>% Arc of SYBR</t>
  </si>
  <si>
    <t>Additive Arc Bar on figure 3</t>
  </si>
  <si>
    <t>Eub338 cells/cc</t>
  </si>
  <si>
    <t>Arc915 cells/cc</t>
  </si>
  <si>
    <t>Amaro 2012, used CARDFISH and SYBR Green I, sulfate not reported</t>
  </si>
  <si>
    <t>NE Atlantic Canyon</t>
  </si>
  <si>
    <t>Meyer-Dombard 2012 Papua New Guinea hydrothermal sediments</t>
  </si>
  <si>
    <t>Sulfate is present</t>
  </si>
  <si>
    <t>DAPI cell/ml</t>
  </si>
  <si>
    <t>EUB338+Aqui1197+hAqui1045 fraction</t>
  </si>
  <si>
    <t>Arc917+Arc344 fraction</t>
  </si>
  <si>
    <t>Bac/cc</t>
  </si>
  <si>
    <t>Arc/cc</t>
  </si>
  <si>
    <t>Meyer-Dombard 2012</t>
  </si>
  <si>
    <t>18–20</t>
  </si>
  <si>
    <t>12–14</t>
  </si>
  <si>
    <t>6–8</t>
  </si>
  <si>
    <t>0–2</t>
  </si>
  <si>
    <t>SP16</t>
  </si>
  <si>
    <t>15–16</t>
  </si>
  <si>
    <t>0–1</t>
  </si>
  <si>
    <t>ND</t>
  </si>
  <si>
    <t>27–30</t>
  </si>
  <si>
    <t>15–17</t>
  </si>
  <si>
    <t>SP02</t>
  </si>
  <si>
    <t>Arc per cc</t>
    <phoneticPr fontId="3" type="noConversion"/>
  </si>
  <si>
    <t>Bac per cc</t>
    <phoneticPr fontId="3" type="noConversion"/>
  </si>
  <si>
    <t>%ARC915</t>
    <phoneticPr fontId="3" type="noConversion"/>
  </si>
  <si>
    <t>%EUB338</t>
    <phoneticPr fontId="3" type="noConversion"/>
  </si>
  <si>
    <t>ARCH915</t>
  </si>
  <si>
    <t>EUB338</t>
  </si>
  <si>
    <t>Salt marsh sediment</t>
  </si>
  <si>
    <t>Dormant non-treated S. patens</t>
  </si>
  <si>
    <t>Vegetative non-treated S. patens</t>
  </si>
  <si>
    <t>Reproductive non-treated S. patens</t>
  </si>
  <si>
    <t>paraformaldehyde</t>
    <phoneticPr fontId="12" type="noConversion"/>
  </si>
  <si>
    <t>Depth (m)</t>
    <phoneticPr fontId="12" type="noConversion"/>
  </si>
  <si>
    <t>Dormant benomyl-treated S. patens</t>
  </si>
  <si>
    <t>Vegetative benomyl-treated S. patens</t>
  </si>
  <si>
    <t>Kochling 2011</t>
  </si>
  <si>
    <t>42–43.5</t>
  </si>
  <si>
    <t>39–42</t>
  </si>
  <si>
    <t>36–39</t>
  </si>
  <si>
    <t>33–36</t>
  </si>
  <si>
    <t>30–33</t>
  </si>
  <si>
    <t>24–27</t>
  </si>
  <si>
    <t>21–24</t>
  </si>
  <si>
    <t>18–21</t>
  </si>
  <si>
    <t>15–18</t>
  </si>
  <si>
    <t>13–15</t>
  </si>
  <si>
    <t>10–13</t>
  </si>
  <si>
    <t>8–10</t>
  </si>
  <si>
    <t>4–6</t>
  </si>
  <si>
    <t>2–4</t>
  </si>
  <si>
    <t>0-2</t>
    <phoneticPr fontId="3" type="noConversion"/>
  </si>
  <si>
    <t>Arc cell/cc</t>
    <phoneticPr fontId="3" type="noConversion"/>
  </si>
  <si>
    <t>Bac cell/cc</t>
    <phoneticPr fontId="3" type="noConversion"/>
  </si>
  <si>
    <t xml:space="preserve">42-45	</t>
  </si>
  <si>
    <t xml:space="preserve">45-48	</t>
  </si>
  <si>
    <t xml:space="preserve">48-51	</t>
  </si>
  <si>
    <t xml:space="preserve">51-54	</t>
  </si>
  <si>
    <t xml:space="preserve">63-66	</t>
  </si>
  <si>
    <t>Depth (m)</t>
    <phoneticPr fontId="3" type="noConversion"/>
  </si>
  <si>
    <t>Arc x 10^7 cell/cc</t>
    <phoneticPr fontId="3" type="noConversion"/>
  </si>
  <si>
    <t>Bac x 10^8 cell/cc</t>
    <phoneticPr fontId="3" type="noConversion"/>
  </si>
  <si>
    <t>DTAF general protein stain  x 10^8 cell/cc</t>
    <phoneticPr fontId="3" type="noConversion"/>
  </si>
  <si>
    <t>FISH, EubI-III, Arc915</t>
    <phoneticPr fontId="3" type="noConversion"/>
  </si>
  <si>
    <t>Quan 2010 Chinese estuary</t>
    <phoneticPr fontId="3" type="noConversion"/>
  </si>
  <si>
    <t>Reproductive benomyl-treated S. patens</t>
  </si>
  <si>
    <t>Senescent benomyl-treated S. patens</t>
  </si>
  <si>
    <t>Cell numbers x 107 per gram soil dry weight</t>
  </si>
  <si>
    <t>Cell numbers per gram soil dry weight</t>
  </si>
  <si>
    <t>Present</t>
  </si>
  <si>
    <t>Cell numbers per g wet weight, assuming 90% water weight in samples</t>
  </si>
  <si>
    <t>Cell numbers per cc wet volume, assuming density below</t>
  </si>
  <si>
    <t>Density was estimated to be 2.5(.10)+1(.90) since dry sediments are about 2.5 g/cc and water, which is assumed to be 90% is 1</t>
  </si>
  <si>
    <t>Number of cells per cc total sed (first multiplied by 0.2 to get to per weight wet, then divided by density to get to per volume wet.</t>
  </si>
  <si>
    <t>Burke 2003</t>
  </si>
  <si>
    <t>CARDFISH Arc below detection limit or not measured?</t>
  </si>
  <si>
    <t>They did not look for Archaea, but cite Ishii as showing that archaea are less than 1% of cell counts</t>
  </si>
  <si>
    <t>Northern Germany sands</t>
  </si>
  <si>
    <t>Sediment</t>
  </si>
  <si>
    <t>Fine, June</t>
  </si>
  <si>
    <t>Medium, Sept</t>
  </si>
  <si>
    <t>Coarse, Sept</t>
  </si>
  <si>
    <t>Fraction Eub338 of DAPI</t>
  </si>
  <si>
    <t>0–0.5</t>
  </si>
  <si>
    <t>0.5–1</t>
  </si>
  <si>
    <t>1–2</t>
  </si>
  <si>
    <t>2–3</t>
  </si>
  <si>
    <t>3–4</t>
  </si>
  <si>
    <t>4–5</t>
  </si>
  <si>
    <t>5–10</t>
  </si>
  <si>
    <t>10–15</t>
  </si>
  <si>
    <t>15–20</t>
  </si>
  <si>
    <t>Sample</t>
  </si>
  <si>
    <t>DAPI x 10^8 per cc</t>
  </si>
  <si>
    <t>EUB338 x 10^8 per cc</t>
  </si>
  <si>
    <t>Wadden Sea intertidal</t>
  </si>
  <si>
    <t>DAPI per cc</t>
  </si>
  <si>
    <t>Llobet-Brossa 2002</t>
  </si>
  <si>
    <t>EUB338 per cc</t>
  </si>
  <si>
    <t>They counted archaea, but they were less than 0.1% of DAPI so they didn't include numbers</t>
  </si>
  <si>
    <t>Beach</t>
  </si>
  <si>
    <t>Mud</t>
  </si>
  <si>
    <t>Llobet-Brossa 1998</t>
  </si>
  <si>
    <t>DAPI x 10^8 cells/cc</t>
  </si>
  <si>
    <t>Rossello-Mora 1999</t>
  </si>
  <si>
    <t>Time</t>
  </si>
  <si>
    <t>Chefren mud volcano</t>
  </si>
  <si>
    <t>Chefren mud volcano NL18PC(5)</t>
  </si>
  <si>
    <t>DAPI cells/cc</t>
  </si>
  <si>
    <t>EUB338 cells/cc</t>
  </si>
  <si>
    <t>Sulfate present?</t>
  </si>
  <si>
    <t>FISH or CARDFISH</t>
  </si>
  <si>
    <t>Wadden Sea Mudflat</t>
  </si>
  <si>
    <t>Wadden Sea Beach</t>
  </si>
  <si>
    <t>O°C</t>
  </si>
  <si>
    <t>8°C</t>
  </si>
  <si>
    <t>24°C</t>
  </si>
  <si>
    <t>Incubation temp</t>
  </si>
  <si>
    <t>Spirulina added (mg/bag)</t>
  </si>
  <si>
    <t>August 2000</t>
  </si>
  <si>
    <t>December 2000</t>
  </si>
  <si>
    <t>May 2001</t>
  </si>
  <si>
    <t>July 2001</t>
  </si>
  <si>
    <t>Fraction EUBI-III</t>
  </si>
  <si>
    <t>Danovaro 2009</t>
  </si>
  <si>
    <t>% EUB338</t>
  </si>
  <si>
    <t>No mention was made of archaea. All depths were oxic, so they are presumed to have sulfate</t>
  </si>
  <si>
    <t>Rusch 2003</t>
  </si>
  <si>
    <t>Oliveira 2012</t>
  </si>
  <si>
    <t>Monlabel FISH</t>
  </si>
  <si>
    <t>Unvegetated sediments</t>
  </si>
  <si>
    <t>DAPI x 10^9 cells/gdw</t>
  </si>
  <si>
    <t>EUBI-III x 10^8 cell/gdw</t>
  </si>
  <si>
    <t>From Karen:  I measured the %archaea with Webplot digitizer directly from the plots adn added it to Megan's measurements. Total cell counts in these samples are the same ones used in the Schippers papers - Barry Cragg's counts. I wrote to Fumio and asked him for the absolute archaeal counts (because only percentages are in the paper) and he said he intentionally didn't show them because he didn't trust them. So, we do not re-print the cell counts here because these data can only be included on the %archaea plot.</t>
    <phoneticPr fontId="12" type="noConversion"/>
  </si>
  <si>
    <t>Sulfate (mM) (from TAMU website)</t>
    <phoneticPr fontId="12" type="noConversion"/>
  </si>
  <si>
    <t>Sulfate (mM)</t>
    <phoneticPr fontId="12" type="noConversion"/>
  </si>
  <si>
    <t>Archaea (cells/ml)</t>
  </si>
  <si>
    <t>Engeken 2008 Figure 2 site U1301 at Juan de Fuca</t>
  </si>
  <si>
    <t>Engelen 2008</t>
  </si>
  <si>
    <t>Juan de Fuca U1301</t>
  </si>
  <si>
    <r>
      <t>Archaea (copies/</t>
    </r>
    <r>
      <rPr>
        <b/>
        <sz val="10"/>
        <rFont val="Verdana"/>
      </rPr>
      <t xml:space="preserve">cc </t>
    </r>
    <r>
      <rPr>
        <b/>
        <sz val="10"/>
        <rFont val="Verdana"/>
      </rPr>
      <t>sediment)</t>
    </r>
  </si>
  <si>
    <r>
      <t xml:space="preserve">Bacteria (copies/ </t>
    </r>
    <r>
      <rPr>
        <b/>
        <sz val="10"/>
        <rFont val="Verdana"/>
      </rPr>
      <t>cc</t>
    </r>
    <r>
      <rPr>
        <b/>
        <sz val="10"/>
        <rFont val="Verdana"/>
      </rPr>
      <t xml:space="preserve"> sediment)</t>
    </r>
  </si>
  <si>
    <t>SybrGreen total cells (Weinbauer)</t>
  </si>
  <si>
    <t>Bac CARDFISH per g dry sediment</t>
  </si>
  <si>
    <t>Arc CARDFISH per g dry sediment</t>
  </si>
  <si>
    <t>Bac qPCR copies per g dry sed</t>
  </si>
  <si>
    <t>Arc qPCR copies per g dry sed</t>
  </si>
  <si>
    <t>Chesapeake Bay</t>
  </si>
  <si>
    <t>SybrGreen total cells (Weinbauer) per cc</t>
  </si>
  <si>
    <t>Bac CARDFISH per cc</t>
  </si>
  <si>
    <t>Arc CARDFISH per cc</t>
  </si>
  <si>
    <t>Bac qPCR copies per cc</t>
  </si>
  <si>
    <t>Arc qPCR copies per cc</t>
  </si>
  <si>
    <t>Density was estimated to be 2.5(.20)+1(.80) since dry sediments are about 2.5 g/cc and water, which is reported in the paper as 36-54% is 1 g/cc</t>
  </si>
  <si>
    <t>Dist from cell count</t>
  </si>
  <si>
    <t>Sulfate (mM)</t>
  </si>
  <si>
    <t>CARDFISH</t>
  </si>
  <si>
    <t>Senescent non-treated S. patens</t>
  </si>
  <si>
    <t>Used Google Chrome Webplotdigitizer to derive these values</t>
  </si>
  <si>
    <t>U1318</t>
  </si>
  <si>
    <t>AODC Fig. 2 log10</t>
  </si>
  <si>
    <t>Depth cm)</t>
  </si>
  <si>
    <t>Sulfate</t>
  </si>
  <si>
    <t>Sulfate is only listed for depths that also have microbial data. So, if you want a complete picture of the sulfate profile, go back to the paper and add them in.</t>
  </si>
  <si>
    <t>Sulfate (mmol kg-1)</t>
  </si>
  <si>
    <t>DTAF cell/cc</t>
    <phoneticPr fontId="3" type="noConversion"/>
  </si>
  <si>
    <t xml:space="preserve">60-63	</t>
  </si>
  <si>
    <r>
      <t>Depth (cm</t>
    </r>
    <r>
      <rPr>
        <b/>
        <sz val="10"/>
        <rFont val="Verdana"/>
      </rPr>
      <t xml:space="preserve"> measured on page</t>
    </r>
    <r>
      <rPr>
        <b/>
        <sz val="10"/>
        <rFont val="Verdana"/>
      </rPr>
      <t xml:space="preserve">) </t>
    </r>
  </si>
  <si>
    <t>Sulfate data are from the ODP logs</t>
  </si>
  <si>
    <t>Sulfate (mM) - extracted using webplot digitizer</t>
  </si>
  <si>
    <t>Sulfate (mM)</t>
    <phoneticPr fontId="12" type="noConversion"/>
  </si>
  <si>
    <t>AODC cells/cc</t>
  </si>
  <si>
    <t>CARD-Bac cells/cc</t>
  </si>
  <si>
    <t>Bacteria qPCR copies/cc</t>
  </si>
  <si>
    <t>Archaea qPCR copies/cc</t>
  </si>
  <si>
    <t>Prok qPCR copies/cc</t>
  </si>
  <si>
    <t>DAPI</t>
  </si>
  <si>
    <t>Geobacteraceae qPCR copies/cc</t>
  </si>
  <si>
    <t>dsrA qPCR copies/cc</t>
  </si>
  <si>
    <t>mcrAqPCR copies/cc</t>
  </si>
  <si>
    <t>Absolute depth (mbsf)</t>
  </si>
  <si>
    <t>Depth (m away from unconformity)</t>
  </si>
  <si>
    <t>U1317</t>
  </si>
  <si>
    <t>U1316</t>
  </si>
  <si>
    <t>Sumatra Station 1</t>
  </si>
  <si>
    <t>total cells log10</t>
    <phoneticPr fontId="4" type="noConversion"/>
  </si>
  <si>
    <t>Bac CARD log10</t>
    <phoneticPr fontId="4" type="noConversion"/>
  </si>
  <si>
    <t>Arc CARD log10</t>
    <phoneticPr fontId="4" type="noConversion"/>
  </si>
  <si>
    <t>Bac qPCR log10</t>
  </si>
  <si>
    <t>Arc qPCR log10</t>
    <phoneticPr fontId="4" type="noConversion"/>
  </si>
  <si>
    <t>Euk qPCR log10</t>
    <phoneticPr fontId="4" type="noConversion"/>
  </si>
  <si>
    <t>total cells cells/cc</t>
  </si>
  <si>
    <t>Bac CARD cells/cc</t>
  </si>
  <si>
    <t>Arc CARD cells/cc</t>
  </si>
  <si>
    <t>Bac qPCR copies/cc</t>
  </si>
  <si>
    <t>Arc qPCR copies/cc</t>
  </si>
  <si>
    <t>Euk qPCR copies/cc</t>
  </si>
  <si>
    <t>Sumatra Station 3</t>
  </si>
  <si>
    <t>Data extracted using webplotdigitizer, there's other data on the plots as well (other genes and eukaryotes)</t>
  </si>
  <si>
    <t>Sumatra Station 4</t>
  </si>
  <si>
    <t>Siegert 2011</t>
  </si>
  <si>
    <t>universal primer qPCR log10 after applying 55% extraction efficiency and 3.6 copies 16S</t>
  </si>
  <si>
    <t>Sediment zone</t>
  </si>
  <si>
    <t>Sulfate zone</t>
  </si>
  <si>
    <t>SMTZ</t>
  </si>
  <si>
    <t>Aarhus Bay</t>
  </si>
  <si>
    <t>Methane zone</t>
  </si>
  <si>
    <t>Leloup 2007</t>
  </si>
  <si>
    <t>Efficiency and copy number not taken into account copies/cc</t>
  </si>
  <si>
    <t>Efficiency and copy number not taken into account log10 per g</t>
  </si>
  <si>
    <t>AODC log10 cells/g</t>
  </si>
  <si>
    <t xml:space="preserve">Multiplication factor for raw qPCR data accounting for 55% extraction efficiency and 3.6 copies per cell is to multiply by 1.45/3.6 = </t>
  </si>
  <si>
    <t>Divide cells/g to get this number for copies/g measured</t>
  </si>
  <si>
    <t>Total cells/g</t>
  </si>
  <si>
    <t>Sediment depth (m)</t>
  </si>
  <si>
    <t>Total cells/cc</t>
  </si>
  <si>
    <t>Bac CARDFISH cells/cc</t>
  </si>
  <si>
    <t>Arc CARDFISH cells/cc</t>
  </si>
  <si>
    <t>prokaryotic rRNA (cm)</t>
    <phoneticPr fontId="12" type="noConversion"/>
  </si>
  <si>
    <t>Depth (cm) with ruler</t>
    <phoneticPr fontId="12" type="noConversion"/>
  </si>
  <si>
    <t>Manini 2008</t>
  </si>
  <si>
    <t>Mediterranean volcano EC2</t>
  </si>
  <si>
    <t>Mediterranean volcano BP</t>
  </si>
  <si>
    <t>BP, Med Sea</t>
  </si>
  <si>
    <t>Loesekann 2007</t>
  </si>
  <si>
    <t>Pacific volcano SC1</t>
  </si>
  <si>
    <t>HMMV center</t>
  </si>
  <si>
    <t>HMMV Beggiatoa</t>
  </si>
  <si>
    <t>HMMV tubeworms</t>
  </si>
  <si>
    <t>Bacteria (cells/ml)</t>
  </si>
  <si>
    <t>EubI-III cells/cc</t>
  </si>
  <si>
    <t>%Arc915</t>
  </si>
  <si>
    <t>They report cell counts as: "Similar to the relatively minor variations in geochemical gradients, total cell counts in the different cores differed only slightly, as revealed by epifluorescence microscopy. In surface sediment generally, 3–5 108 cells cm 3 were found. Numbers declined to 108–107 cells cm 3 at a depth of 300 cm (data not shown)." and then "In our investigation, total cell counts in deeper layers
showed higher values than calculated after qPCR analysis. It is possible that total cell counts obtained by DAPI staining overestimate the actual in situ numbers by including cell-like particles. These false-positive signals increase with decreasing cell numbers, due to the need to concentrate sample material. A novel method with neglectable background signals using SYBR green as fluorescence dye was developed by Lunau et al. (2005). This technique yielded the same cell numbers for Wadden Sea surface sediments (Lunau and Hilker, personal communications) as our direct counts by DAPI, whereas for deeper layers, a 10-fold lower cell number was counted. These findings would correspond much better with the numbers of prokaryotes calculated by qPCR. However, there are other potential reasons for differences between direct counts and those obtained by qPCR, such as varying DNA extraction efficiencies, coextraction of PCRinterfering humic-like substances, or varying 16S rRNA gene copy numbers (Fogel et al., 1999).</t>
    <phoneticPr fontId="12" type="noConversion"/>
  </si>
  <si>
    <t>Wilms 2007</t>
  </si>
  <si>
    <t>Wilms 2007</t>
    <phoneticPr fontId="12" type="noConversion"/>
  </si>
  <si>
    <t>Wadden A</t>
    <phoneticPr fontId="12" type="noConversion"/>
  </si>
  <si>
    <t>Wadden B</t>
    <phoneticPr fontId="12" type="noConversion"/>
  </si>
  <si>
    <t>Wadden C</t>
    <phoneticPr fontId="12" type="noConversion"/>
  </si>
  <si>
    <t>Core C Bacteria copies/cc</t>
    <phoneticPr fontId="12" type="noConversion"/>
  </si>
  <si>
    <t>Webster 2009</t>
  </si>
  <si>
    <t>Core</t>
  </si>
  <si>
    <t>Cell counts: October 1999 (cm)</t>
    <phoneticPr fontId="12" type="noConversion"/>
  </si>
  <si>
    <t>Core A (Dark)</t>
    <phoneticPr fontId="12" type="noConversion"/>
  </si>
  <si>
    <t>CARD-Bac log10 cells</t>
  </si>
  <si>
    <t>Bacteria qPCR log10 copies</t>
  </si>
  <si>
    <t>Archaea qPCR log10 copies</t>
  </si>
  <si>
    <t>Prok qPCR log10 copies</t>
  </si>
  <si>
    <t>Geobacteraceae qPCR log10 copies</t>
  </si>
  <si>
    <t>dsrA qPCR log10 copies</t>
  </si>
  <si>
    <t>mcrAqPCR log10 copies</t>
  </si>
  <si>
    <t>Cells</t>
    <phoneticPr fontId="12" type="noConversion"/>
  </si>
  <si>
    <t>Cell counts (cells/ g sediment)</t>
    <phoneticPr fontId="12" type="noConversion"/>
  </si>
  <si>
    <t>B</t>
    <phoneticPr fontId="12" type="noConversion"/>
  </si>
  <si>
    <t>Triangles</t>
    <phoneticPr fontId="12" type="noConversion"/>
  </si>
  <si>
    <t>Depth (cm</t>
    <phoneticPr fontId="12" type="noConversion"/>
  </si>
  <si>
    <t>Depth (m)</t>
    <phoneticPr fontId="12" type="noConversion"/>
  </si>
  <si>
    <t>Cell counts(cell number/mL sediment)</t>
    <phoneticPr fontId="12" type="noConversion"/>
  </si>
  <si>
    <t>Cell counts (cells/ g sediment)</t>
    <phoneticPr fontId="12" type="noConversion"/>
  </si>
  <si>
    <t>Station 1</t>
    <phoneticPr fontId="12" type="noConversion"/>
  </si>
  <si>
    <t>Malangenfjord</t>
    <phoneticPr fontId="12" type="noConversion"/>
  </si>
  <si>
    <t>AFhm2</t>
    <phoneticPr fontId="12" type="noConversion"/>
  </si>
  <si>
    <t>AFhm3</t>
    <phoneticPr fontId="12" type="noConversion"/>
  </si>
  <si>
    <t>AFhm4</t>
    <phoneticPr fontId="12" type="noConversion"/>
  </si>
  <si>
    <t>AFhm5</t>
    <phoneticPr fontId="12" type="noConversion"/>
  </si>
  <si>
    <t>AAcs1</t>
    <phoneticPr fontId="12" type="noConversion"/>
  </si>
  <si>
    <t>Gashydrat</t>
  </si>
  <si>
    <t>AFhm1</t>
    <phoneticPr fontId="12" type="noConversion"/>
  </si>
  <si>
    <t>IYdcG</t>
    <phoneticPr fontId="12" type="noConversion"/>
  </si>
  <si>
    <t>AAcs3</t>
    <phoneticPr fontId="12" type="noConversion"/>
  </si>
  <si>
    <t>APbsc1</t>
    <phoneticPr fontId="12" type="noConversion"/>
  </si>
  <si>
    <t>APbsc2</t>
    <phoneticPr fontId="12" type="noConversion"/>
  </si>
  <si>
    <t>APbsc3</t>
    <phoneticPr fontId="12" type="noConversion"/>
  </si>
  <si>
    <t>0.08-0.09</t>
    <phoneticPr fontId="12" type="noConversion"/>
  </si>
  <si>
    <t>0.09-0.1</t>
    <phoneticPr fontId="12" type="noConversion"/>
  </si>
  <si>
    <t>APcsc1</t>
    <phoneticPr fontId="12" type="noConversion"/>
  </si>
  <si>
    <t>APcsc2</t>
    <phoneticPr fontId="12" type="noConversion"/>
  </si>
  <si>
    <t>APcsc3</t>
    <phoneticPr fontId="12" type="noConversion"/>
  </si>
  <si>
    <t>IPltcB</t>
    <phoneticPr fontId="12" type="noConversion"/>
  </si>
  <si>
    <t>IPltcG</t>
    <phoneticPr fontId="12" type="noConversion"/>
  </si>
  <si>
    <t>IPltcO</t>
    <phoneticPr fontId="12" type="noConversion"/>
  </si>
  <si>
    <t>IYdcB</t>
    <phoneticPr fontId="12" type="noConversion"/>
  </si>
  <si>
    <t>Core B (Light)</t>
    <phoneticPr fontId="12" type="noConversion"/>
  </si>
  <si>
    <t>Station 2</t>
    <phoneticPr fontId="12" type="noConversion"/>
  </si>
  <si>
    <t>Hornsund</t>
    <phoneticPr fontId="12" type="noConversion"/>
  </si>
  <si>
    <t>Svalbard</t>
    <phoneticPr fontId="12" type="noConversion"/>
  </si>
  <si>
    <t>0.07-0.08</t>
    <phoneticPr fontId="12" type="noConversion"/>
  </si>
  <si>
    <t>0.09-0.1</t>
    <phoneticPr fontId="12" type="noConversion"/>
  </si>
  <si>
    <t>0.12-0.13</t>
    <phoneticPr fontId="12" type="noConversion"/>
  </si>
  <si>
    <t>0.13-0.14</t>
    <phoneticPr fontId="12" type="noConversion"/>
  </si>
  <si>
    <t>&lt;0.1e9</t>
    <phoneticPr fontId="12" type="noConversion"/>
  </si>
  <si>
    <t>CORE 2</t>
    <phoneticPr fontId="12" type="noConversion"/>
  </si>
  <si>
    <t>Red have been copied from a nearby depth - &lt;1 m for under 10mbsf and &lt;5 m for deeper samples.</t>
    <phoneticPr fontId="12" type="noConversion"/>
  </si>
  <si>
    <t>cells/gdry*0.2gdry/gwet*gwet/1.3cc</t>
    <phoneticPr fontId="12" type="noConversion"/>
  </si>
  <si>
    <t xml:space="preserve">Roalkvam 2011 Figure 1 </t>
    <phoneticPr fontId="12" type="noConversion"/>
  </si>
  <si>
    <t>Open Circles</t>
    <phoneticPr fontId="12" type="noConversion"/>
  </si>
  <si>
    <t>ARCHAEA (cells/g sed)</t>
    <phoneticPr fontId="12" type="noConversion"/>
  </si>
  <si>
    <t>Sahm 1998</t>
    <phoneticPr fontId="12" type="noConversion"/>
  </si>
  <si>
    <t>Center sediment</t>
    <phoneticPr fontId="12" type="noConversion"/>
  </si>
  <si>
    <t>Bacteria RNA (ng/cm3)</t>
    <phoneticPr fontId="12" type="noConversion"/>
  </si>
  <si>
    <t>nd</t>
    <phoneticPr fontId="12" type="noConversion"/>
  </si>
  <si>
    <t>Bacteria (cells/g sed)</t>
    <phoneticPr fontId="12" type="noConversion"/>
  </si>
  <si>
    <t>Archaea (cells/g sed)</t>
    <phoneticPr fontId="12" type="noConversion"/>
  </si>
  <si>
    <t>My measurement</t>
    <phoneticPr fontId="12" type="noConversion"/>
  </si>
  <si>
    <t xml:space="preserve">Real </t>
    <phoneticPr fontId="12" type="noConversion"/>
  </si>
  <si>
    <t>Total Cell number (cells/mL)</t>
    <phoneticPr fontId="12" type="noConversion"/>
  </si>
  <si>
    <t>Actual</t>
    <phoneticPr fontId="12" type="noConversion"/>
  </si>
  <si>
    <t>cells/cc wet sediment</t>
    <phoneticPr fontId="12" type="noConversion"/>
  </si>
  <si>
    <t>The cores were 8cm deep and were homogenized, so we place them at 4cm sediment depth in the %arc</t>
    <phoneticPr fontId="12" type="noConversion"/>
  </si>
  <si>
    <t>Biddle 2006</t>
  </si>
  <si>
    <t>Core B</t>
    <phoneticPr fontId="12" type="noConversion"/>
  </si>
  <si>
    <t>Prokaryotes (cm)</t>
    <phoneticPr fontId="12" type="noConversion"/>
  </si>
  <si>
    <t>Prokaryotic qPCR (copies/g)</t>
    <phoneticPr fontId="12" type="noConversion"/>
  </si>
  <si>
    <t>Sahm 1999</t>
    <phoneticPr fontId="12" type="noConversion"/>
  </si>
  <si>
    <t>Garcia-Martinez 2008</t>
    <phoneticPr fontId="12" type="noConversion"/>
  </si>
  <si>
    <t xml:space="preserve">Date </t>
    <phoneticPr fontId="12" type="noConversion"/>
  </si>
  <si>
    <t>Diamonds</t>
    <phoneticPr fontId="12" type="noConversion"/>
  </si>
  <si>
    <t>Prokaryotic RNA RECOVERY</t>
    <phoneticPr fontId="12" type="noConversion"/>
  </si>
  <si>
    <t>Depth (mbsf)</t>
    <phoneticPr fontId="12" type="noConversion"/>
  </si>
  <si>
    <t>Musat 2005</t>
    <phoneticPr fontId="12" type="noConversion"/>
  </si>
  <si>
    <t>rRNA (ng/ mL sed)</t>
    <phoneticPr fontId="12" type="noConversion"/>
  </si>
  <si>
    <t>Conversions seemed undercounted compared to the figure………</t>
    <phoneticPr fontId="12" type="noConversion"/>
  </si>
  <si>
    <t>Closed square</t>
    <phoneticPr fontId="12" type="noConversion"/>
  </si>
  <si>
    <t>Depth (mbsf)</t>
    <phoneticPr fontId="12" type="noConversion"/>
  </si>
  <si>
    <t>Amostras</t>
  </si>
  <si>
    <t>BAC 16S rRNA gene copies per cm3 Sediment</t>
  </si>
  <si>
    <t>Inagaki 2006</t>
    <phoneticPr fontId="12" type="noConversion"/>
  </si>
  <si>
    <t>QPCR</t>
    <phoneticPr fontId="12" type="noConversion"/>
  </si>
  <si>
    <t>Inagaki 2006</t>
    <phoneticPr fontId="12" type="noConversion"/>
  </si>
  <si>
    <t>Copies/g sediment</t>
    <phoneticPr fontId="12" type="noConversion"/>
  </si>
  <si>
    <t>% Archaea</t>
    <phoneticPr fontId="12" type="noConversion"/>
  </si>
  <si>
    <t>My measurements</t>
    <phoneticPr fontId="12" type="noConversion"/>
  </si>
  <si>
    <t>real</t>
    <phoneticPr fontId="12" type="noConversion"/>
  </si>
  <si>
    <t>AAcs2</t>
    <phoneticPr fontId="12" type="noConversion"/>
  </si>
  <si>
    <t>Open triangle</t>
    <phoneticPr fontId="12" type="noConversion"/>
  </si>
  <si>
    <t>Depth (cm)</t>
    <phoneticPr fontId="12" type="noConversion"/>
  </si>
  <si>
    <t>Depth (cm)</t>
    <phoneticPr fontId="12" type="noConversion"/>
  </si>
  <si>
    <t>Cell counts: October (cell number/mL sediment)</t>
    <phoneticPr fontId="12" type="noConversion"/>
  </si>
  <si>
    <t>Archaea (cm)</t>
    <phoneticPr fontId="12" type="noConversion"/>
  </si>
  <si>
    <t>Depth (cm)</t>
    <phoneticPr fontId="12" type="noConversion"/>
  </si>
  <si>
    <t>Cells (cm)</t>
    <phoneticPr fontId="12" type="noConversion"/>
  </si>
  <si>
    <t>Cells  (cells/g)</t>
    <phoneticPr fontId="12" type="noConversion"/>
  </si>
  <si>
    <t>DAPI Cells</t>
    <phoneticPr fontId="12" type="noConversion"/>
  </si>
  <si>
    <t>Circle</t>
    <phoneticPr fontId="12" type="noConversion"/>
  </si>
  <si>
    <t>Square</t>
    <phoneticPr fontId="12" type="noConversion"/>
  </si>
  <si>
    <t>EUB cells</t>
    <phoneticPr fontId="12" type="noConversion"/>
  </si>
  <si>
    <t>Cells/ g sediment</t>
    <phoneticPr fontId="12" type="noConversion"/>
  </si>
  <si>
    <t>Circle</t>
    <phoneticPr fontId="12" type="noConversion"/>
  </si>
  <si>
    <t>Cell counts: July 2000 (cm)</t>
    <phoneticPr fontId="12" type="noConversion"/>
  </si>
  <si>
    <t>Dark</t>
    <phoneticPr fontId="12" type="noConversion"/>
  </si>
  <si>
    <t>Light</t>
    <phoneticPr fontId="12" type="noConversion"/>
  </si>
  <si>
    <t>Station 2</t>
    <phoneticPr fontId="12" type="noConversion"/>
  </si>
  <si>
    <t>Station 3</t>
    <phoneticPr fontId="12" type="noConversion"/>
  </si>
  <si>
    <t>my meas</t>
    <phoneticPr fontId="12" type="noConversion"/>
  </si>
  <si>
    <t>actual</t>
    <phoneticPr fontId="12" type="noConversion"/>
  </si>
  <si>
    <t>Black square</t>
    <phoneticPr fontId="12" type="noConversion"/>
  </si>
  <si>
    <t>Gray square</t>
    <phoneticPr fontId="12" type="noConversion"/>
  </si>
  <si>
    <t>Total rRNA (ng/ cm3)</t>
    <phoneticPr fontId="12" type="noConversion"/>
  </si>
  <si>
    <t>Total rRNA (ng/g sed)</t>
    <phoneticPr fontId="12" type="noConversion"/>
  </si>
  <si>
    <t>0.02-0.03</t>
    <phoneticPr fontId="12" type="noConversion"/>
  </si>
  <si>
    <t>0.03-0.04</t>
    <phoneticPr fontId="12" type="noConversion"/>
  </si>
  <si>
    <t>Depth</t>
    <phoneticPr fontId="12" type="noConversion"/>
  </si>
  <si>
    <t>Open circle</t>
    <phoneticPr fontId="12" type="noConversion"/>
  </si>
  <si>
    <t xml:space="preserve">Closed circle </t>
    <phoneticPr fontId="12" type="noConversion"/>
  </si>
  <si>
    <t xml:space="preserve">Depth </t>
    <phoneticPr fontId="12" type="noConversion"/>
  </si>
  <si>
    <t>Bacteria</t>
    <phoneticPr fontId="12" type="noConversion"/>
  </si>
  <si>
    <t>Depth</t>
    <phoneticPr fontId="12" type="noConversion"/>
  </si>
  <si>
    <t>Station 3</t>
    <phoneticPr fontId="12" type="noConversion"/>
  </si>
  <si>
    <t>CARD FISH</t>
    <phoneticPr fontId="12" type="noConversion"/>
  </si>
  <si>
    <t>Sample</t>
    <phoneticPr fontId="12" type="noConversion"/>
  </si>
  <si>
    <t>APbsc4</t>
    <phoneticPr fontId="12" type="noConversion"/>
  </si>
  <si>
    <t>Archaea</t>
    <phoneticPr fontId="12" type="noConversion"/>
  </si>
  <si>
    <t>Van Mijenfjord</t>
    <phoneticPr fontId="12" type="noConversion"/>
  </si>
  <si>
    <t>Station 4</t>
    <phoneticPr fontId="12" type="noConversion"/>
  </si>
  <si>
    <t>Kato 2010</t>
    <phoneticPr fontId="12" type="noConversion"/>
  </si>
  <si>
    <t>Beggiatoa mat</t>
    <phoneticPr fontId="12" type="noConversion"/>
  </si>
  <si>
    <t>Core A Bacteria copies/cc</t>
    <phoneticPr fontId="12" type="noConversion"/>
  </si>
  <si>
    <t>Core A Archaea copies/cc</t>
    <phoneticPr fontId="12" type="noConversion"/>
  </si>
  <si>
    <t>Core B Bacteria copies/cc</t>
    <phoneticPr fontId="12" type="noConversion"/>
  </si>
  <si>
    <t>Core B Archaea copies/cc</t>
    <phoneticPr fontId="12" type="noConversion"/>
  </si>
  <si>
    <t>Core C Archaea copies/cc</t>
    <phoneticPr fontId="12" type="noConversion"/>
  </si>
  <si>
    <t>Cell counts (cells/mL)</t>
    <phoneticPr fontId="12" type="noConversion"/>
  </si>
  <si>
    <t>Archaeal qPCR (copies/g)</t>
    <phoneticPr fontId="12" type="noConversion"/>
  </si>
  <si>
    <t>Total Cell number (cells/g)</t>
    <phoneticPr fontId="12" type="noConversion"/>
  </si>
  <si>
    <t>Real</t>
    <phoneticPr fontId="12" type="noConversion"/>
  </si>
  <si>
    <t>Nunoura 2009</t>
  </si>
  <si>
    <t>Northern Portuguese Slope</t>
    <phoneticPr fontId="12" type="noConversion"/>
  </si>
  <si>
    <t>Circles</t>
    <phoneticPr fontId="12" type="noConversion"/>
  </si>
  <si>
    <t>Triangles</t>
    <phoneticPr fontId="12" type="noConversion"/>
  </si>
  <si>
    <t>Squares</t>
    <phoneticPr fontId="12" type="noConversion"/>
  </si>
  <si>
    <t>Tromso</t>
    <phoneticPr fontId="12" type="noConversion"/>
  </si>
  <si>
    <t>Depth (m)</t>
    <phoneticPr fontId="12" type="noConversion"/>
  </si>
  <si>
    <t>DAPI count (cm)</t>
    <phoneticPr fontId="12" type="noConversion"/>
  </si>
  <si>
    <t>Depth (cm)</t>
    <phoneticPr fontId="12" type="noConversion"/>
  </si>
  <si>
    <t>DAPI (/cm3)</t>
    <phoneticPr fontId="12" type="noConversion"/>
  </si>
  <si>
    <t>DAPI (cells/g)</t>
    <phoneticPr fontId="12" type="noConversion"/>
  </si>
  <si>
    <t>Figure 1a</t>
    <phoneticPr fontId="12" type="noConversion"/>
  </si>
  <si>
    <t>Figure 1b</t>
    <phoneticPr fontId="12" type="noConversion"/>
  </si>
  <si>
    <t>ND</t>
    <phoneticPr fontId="12" type="noConversion"/>
  </si>
  <si>
    <t>Archaea RNA (ng/cm3)</t>
    <phoneticPr fontId="12" type="noConversion"/>
  </si>
  <si>
    <t>CARD-FISH% (Bacteria)</t>
    <phoneticPr fontId="12" type="noConversion"/>
  </si>
  <si>
    <t>CARD FISH</t>
    <phoneticPr fontId="12" type="noConversion"/>
  </si>
  <si>
    <t>CARD-FISH HRP</t>
    <phoneticPr fontId="12" type="noConversion"/>
  </si>
  <si>
    <t>Tubeworm field</t>
    <phoneticPr fontId="12" type="noConversion"/>
  </si>
  <si>
    <t>Cell counts (cells/g sediment)</t>
    <phoneticPr fontId="12" type="noConversion"/>
  </si>
  <si>
    <t>Core A</t>
    <phoneticPr fontId="12" type="noConversion"/>
  </si>
  <si>
    <t>Depth (cm)</t>
    <phoneticPr fontId="12" type="noConversion"/>
  </si>
  <si>
    <t>Archaea (qPCR)</t>
    <phoneticPr fontId="12" type="noConversion"/>
  </si>
  <si>
    <t>Bacteria (qPCR)</t>
    <phoneticPr fontId="12" type="noConversion"/>
  </si>
  <si>
    <t>prokaryote (cm)</t>
    <phoneticPr fontId="12" type="noConversion"/>
  </si>
  <si>
    <t>Depth (cmbsf)</t>
    <phoneticPr fontId="12" type="noConversion"/>
  </si>
  <si>
    <t>M1, #24</t>
    <phoneticPr fontId="12" type="noConversion"/>
  </si>
  <si>
    <t>10_B78</t>
    <phoneticPr fontId="12" type="noConversion"/>
  </si>
  <si>
    <t>Triangle</t>
    <phoneticPr fontId="12" type="noConversion"/>
  </si>
  <si>
    <t>Depth (m)</t>
    <phoneticPr fontId="12" type="noConversion"/>
  </si>
  <si>
    <t>0.04-0.05</t>
    <phoneticPr fontId="12" type="noConversion"/>
  </si>
  <si>
    <t>0.06-0.07</t>
    <phoneticPr fontId="12" type="noConversion"/>
  </si>
  <si>
    <t xml:space="preserve">Peru Margin (ODP Leg 1) </t>
    <phoneticPr fontId="12" type="noConversion"/>
  </si>
  <si>
    <t>Archaea (cells/g sed)</t>
    <phoneticPr fontId="12" type="noConversion"/>
  </si>
  <si>
    <t>Molari 2011</t>
    <phoneticPr fontId="12" type="noConversion"/>
  </si>
  <si>
    <t>Figure 2</t>
    <phoneticPr fontId="12" type="noConversion"/>
  </si>
  <si>
    <t>Depth (cm)</t>
    <phoneticPr fontId="12" type="noConversion"/>
  </si>
  <si>
    <t>Diamond</t>
    <phoneticPr fontId="12" type="noConversion"/>
  </si>
  <si>
    <t>Depth (actual cm)</t>
    <phoneticPr fontId="12" type="noConversion"/>
  </si>
  <si>
    <t>Prokaryotes (cells/cm3)</t>
    <phoneticPr fontId="12" type="noConversion"/>
  </si>
  <si>
    <t>Figure 1</t>
    <phoneticPr fontId="12" type="noConversion"/>
  </si>
  <si>
    <t>Total Prokaryotes</t>
    <phoneticPr fontId="12" type="noConversion"/>
  </si>
  <si>
    <t>Sample ID</t>
    <phoneticPr fontId="12" type="noConversion"/>
  </si>
  <si>
    <t>Sample name</t>
    <phoneticPr fontId="12" type="noConversion"/>
  </si>
  <si>
    <t>Archaea (CARD-FISH) (%)</t>
    <phoneticPr fontId="12" type="noConversion"/>
  </si>
  <si>
    <t xml:space="preserve">Isshi 2004 </t>
    <phoneticPr fontId="12" type="noConversion"/>
  </si>
  <si>
    <t>Depth (cm)</t>
    <phoneticPr fontId="12" type="noConversion"/>
  </si>
  <si>
    <t>ND</t>
    <phoneticPr fontId="12" type="noConversion"/>
  </si>
  <si>
    <t>Cell counts: March 2000 (cm)</t>
    <phoneticPr fontId="12" type="noConversion"/>
  </si>
  <si>
    <t>Losekann 2007</t>
    <phoneticPr fontId="12" type="noConversion"/>
  </si>
  <si>
    <t>0-0.01</t>
    <phoneticPr fontId="12" type="noConversion"/>
  </si>
  <si>
    <t>0.01-0.02</t>
    <phoneticPr fontId="12" type="noConversion"/>
  </si>
  <si>
    <t>My measurement</t>
    <phoneticPr fontId="12" type="noConversion"/>
  </si>
  <si>
    <t>Depth (m)</t>
    <phoneticPr fontId="12" type="noConversion"/>
  </si>
  <si>
    <t>Core B Archaea</t>
    <phoneticPr fontId="12" type="noConversion"/>
  </si>
  <si>
    <t>Copy number of 16S rRNA gene/g</t>
    <phoneticPr fontId="12" type="noConversion"/>
  </si>
  <si>
    <t>Black triangle</t>
    <phoneticPr fontId="12" type="noConversion"/>
  </si>
  <si>
    <t>Gray triangle</t>
    <phoneticPr fontId="12" type="noConversion"/>
  </si>
  <si>
    <t>ARC 16S rRNA gene copies per cm3 Sediment</t>
  </si>
  <si>
    <t>BAC + ARC</t>
  </si>
  <si>
    <t>NTB (Total cell numbers per cm sediment</t>
  </si>
  <si>
    <t>Feb</t>
  </si>
  <si>
    <t>Mar</t>
  </si>
  <si>
    <t>Apr</t>
  </si>
  <si>
    <t>May</t>
  </si>
  <si>
    <t>Jun</t>
  </si>
  <si>
    <t>Jul</t>
  </si>
  <si>
    <t>Aug</t>
  </si>
  <si>
    <t>Sep</t>
  </si>
  <si>
    <t>Oct</t>
  </si>
  <si>
    <t>Nov</t>
  </si>
  <si>
    <t>Dec</t>
  </si>
  <si>
    <t>Jan</t>
  </si>
  <si>
    <t>gene copies</t>
    <phoneticPr fontId="12" type="noConversion"/>
  </si>
  <si>
    <t>cm3</t>
    <phoneticPr fontId="12" type="noConversion"/>
  </si>
  <si>
    <t>copiesmL</t>
    <phoneticPr fontId="12" type="noConversion"/>
  </si>
  <si>
    <t>cell number</t>
    <phoneticPr fontId="12" type="noConversion"/>
  </si>
  <si>
    <t>qPCR total</t>
    <phoneticPr fontId="12" type="noConversion"/>
  </si>
  <si>
    <t>Distance to cell count</t>
    <phoneticPr fontId="12" type="noConversion"/>
  </si>
  <si>
    <t>CARDFISH total</t>
    <phoneticPr fontId="12" type="noConversion"/>
  </si>
  <si>
    <t>Schippers 2005</t>
    <phoneticPr fontId="12" type="noConversion"/>
  </si>
  <si>
    <t>qPCR with universal primers per cc</t>
    <phoneticPr fontId="12" type="noConversion"/>
  </si>
  <si>
    <t>qPCRProkaryot</t>
    <phoneticPr fontId="12" type="noConversion"/>
  </si>
  <si>
    <t>qPCR Bacteria</t>
    <phoneticPr fontId="12" type="noConversion"/>
  </si>
  <si>
    <t>qPCR Archaea</t>
    <phoneticPr fontId="12" type="noConversion"/>
  </si>
  <si>
    <t>Total cells/cc</t>
    <phoneticPr fontId="12" type="noConversion"/>
  </si>
  <si>
    <t>Site</t>
    <phoneticPr fontId="12" type="noConversion"/>
  </si>
  <si>
    <t>These were all taken from cell counts sent by Kallmeyer and all others are sent by Schippers</t>
    <phoneticPr fontId="12" type="noConversion"/>
  </si>
  <si>
    <t>Danovaro 2009</t>
    <phoneticPr fontId="12" type="noConversion"/>
  </si>
  <si>
    <t>nd</t>
    <phoneticPr fontId="12" type="noConversion"/>
  </si>
  <si>
    <t>Circles</t>
    <phoneticPr fontId="12" type="noConversion"/>
  </si>
  <si>
    <t>Schippers 2005</t>
  </si>
  <si>
    <t>Table 1</t>
    <phoneticPr fontId="12" type="noConversion"/>
  </si>
  <si>
    <t>Archaea</t>
    <phoneticPr fontId="12" type="noConversion"/>
  </si>
  <si>
    <t>Total</t>
    <phoneticPr fontId="12" type="noConversion"/>
  </si>
  <si>
    <t xml:space="preserve">Depth (cm) </t>
    <phoneticPr fontId="12" type="noConversion"/>
  </si>
  <si>
    <t>Depth (mbsf)</t>
    <phoneticPr fontId="12" type="noConversion"/>
  </si>
  <si>
    <t>Site 1244</t>
    <phoneticPr fontId="12" type="noConversion"/>
  </si>
  <si>
    <t>My measurement</t>
    <phoneticPr fontId="12" type="noConversion"/>
  </si>
  <si>
    <t>Depth (cm)</t>
    <phoneticPr fontId="12" type="noConversion"/>
  </si>
  <si>
    <t>Core A Bacteria</t>
    <phoneticPr fontId="12" type="noConversion"/>
  </si>
  <si>
    <t>Core A Archaea</t>
    <phoneticPr fontId="12" type="noConversion"/>
  </si>
  <si>
    <t>Total (copies/g sediment)</t>
    <phoneticPr fontId="12" type="noConversion"/>
  </si>
  <si>
    <t>Bacteria</t>
    <phoneticPr fontId="12" type="noConversion"/>
  </si>
  <si>
    <t>Archaea</t>
    <phoneticPr fontId="12" type="noConversion"/>
  </si>
  <si>
    <t>Core C Archaea</t>
    <phoneticPr fontId="12" type="noConversion"/>
  </si>
  <si>
    <t>Total Archaea</t>
    <phoneticPr fontId="12" type="noConversion"/>
  </si>
  <si>
    <t>Site 1245</t>
    <phoneticPr fontId="12" type="noConversion"/>
  </si>
  <si>
    <t xml:space="preserve">Archaea </t>
    <phoneticPr fontId="12" type="noConversion"/>
  </si>
  <si>
    <t>Core C Bacteria (/g sediment)</t>
    <phoneticPr fontId="12" type="noConversion"/>
  </si>
  <si>
    <t>Bacteria</t>
  </si>
  <si>
    <t>Archaea</t>
  </si>
  <si>
    <t>Figure 3</t>
    <phoneticPr fontId="12" type="noConversion"/>
  </si>
  <si>
    <t>Total Bacterial 16S rRNA gene copies per subsample</t>
    <phoneticPr fontId="12" type="noConversion"/>
  </si>
  <si>
    <t>Depth (cmbsf)</t>
  </si>
  <si>
    <t>Circle</t>
    <phoneticPr fontId="12" type="noConversion"/>
  </si>
  <si>
    <t>DAPI cells (cells/cm3)</t>
    <phoneticPr fontId="12" type="noConversion"/>
  </si>
  <si>
    <t>EUB cells (cells/cm3)</t>
    <phoneticPr fontId="12" type="noConversion"/>
  </si>
  <si>
    <t xml:space="preserve">Explanation: All necessary spreadsheets of the meta data analysis of cell counts, qPCR, CARD-FISH, etc </t>
    <phoneticPr fontId="12" type="noConversion"/>
  </si>
  <si>
    <t>Wilms 2007</t>
    <phoneticPr fontId="12" type="noConversion"/>
  </si>
  <si>
    <t>Nazare canyon</t>
    <phoneticPr fontId="12" type="noConversion"/>
  </si>
  <si>
    <t>Bacteria (cm)</t>
    <phoneticPr fontId="12" type="noConversion"/>
  </si>
  <si>
    <t>Bacteria (cells/g sed)</t>
    <phoneticPr fontId="12" type="noConversion"/>
  </si>
  <si>
    <t>CARD-FISH</t>
    <phoneticPr fontId="12" type="noConversion"/>
  </si>
  <si>
    <t xml:space="preserve">Nunoura 2008 </t>
    <phoneticPr fontId="12" type="noConversion"/>
  </si>
  <si>
    <t>Circles</t>
  </si>
  <si>
    <t>Squares</t>
  </si>
  <si>
    <t>Total</t>
  </si>
  <si>
    <t>Squares</t>
    <phoneticPr fontId="12" type="noConversion"/>
  </si>
  <si>
    <t>Depth (mbsf)</t>
    <phoneticPr fontId="12" type="noConversion"/>
  </si>
  <si>
    <t>Crenarchaeota abundance (cells/g)</t>
    <phoneticPr fontId="12" type="noConversion"/>
  </si>
  <si>
    <t>clear triangle</t>
    <phoneticPr fontId="12" type="noConversion"/>
  </si>
  <si>
    <t>Cells/mL</t>
    <phoneticPr fontId="12" type="noConversion"/>
  </si>
  <si>
    <t>Cell counts(cell number/mL sediment)</t>
    <phoneticPr fontId="12" type="noConversion"/>
  </si>
  <si>
    <t>Paper</t>
  </si>
  <si>
    <t>Location/Core</t>
  </si>
  <si>
    <t>Closed triangle</t>
    <phoneticPr fontId="12" type="noConversion"/>
  </si>
  <si>
    <t>Lloyd et al. submitted</t>
  </si>
  <si>
    <t>Aarhus Bay M1</t>
  </si>
  <si>
    <t>Open circle</t>
    <phoneticPr fontId="12" type="noConversion"/>
  </si>
  <si>
    <t>Table 2</t>
    <phoneticPr fontId="12" type="noConversion"/>
  </si>
  <si>
    <t>CORE 1</t>
    <phoneticPr fontId="12" type="noConversion"/>
  </si>
  <si>
    <t>ARCHAEA</t>
    <phoneticPr fontId="12" type="noConversion"/>
  </si>
  <si>
    <t>%</t>
    <phoneticPr fontId="12" type="noConversion"/>
  </si>
  <si>
    <t>CARD FISH</t>
    <phoneticPr fontId="12" type="noConversion"/>
  </si>
  <si>
    <t>Closed Circles</t>
    <phoneticPr fontId="12" type="noConversion"/>
  </si>
  <si>
    <t>-</t>
    <phoneticPr fontId="12" type="noConversion"/>
  </si>
  <si>
    <t>Bacteria (% cells)</t>
    <phoneticPr fontId="12" type="noConversion"/>
  </si>
  <si>
    <t>Archaea (% cells)</t>
    <phoneticPr fontId="12" type="noConversion"/>
  </si>
  <si>
    <t>&lt;1</t>
    <phoneticPr fontId="12" type="noConversion"/>
  </si>
  <si>
    <t>&lt;0.5</t>
    <phoneticPr fontId="12" type="noConversion"/>
  </si>
  <si>
    <t>&lt;0.5</t>
    <phoneticPr fontId="12" type="noConversion"/>
  </si>
  <si>
    <t>&lt;1</t>
    <phoneticPr fontId="12" type="noConversion"/>
  </si>
  <si>
    <t>Depth (m)</t>
    <phoneticPr fontId="12" type="noConversion"/>
  </si>
  <si>
    <t>Cell counts (cells/cm3)</t>
    <phoneticPr fontId="12" type="noConversion"/>
  </si>
  <si>
    <t>Relative abundance of Archaea (% of prokaryotic rRNA)</t>
    <phoneticPr fontId="12" type="noConversion"/>
  </si>
  <si>
    <t>CARD-FISH BACTERIA (%)</t>
    <phoneticPr fontId="12" type="noConversion"/>
  </si>
  <si>
    <t>M1, #14</t>
    <phoneticPr fontId="12" type="noConversion"/>
  </si>
  <si>
    <t>10_24</t>
    <phoneticPr fontId="12" type="noConversion"/>
  </si>
  <si>
    <t>M1, #24</t>
    <phoneticPr fontId="12" type="noConversion"/>
  </si>
  <si>
    <t>10_B78</t>
    <phoneticPr fontId="12" type="noConversion"/>
  </si>
  <si>
    <t>M1, #B78</t>
    <phoneticPr fontId="12" type="noConversion"/>
  </si>
  <si>
    <t>Total Bacteria</t>
    <phoneticPr fontId="12" type="noConversion"/>
  </si>
  <si>
    <t>SGDC 1</t>
  </si>
  <si>
    <t>SGDC 2</t>
  </si>
  <si>
    <t>Sample ID</t>
    <phoneticPr fontId="12" type="noConversion"/>
  </si>
  <si>
    <t>Sample name</t>
    <phoneticPr fontId="12" type="noConversion"/>
  </si>
  <si>
    <t>Depth (cmbsf)</t>
    <phoneticPr fontId="12" type="noConversion"/>
  </si>
  <si>
    <t xml:space="preserve">A </t>
    <phoneticPr fontId="12" type="noConversion"/>
  </si>
  <si>
    <t>Prokaryotic RNA (ng/ cm3)</t>
    <phoneticPr fontId="12" type="noConversion"/>
  </si>
  <si>
    <t>Archaea (cm)</t>
    <phoneticPr fontId="12" type="noConversion"/>
  </si>
  <si>
    <t>Closed circle</t>
    <phoneticPr fontId="12" type="noConversion"/>
  </si>
  <si>
    <t>Orange= Acridine orange</t>
  </si>
  <si>
    <t xml:space="preserve">Bacteria </t>
    <phoneticPr fontId="12" type="noConversion"/>
  </si>
  <si>
    <t>Site 1227</t>
    <phoneticPr fontId="12" type="noConversion"/>
  </si>
  <si>
    <t>Svalbard</t>
  </si>
  <si>
    <t>Measurement (cm</t>
    <phoneticPr fontId="12" type="noConversion"/>
  </si>
  <si>
    <t>Prokaryotic (copies/ g sediment)</t>
    <phoneticPr fontId="12" type="noConversion"/>
  </si>
  <si>
    <t>Bacteria (copies/g sediment)</t>
    <phoneticPr fontId="12" type="noConversion"/>
  </si>
  <si>
    <t>Core A Bacteria (/g sediment)</t>
    <phoneticPr fontId="12" type="noConversion"/>
  </si>
  <si>
    <t>Core B Bacteria (/g sediment)</t>
    <phoneticPr fontId="12" type="noConversion"/>
  </si>
  <si>
    <t>Mean copy # cm-3</t>
    <phoneticPr fontId="12" type="noConversion"/>
  </si>
  <si>
    <t>Dark circles</t>
    <phoneticPr fontId="12" type="noConversion"/>
  </si>
  <si>
    <t>41 MUC</t>
  </si>
  <si>
    <t>139 MUC</t>
  </si>
  <si>
    <t>Copies/mL</t>
    <phoneticPr fontId="12" type="noConversion"/>
  </si>
  <si>
    <t>3 MUC</t>
  </si>
  <si>
    <t>Miscellaneous Crenarchaeotal Group (MCG)</t>
    <phoneticPr fontId="12" type="noConversion"/>
  </si>
  <si>
    <t>Sample Name</t>
    <phoneticPr fontId="12" type="noConversion"/>
  </si>
  <si>
    <t>Depth (cmbsf)</t>
    <phoneticPr fontId="12" type="noConversion"/>
  </si>
  <si>
    <t>Black Sea M72-5 site 20</t>
  </si>
  <si>
    <t>proportion Archaea of Total Prokaryotes (%)</t>
    <phoneticPr fontId="12" type="noConversion"/>
  </si>
  <si>
    <t>Depth (cmbsf)</t>
    <phoneticPr fontId="12" type="noConversion"/>
  </si>
  <si>
    <t>Mean copy # cm-3</t>
    <phoneticPr fontId="12" type="noConversion"/>
  </si>
  <si>
    <t>MCG 16S RNA gene copies per subsample</t>
    <phoneticPr fontId="12" type="noConversion"/>
  </si>
  <si>
    <t>Black Sea M72-5 site 6</t>
  </si>
  <si>
    <t>Depth (m)</t>
  </si>
  <si>
    <t xml:space="preserve">qPCR Bac (copies/g sed) </t>
  </si>
  <si>
    <t>qPCR Arc (copies/g sed)</t>
  </si>
  <si>
    <t>Sumatra Forearc Margin</t>
  </si>
  <si>
    <t>interior</t>
  </si>
  <si>
    <t>Acridine Orange counts (cm)</t>
    <phoneticPr fontId="12" type="noConversion"/>
  </si>
  <si>
    <t>Different measurement because they measured total/archaea</t>
    <phoneticPr fontId="12" type="noConversion"/>
  </si>
  <si>
    <t>Bacteria (copies/ g sediment)</t>
    <phoneticPr fontId="12" type="noConversion"/>
  </si>
  <si>
    <t>nd</t>
    <phoneticPr fontId="12" type="noConversion"/>
  </si>
  <si>
    <t>.</t>
  </si>
  <si>
    <t>Acridine Orange (cells/cm3)</t>
    <phoneticPr fontId="12" type="noConversion"/>
  </si>
  <si>
    <t>Inagaki 2006</t>
  </si>
  <si>
    <t>CalculatedDepth (cm)</t>
    <phoneticPr fontId="12" type="noConversion"/>
  </si>
  <si>
    <t>Archaeal</t>
    <phoneticPr fontId="12" type="noConversion"/>
  </si>
  <si>
    <t>qPCR MCG (copies/g sed)</t>
  </si>
  <si>
    <t>Sample name</t>
    <phoneticPr fontId="12" type="noConversion"/>
  </si>
  <si>
    <t>10_3-7</t>
    <phoneticPr fontId="12" type="noConversion"/>
  </si>
  <si>
    <t>Archaea (genes/g sediment)</t>
    <phoneticPr fontId="12" type="noConversion"/>
  </si>
  <si>
    <t>All Replicate Data</t>
    <phoneticPr fontId="12" type="noConversion"/>
  </si>
  <si>
    <t>Bacteria (genes/g sediment)</t>
    <phoneticPr fontId="12" type="noConversion"/>
  </si>
  <si>
    <t xml:space="preserve">cm </t>
    <phoneticPr fontId="12" type="noConversion"/>
  </si>
  <si>
    <t>Bacteria CARDFISH</t>
    <phoneticPr fontId="12" type="noConversion"/>
  </si>
  <si>
    <t>Archaea CARDFISH</t>
    <phoneticPr fontId="12" type="noConversion"/>
  </si>
  <si>
    <t>Storfjord</t>
    <phoneticPr fontId="12" type="noConversion"/>
  </si>
  <si>
    <t>Depth</t>
    <phoneticPr fontId="12" type="noConversion"/>
  </si>
  <si>
    <t>Calculated Depth (cm)</t>
    <phoneticPr fontId="12" type="noConversion"/>
  </si>
  <si>
    <t>My measurement</t>
    <phoneticPr fontId="12" type="noConversion"/>
  </si>
  <si>
    <t>Cell count</t>
    <phoneticPr fontId="12" type="noConversion"/>
  </si>
  <si>
    <t xml:space="preserve"> BACTERIA (cells/g sed)</t>
    <phoneticPr fontId="12" type="noConversion"/>
  </si>
  <si>
    <t>Wet weight</t>
    <phoneticPr fontId="12" type="noConversion"/>
  </si>
  <si>
    <t>Core C Bacteria</t>
    <phoneticPr fontId="12" type="noConversion"/>
  </si>
  <si>
    <t>Bac primers</t>
  </si>
  <si>
    <t>Arc primers</t>
  </si>
  <si>
    <t>Depth (m)</t>
    <phoneticPr fontId="12" type="noConversion"/>
  </si>
  <si>
    <t>Black circle</t>
    <phoneticPr fontId="12" type="noConversion"/>
  </si>
  <si>
    <t>Cascais Canyon</t>
    <phoneticPr fontId="12" type="noConversion"/>
  </si>
  <si>
    <t>Cells  (cells/g)</t>
    <phoneticPr fontId="12" type="noConversion"/>
  </si>
  <si>
    <t>Southern Portuguese Slope</t>
    <phoneticPr fontId="12" type="noConversion"/>
  </si>
  <si>
    <t>Total archaeal abundance (cells/g)</t>
    <phoneticPr fontId="12" type="noConversion"/>
  </si>
  <si>
    <t>Dark diamond</t>
    <phoneticPr fontId="12" type="noConversion"/>
  </si>
  <si>
    <t xml:space="preserve">Site 1230 </t>
    <phoneticPr fontId="12" type="noConversion"/>
  </si>
  <si>
    <t>Depth</t>
  </si>
  <si>
    <t>Figure 1</t>
    <phoneticPr fontId="12" type="noConversion"/>
  </si>
  <si>
    <t>Gray circle</t>
    <phoneticPr fontId="12" type="noConversion"/>
  </si>
  <si>
    <t>Cascadia Margin (ODP Leg 204)</t>
    <phoneticPr fontId="12" type="noConversion"/>
  </si>
  <si>
    <t>Site 1244+1245</t>
    <phoneticPr fontId="12" type="noConversion"/>
  </si>
  <si>
    <t>Site 1251</t>
    <phoneticPr fontId="12" type="noConversion"/>
  </si>
  <si>
    <t>Black Sea</t>
  </si>
  <si>
    <t>Hot pink=Needs to be linked to the original spreadsheet</t>
    <phoneticPr fontId="12" type="noConversion"/>
  </si>
  <si>
    <t>Only data from 1:10 dilutions of extracts included, due to overall slightly higher copy numbers compared to pure extracts.</t>
  </si>
  <si>
    <t>Sybr Green Counts (cm)</t>
    <phoneticPr fontId="12" type="noConversion"/>
  </si>
  <si>
    <t>Sybr Green (cells/cm3)</t>
    <phoneticPr fontId="12" type="noConversion"/>
  </si>
  <si>
    <t>Sybr green (cells/g sediment)</t>
    <phoneticPr fontId="12" type="noConversion"/>
  </si>
  <si>
    <t>Bacteria</t>
    <phoneticPr fontId="12" type="noConversion"/>
  </si>
  <si>
    <t>Archaea (copies/g sediment)</t>
    <phoneticPr fontId="12" type="noConversion"/>
  </si>
  <si>
    <t>Light green= Data came from extracted data</t>
    <phoneticPr fontId="12" type="noConversion"/>
  </si>
  <si>
    <t>10_3-7C</t>
  </si>
  <si>
    <t>10_8</t>
    <phoneticPr fontId="12" type="noConversion"/>
  </si>
  <si>
    <t>10_8A</t>
  </si>
  <si>
    <t>10_8B</t>
  </si>
  <si>
    <t>10_8C</t>
  </si>
  <si>
    <t>10_14</t>
    <phoneticPr fontId="12" type="noConversion"/>
  </si>
  <si>
    <t>10_14A</t>
  </si>
  <si>
    <t>Uni340F and Uni806R</t>
    <phoneticPr fontId="12" type="noConversion"/>
  </si>
  <si>
    <t>EXD= Extracted from figures</t>
    <phoneticPr fontId="12" type="noConversion"/>
  </si>
  <si>
    <t>Total Archaeal 16S rRNA gene copies per subsample</t>
    <phoneticPr fontId="12" type="noConversion"/>
  </si>
  <si>
    <t>stdev copy # cm-3</t>
    <phoneticPr fontId="12" type="noConversion"/>
  </si>
  <si>
    <t>stdev, proportion Bacteria of Total Prokaryotes (%)</t>
    <phoneticPr fontId="12" type="noConversion"/>
  </si>
  <si>
    <t>Depth (cm)</t>
    <phoneticPr fontId="12" type="noConversion"/>
  </si>
  <si>
    <t>Depth (mbsf)</t>
    <phoneticPr fontId="12" type="noConversion"/>
  </si>
  <si>
    <t>Core A Archaea (/g sediment)</t>
    <phoneticPr fontId="12" type="noConversion"/>
  </si>
  <si>
    <t>Nunoura 2006</t>
    <phoneticPr fontId="12" type="noConversion"/>
  </si>
  <si>
    <t>Figure 4</t>
    <phoneticPr fontId="12" type="noConversion"/>
  </si>
  <si>
    <t>Dark circle</t>
    <phoneticPr fontId="12" type="noConversion"/>
  </si>
  <si>
    <t>Archaea (cm)</t>
    <phoneticPr fontId="12" type="noConversion"/>
  </si>
  <si>
    <t>Open circle</t>
    <phoneticPr fontId="12" type="noConversion"/>
  </si>
  <si>
    <t>Depth (estimated from graph)</t>
    <phoneticPr fontId="12" type="noConversion"/>
  </si>
  <si>
    <t>Cell count</t>
    <phoneticPr fontId="12" type="noConversion"/>
  </si>
  <si>
    <t>Core B Archaea (/g sediment)</t>
    <phoneticPr fontId="12" type="noConversion"/>
  </si>
  <si>
    <t>FISH</t>
  </si>
  <si>
    <t>Site</t>
  </si>
  <si>
    <t>Proportion (%) Archaea of Total Prokaryotes</t>
    <phoneticPr fontId="12" type="noConversion"/>
  </si>
  <si>
    <t>Bacteria (copies/g sed)</t>
    <phoneticPr fontId="12" type="noConversion"/>
  </si>
  <si>
    <t>rRNA (ng RNA/ g sed)</t>
    <phoneticPr fontId="12" type="noConversion"/>
  </si>
  <si>
    <t>open square</t>
    <phoneticPr fontId="12" type="noConversion"/>
  </si>
  <si>
    <t>0.06-0.07</t>
    <phoneticPr fontId="12" type="noConversion"/>
  </si>
  <si>
    <t>0.08-0.09</t>
    <phoneticPr fontId="12" type="noConversion"/>
  </si>
  <si>
    <t>Smeerenburgfjorden</t>
  </si>
  <si>
    <t>10_14</t>
    <phoneticPr fontId="12" type="noConversion"/>
  </si>
  <si>
    <t>Light blue= Data came From Author's Personal Data Files</t>
    <phoneticPr fontId="12" type="noConversion"/>
  </si>
  <si>
    <t>Peru Margin</t>
  </si>
  <si>
    <t>Source of Data</t>
  </si>
  <si>
    <t>RD= Raw Data</t>
    <phoneticPr fontId="12" type="noConversion"/>
  </si>
  <si>
    <t xml:space="preserve">Key: Cell colors </t>
    <phoneticPr fontId="12" type="noConversion"/>
  </si>
  <si>
    <t>Tab Abbreviations</t>
    <phoneticPr fontId="12" type="noConversion"/>
  </si>
  <si>
    <t>proportion Bacteria of Total Prokaryotes</t>
    <phoneticPr fontId="12" type="noConversion"/>
  </si>
  <si>
    <t>Bacteria (cm)</t>
    <phoneticPr fontId="12" type="noConversion"/>
  </si>
  <si>
    <t>915-1059</t>
  </si>
  <si>
    <t>806-915</t>
  </si>
  <si>
    <t>Kubo et al. 2012</t>
  </si>
  <si>
    <t>BacNad</t>
  </si>
  <si>
    <t>Depth (cm)</t>
  </si>
  <si>
    <t>CARD-FISH</t>
    <phoneticPr fontId="12" type="noConversion"/>
  </si>
  <si>
    <t>M1, #14</t>
    <phoneticPr fontId="12" type="noConversion"/>
  </si>
  <si>
    <t>10_24</t>
    <phoneticPr fontId="12" type="noConversion"/>
  </si>
  <si>
    <t>Core B Archaea (copies/g sediment)</t>
    <phoneticPr fontId="12" type="noConversion"/>
  </si>
  <si>
    <t>M1, #B78</t>
    <phoneticPr fontId="12" type="noConversion"/>
  </si>
  <si>
    <t>10_3-7</t>
    <phoneticPr fontId="12" type="noConversion"/>
  </si>
  <si>
    <t>10_3-7B</t>
  </si>
  <si>
    <t>10_14</t>
    <phoneticPr fontId="12" type="noConversion"/>
  </si>
  <si>
    <t>10_14B</t>
  </si>
  <si>
    <t>10_14C</t>
  </si>
  <si>
    <t>10_24</t>
    <phoneticPr fontId="12" type="noConversion"/>
  </si>
  <si>
    <t>10_8</t>
    <phoneticPr fontId="12" type="noConversion"/>
  </si>
  <si>
    <t>M1, #8</t>
    <phoneticPr fontId="12" type="noConversion"/>
  </si>
  <si>
    <t>10_14</t>
    <phoneticPr fontId="12" type="noConversion"/>
  </si>
  <si>
    <t>Proportion (%) MCG of Total Prokaryotes</t>
    <phoneticPr fontId="12" type="noConversion"/>
  </si>
  <si>
    <t>Prokaryotic (cm)</t>
    <phoneticPr fontId="12" type="noConversion"/>
  </si>
  <si>
    <t>Core A Bacteria (copies/g sediment)</t>
    <phoneticPr fontId="12" type="noConversion"/>
  </si>
  <si>
    <t>Depth (cmbsf)</t>
    <phoneticPr fontId="12" type="noConversion"/>
  </si>
  <si>
    <t>Core B Bacteria (copies/g sediment)</t>
    <phoneticPr fontId="12" type="noConversion"/>
  </si>
  <si>
    <t>Core C Archaea (copies/ g sediment)</t>
    <phoneticPr fontId="12" type="noConversion"/>
  </si>
  <si>
    <t>Core C Archaea (/g sediment)</t>
    <phoneticPr fontId="12" type="noConversion"/>
  </si>
  <si>
    <t>Green= SybrGreen1</t>
  </si>
  <si>
    <t>Pink= DAPI</t>
  </si>
  <si>
    <t>Copies/ g sediment</t>
    <phoneticPr fontId="12" type="noConversion"/>
  </si>
  <si>
    <t>Janssand</t>
  </si>
  <si>
    <t>Depth(m)</t>
    <phoneticPr fontId="12" type="noConversion"/>
  </si>
  <si>
    <t>10e9 /mL</t>
    <phoneticPr fontId="12" type="noConversion"/>
  </si>
  <si>
    <t>%</t>
    <phoneticPr fontId="12" type="noConversion"/>
  </si>
  <si>
    <t>ARC</t>
    <phoneticPr fontId="12" type="noConversion"/>
  </si>
  <si>
    <t>CARD_FISH</t>
    <phoneticPr fontId="12" type="noConversion"/>
  </si>
  <si>
    <t>EUB</t>
    <phoneticPr fontId="12" type="noConversion"/>
  </si>
  <si>
    <t xml:space="preserve">Bacterial </t>
    <phoneticPr fontId="12" type="noConversion"/>
  </si>
  <si>
    <t>stdev, proportion (%) MCG of Total Archaea</t>
    <phoneticPr fontId="12" type="noConversion"/>
  </si>
  <si>
    <t>Sample ID</t>
    <phoneticPr fontId="12" type="noConversion"/>
  </si>
  <si>
    <t>CARD-FISH %</t>
    <phoneticPr fontId="12" type="noConversion"/>
  </si>
  <si>
    <t>Mixed Depth</t>
    <phoneticPr fontId="12" type="noConversion"/>
  </si>
  <si>
    <t>DAPI (cells/g)</t>
    <phoneticPr fontId="12" type="noConversion"/>
  </si>
  <si>
    <t>EUBI-III</t>
    <phoneticPr fontId="12" type="noConversion"/>
  </si>
  <si>
    <t>Bacteria CARD-FISH</t>
    <phoneticPr fontId="12" type="noConversion"/>
  </si>
  <si>
    <t>cells/g</t>
    <phoneticPr fontId="12" type="noConversion"/>
  </si>
  <si>
    <t>Mauclaire 2006</t>
    <phoneticPr fontId="12" type="noConversion"/>
  </si>
  <si>
    <t>Open circle</t>
    <phoneticPr fontId="12" type="noConversion"/>
  </si>
  <si>
    <t xml:space="preserve">Closed circle </t>
    <phoneticPr fontId="12" type="noConversion"/>
  </si>
  <si>
    <t>Archaea</t>
    <phoneticPr fontId="12" type="noConversion"/>
  </si>
  <si>
    <t>FISH</t>
    <phoneticPr fontId="12" type="noConversion"/>
  </si>
  <si>
    <t>Open circles</t>
    <phoneticPr fontId="12" type="noConversion"/>
  </si>
  <si>
    <t>Bacteria (cells/cm3)</t>
    <phoneticPr fontId="12" type="noConversion"/>
  </si>
  <si>
    <t>Depth (mbsf)</t>
  </si>
  <si>
    <t>Archaea (cells/cm3)</t>
    <phoneticPr fontId="12" type="noConversion"/>
  </si>
  <si>
    <t>Proportion (%) MCG of Archaea</t>
    <phoneticPr fontId="12" type="noConversion"/>
  </si>
  <si>
    <t>Eucarya</t>
    <phoneticPr fontId="12" type="noConversion"/>
  </si>
  <si>
    <t xml:space="preserve">Depth </t>
  </si>
  <si>
    <t>Nunoura 2009</t>
    <phoneticPr fontId="12" type="noConversion"/>
  </si>
  <si>
    <t>U1320A</t>
    <phoneticPr fontId="12" type="noConversion"/>
  </si>
  <si>
    <t>U1319A</t>
    <phoneticPr fontId="12" type="noConversion"/>
  </si>
  <si>
    <t>Mean copy # cm-3</t>
    <phoneticPr fontId="12" type="noConversion"/>
  </si>
  <si>
    <t>SGDC 3</t>
  </si>
  <si>
    <t>cbbL</t>
  </si>
  <si>
    <t>propagated stdev copy # cm-3</t>
    <phoneticPr fontId="12" type="noConversion"/>
  </si>
  <si>
    <t>10_3-7</t>
    <phoneticPr fontId="12" type="noConversion"/>
  </si>
  <si>
    <t>M1, 3-7cmbsf</t>
    <phoneticPr fontId="12" type="noConversion"/>
  </si>
  <si>
    <t>stdev, proportion MCG of Total Archaea</t>
  </si>
  <si>
    <t>Depth (mbsf)</t>
    <phoneticPr fontId="12" type="noConversion"/>
  </si>
  <si>
    <t xml:space="preserve">nd </t>
    <phoneticPr fontId="12" type="noConversion"/>
  </si>
  <si>
    <t>Site 1251</t>
    <phoneticPr fontId="12" type="noConversion"/>
  </si>
  <si>
    <t>Peru Margin (ODP Leg 1)</t>
    <phoneticPr fontId="12" type="noConversion"/>
  </si>
  <si>
    <t>stdev copy # cm-3</t>
    <phoneticPr fontId="12" type="noConversion"/>
  </si>
  <si>
    <t>Sample ID</t>
    <phoneticPr fontId="12" type="noConversion"/>
  </si>
  <si>
    <t>ID of replicate within each sample</t>
    <phoneticPr fontId="12" type="noConversion"/>
  </si>
  <si>
    <t>Archaea (copies/g sediment)</t>
    <phoneticPr fontId="12" type="noConversion"/>
  </si>
  <si>
    <t>proportion MCG of Total Archaea (%)</t>
  </si>
  <si>
    <t>M1, #14</t>
    <phoneticPr fontId="12" type="noConversion"/>
  </si>
  <si>
    <t>10_24</t>
    <phoneticPr fontId="12" type="noConversion"/>
  </si>
  <si>
    <t>M1, #24</t>
    <phoneticPr fontId="12" type="noConversion"/>
  </si>
  <si>
    <t>Core A Archaea (copies/g sediment)</t>
    <phoneticPr fontId="12" type="noConversion"/>
  </si>
  <si>
    <t>19-2</t>
  </si>
  <si>
    <t>Orange= Data included in the papers but that we don't have access to</t>
    <phoneticPr fontId="12" type="noConversion"/>
  </si>
  <si>
    <t>M1, #8</t>
    <phoneticPr fontId="12" type="noConversion"/>
  </si>
  <si>
    <t>proportion MCG of Total Prokaryotes (%)</t>
    <phoneticPr fontId="12" type="noConversion"/>
  </si>
  <si>
    <t>Rubisco</t>
  </si>
  <si>
    <t xml:space="preserve">Total Prokaryote cells (cells/g) </t>
    <phoneticPr fontId="12" type="noConversion"/>
  </si>
  <si>
    <t>CARD-FISH (%)</t>
    <phoneticPr fontId="12" type="noConversion"/>
  </si>
  <si>
    <t>Open squares</t>
    <phoneticPr fontId="12" type="noConversion"/>
  </si>
  <si>
    <t>EUB (cm)</t>
    <phoneticPr fontId="12" type="noConversion"/>
  </si>
  <si>
    <t>cells (cm)</t>
    <phoneticPr fontId="12" type="noConversion"/>
  </si>
  <si>
    <t>Ravenschlag 2001</t>
    <phoneticPr fontId="12" type="noConversion"/>
  </si>
  <si>
    <t>Core A</t>
    <phoneticPr fontId="12" type="noConversion"/>
  </si>
  <si>
    <t>Absolute Prokaryotic Cell numbers (cells/mL)</t>
    <phoneticPr fontId="12" type="noConversion"/>
  </si>
  <si>
    <t>SLOTBLOT (ng RNA/mL)</t>
    <phoneticPr fontId="12" type="noConversion"/>
  </si>
  <si>
    <t>Core B</t>
    <phoneticPr fontId="12" type="noConversion"/>
  </si>
  <si>
    <t>Bacteria</t>
    <phoneticPr fontId="12" type="noConversion"/>
  </si>
  <si>
    <t>SRB (cm)</t>
    <phoneticPr fontId="12" type="noConversion"/>
  </si>
  <si>
    <t>Depth (cmbsf)</t>
    <phoneticPr fontId="12" type="noConversion"/>
  </si>
  <si>
    <t>Depth (mbsf)</t>
    <phoneticPr fontId="12" type="noConversion"/>
  </si>
  <si>
    <t>10_B78</t>
    <phoneticPr fontId="12" type="noConversion"/>
  </si>
  <si>
    <t>M1, #B78</t>
    <phoneticPr fontId="12" type="noConversion"/>
  </si>
  <si>
    <t>Total Prokaryotes</t>
    <phoneticPr fontId="12" type="noConversion"/>
  </si>
  <si>
    <t>140KL</t>
    <phoneticPr fontId="12" type="noConversion"/>
  </si>
  <si>
    <t>42 SL</t>
  </si>
  <si>
    <t>42 SL</t>
    <phoneticPr fontId="12" type="noConversion"/>
  </si>
  <si>
    <t>Station 105-1</t>
    <phoneticPr fontId="12" type="noConversion"/>
  </si>
  <si>
    <t>Total Cells</t>
    <phoneticPr fontId="12" type="noConversion"/>
  </si>
  <si>
    <t>Sampling 2000</t>
    <phoneticPr fontId="12" type="noConversion"/>
  </si>
  <si>
    <t>Station 185-1</t>
    <phoneticPr fontId="12" type="noConversion"/>
  </si>
  <si>
    <t>Total cells (/cm3)</t>
    <phoneticPr fontId="12" type="noConversion"/>
  </si>
  <si>
    <t xml:space="preserve">Reference </t>
    <phoneticPr fontId="12" type="noConversion"/>
  </si>
  <si>
    <t>Station 139</t>
    <phoneticPr fontId="12" type="noConversion"/>
  </si>
  <si>
    <t>Total Cells</t>
    <phoneticPr fontId="12" type="noConversion"/>
  </si>
  <si>
    <t>Station 51-5</t>
    <phoneticPr fontId="12" type="noConversion"/>
  </si>
  <si>
    <t>Total Cells</t>
    <phoneticPr fontId="12" type="noConversion"/>
  </si>
  <si>
    <t>n.d.</t>
  </si>
  <si>
    <t>Table 2</t>
    <phoneticPr fontId="12" type="noConversion"/>
  </si>
  <si>
    <t>Nunoura 20009</t>
    <phoneticPr fontId="12" type="noConversion"/>
  </si>
  <si>
    <t>Figure 2</t>
    <phoneticPr fontId="12" type="noConversion"/>
  </si>
  <si>
    <t>Total cells</t>
    <phoneticPr fontId="12" type="noConversion"/>
  </si>
  <si>
    <t>nd</t>
    <phoneticPr fontId="12" type="noConversion"/>
  </si>
  <si>
    <t xml:space="preserve">Total cells (cells/g) </t>
    <phoneticPr fontId="12" type="noConversion"/>
  </si>
  <si>
    <t xml:space="preserve">Calyptogena field </t>
    <phoneticPr fontId="12" type="noConversion"/>
  </si>
  <si>
    <t>Station 38-1</t>
    <phoneticPr fontId="12" type="noConversion"/>
  </si>
  <si>
    <t xml:space="preserve">Site + Dive </t>
    <phoneticPr fontId="12" type="noConversion"/>
  </si>
  <si>
    <t>cells/ml</t>
    <phoneticPr fontId="12" type="noConversion"/>
  </si>
  <si>
    <t>cells/ml</t>
    <phoneticPr fontId="12" type="noConversion"/>
  </si>
  <si>
    <t>Total cells (cells/cc)</t>
    <phoneticPr fontId="12" type="noConversion"/>
  </si>
  <si>
    <t>Orcutt 2005</t>
  </si>
  <si>
    <t>This represents what form the cell counts are in</t>
    <phoneticPr fontId="12" type="noConversion"/>
  </si>
  <si>
    <t xml:space="preserve">Key:Text Colors </t>
    <phoneticPr fontId="12" type="noConversion"/>
  </si>
  <si>
    <t>Archaea  (copies/g sediment)</t>
    <phoneticPr fontId="12" type="noConversion"/>
  </si>
  <si>
    <t>Core B Bacteria</t>
    <phoneticPr fontId="12" type="noConversion"/>
  </si>
  <si>
    <t>cmbsf</t>
    <phoneticPr fontId="12" type="noConversion"/>
  </si>
  <si>
    <t>Dive 4458</t>
    <phoneticPr fontId="12" type="noConversion"/>
  </si>
  <si>
    <t>Dive 4459</t>
    <phoneticPr fontId="12" type="noConversion"/>
  </si>
  <si>
    <t>Core C Bacteria (copies/g sediment)</t>
    <phoneticPr fontId="12" type="noConversion"/>
  </si>
  <si>
    <t>measurement</t>
    <phoneticPr fontId="12" type="noConversion"/>
  </si>
  <si>
    <t>Cell counts</t>
    <phoneticPr fontId="12" type="noConversion"/>
  </si>
  <si>
    <t>Cells/cm3</t>
    <phoneticPr fontId="12" type="noConversion"/>
  </si>
  <si>
    <t>Cells/g</t>
    <phoneticPr fontId="12" type="noConversion"/>
  </si>
  <si>
    <t>DAPI</t>
    <phoneticPr fontId="12" type="noConversion"/>
  </si>
  <si>
    <t>Precipitate</t>
    <phoneticPr fontId="12" type="noConversion"/>
  </si>
  <si>
    <t>Depth (cm)</t>
    <phoneticPr fontId="12" type="noConversion"/>
  </si>
  <si>
    <t>2.2 m from vent</t>
    <phoneticPr fontId="12" type="noConversion"/>
  </si>
  <si>
    <t xml:space="preserve">4 m from vent </t>
    <phoneticPr fontId="12" type="noConversion"/>
  </si>
  <si>
    <t>&lt;1</t>
    <phoneticPr fontId="12" type="noConversion"/>
  </si>
  <si>
    <t>NA</t>
    <phoneticPr fontId="12" type="noConversion"/>
  </si>
  <si>
    <t>&lt;2</t>
    <phoneticPr fontId="12" type="noConversion"/>
  </si>
  <si>
    <t>no</t>
    <phoneticPr fontId="12" type="noConversion"/>
  </si>
  <si>
    <t>Depth (m)</t>
    <phoneticPr fontId="12" type="noConversion"/>
  </si>
  <si>
    <t>Black Sea M72-5 site 22</t>
  </si>
  <si>
    <t>10_8</t>
    <phoneticPr fontId="12" type="noConversion"/>
  </si>
  <si>
    <t>M1, #8</t>
    <phoneticPr fontId="12" type="noConversion"/>
  </si>
  <si>
    <t>10_14</t>
    <phoneticPr fontId="12" type="noConversion"/>
  </si>
  <si>
    <t>Red=AODM</t>
  </si>
  <si>
    <t>Blue=SGDC 1</t>
  </si>
  <si>
    <t>Purple= SGDC 2</t>
  </si>
  <si>
    <t>Cells/g sediment</t>
    <phoneticPr fontId="12" type="noConversion"/>
  </si>
  <si>
    <t xml:space="preserve">Center of vent </t>
    <phoneticPr fontId="12" type="noConversion"/>
  </si>
  <si>
    <t>1.2 m from vent</t>
    <phoneticPr fontId="12" type="noConversion"/>
  </si>
  <si>
    <t>Bacteria</t>
    <phoneticPr fontId="12" type="noConversion"/>
  </si>
  <si>
    <t>Bacteria</t>
    <phoneticPr fontId="12" type="noConversion"/>
  </si>
  <si>
    <t>Archaea</t>
    <phoneticPr fontId="12" type="noConversion"/>
  </si>
  <si>
    <t>Purple=Cell counts from Kallmeyer</t>
    <phoneticPr fontId="12" type="noConversion"/>
  </si>
  <si>
    <t>CORE 1</t>
    <phoneticPr fontId="12" type="noConversion"/>
  </si>
  <si>
    <t>Core 2</t>
    <phoneticPr fontId="12" type="noConversion"/>
  </si>
  <si>
    <t>SLOT BLOT ARCHAEA</t>
    <phoneticPr fontId="12" type="noConversion"/>
  </si>
  <si>
    <t>SLOT BLOT ARCHEA (ng/mL)</t>
    <phoneticPr fontId="12" type="noConversion"/>
  </si>
  <si>
    <t>Bacteria (%)</t>
    <phoneticPr fontId="12" type="noConversion"/>
  </si>
  <si>
    <t xml:space="preserve">Active Vent, Fryer Site, hydrothermal mound </t>
    <phoneticPr fontId="12" type="noConversion"/>
  </si>
  <si>
    <t>Figure 4</t>
    <phoneticPr fontId="12" type="noConversion"/>
  </si>
  <si>
    <t>none</t>
    <phoneticPr fontId="12" type="noConversion"/>
  </si>
  <si>
    <t>Bacteria (cm)</t>
    <phoneticPr fontId="12" type="noConversion"/>
  </si>
  <si>
    <t>Total cells (/cm3)</t>
    <phoneticPr fontId="12" type="noConversion"/>
  </si>
  <si>
    <t>Total cells (cells/g)</t>
    <phoneticPr fontId="12" type="noConversion"/>
  </si>
  <si>
    <t>Reference</t>
    <phoneticPr fontId="12" type="noConversion"/>
  </si>
  <si>
    <t>Inactive vent, Pika site, low temperature chimney</t>
    <phoneticPr fontId="12" type="noConversion"/>
  </si>
  <si>
    <t>Table 1</t>
    <phoneticPr fontId="12" type="noConversion"/>
  </si>
  <si>
    <t>mbsf</t>
    <phoneticPr fontId="12" type="noConversion"/>
  </si>
  <si>
    <t>10e9 /mL</t>
    <phoneticPr fontId="12" type="noConversion"/>
  </si>
  <si>
    <t>Cells</t>
    <phoneticPr fontId="12" type="noConversion"/>
  </si>
  <si>
    <t>Table 3</t>
    <phoneticPr fontId="12" type="noConversion"/>
  </si>
  <si>
    <t>Botcher 1999</t>
    <phoneticPr fontId="12" type="noConversion"/>
  </si>
  <si>
    <t>Beggiatoa mat Station 105-1</t>
    <phoneticPr fontId="12" type="noConversion"/>
  </si>
  <si>
    <t>mat</t>
  </si>
  <si>
    <t>CARDFISH Arc per cc</t>
    <phoneticPr fontId="12" type="noConversion"/>
  </si>
  <si>
    <t>CARDFISH Bac per cc</t>
    <phoneticPr fontId="12" type="noConversion"/>
  </si>
  <si>
    <t>qPCR Bac per cc</t>
    <phoneticPr fontId="12" type="noConversion"/>
  </si>
  <si>
    <t>qPCR Arc per cc</t>
    <phoneticPr fontId="12" type="noConversion"/>
  </si>
  <si>
    <t>qPCR Total per cc</t>
    <phoneticPr fontId="12" type="noConversion"/>
  </si>
  <si>
    <t>Depth (m)</t>
    <phoneticPr fontId="12" type="noConversion"/>
  </si>
  <si>
    <t>Archaea cells/cc</t>
    <phoneticPr fontId="12" type="noConversion"/>
  </si>
  <si>
    <t>Eukaryotes cells/cc</t>
    <phoneticPr fontId="12" type="noConversion"/>
  </si>
  <si>
    <t>Geobacteraceae cells/cc</t>
    <phoneticPr fontId="12" type="noConversion"/>
  </si>
  <si>
    <t>Prokaryotic qPCR (copies/cc)</t>
    <phoneticPr fontId="12" type="noConversion"/>
  </si>
  <si>
    <t>Hole 1322B</t>
    <phoneticPr fontId="12" type="noConversion"/>
  </si>
  <si>
    <t>1322B</t>
  </si>
  <si>
    <t>Hole 1324B</t>
    <phoneticPr fontId="12" type="noConversion"/>
  </si>
  <si>
    <t>Total Prokaryotic 16S rRNA gene copies per subsample</t>
    <phoneticPr fontId="12" type="noConversion"/>
  </si>
  <si>
    <t xml:space="preserve">Cover Sheet </t>
    <phoneticPr fontId="12" type="noConversion"/>
  </si>
  <si>
    <t xml:space="preserve">Copy number/ g </t>
    <phoneticPr fontId="12" type="noConversion"/>
  </si>
  <si>
    <t>10_B78</t>
    <phoneticPr fontId="12" type="noConversion"/>
  </si>
  <si>
    <t>10_B78A</t>
  </si>
  <si>
    <t>10_B78B</t>
  </si>
  <si>
    <t>1324B</t>
  </si>
  <si>
    <t>10_B78C</t>
  </si>
  <si>
    <t xml:space="preserve">Depth (mbsf) </t>
    <phoneticPr fontId="12" type="noConversion"/>
  </si>
  <si>
    <t>M1, 3-7cmbsf</t>
    <phoneticPr fontId="12" type="noConversion"/>
  </si>
  <si>
    <t>10_3-7A</t>
  </si>
  <si>
    <t>Proportion (%) Bacteria of Total Prokaryotes</t>
    <phoneticPr fontId="12" type="noConversion"/>
  </si>
  <si>
    <t>10_24A</t>
  </si>
  <si>
    <t>10_24B</t>
  </si>
  <si>
    <t>10_24C</t>
  </si>
  <si>
    <t xml:space="preserve">Inactive vent, Y site, inactive dead chimney </t>
    <phoneticPr fontId="12" type="noConversion"/>
  </si>
  <si>
    <t>GC232 (hydrate)</t>
    <phoneticPr fontId="12" type="noConversion"/>
  </si>
  <si>
    <t>Station 185-1</t>
    <phoneticPr fontId="12" type="noConversion"/>
  </si>
  <si>
    <t>Bacterial</t>
    <phoneticPr fontId="12" type="noConversion"/>
  </si>
  <si>
    <t>Reference Station 139</t>
    <phoneticPr fontId="12" type="noConversion"/>
  </si>
  <si>
    <t>Bacteria %</t>
  </si>
  <si>
    <t>Archaea %</t>
  </si>
  <si>
    <t>Figure 5</t>
    <phoneticPr fontId="12" type="noConversion"/>
  </si>
  <si>
    <t>Figure 5a</t>
    <phoneticPr fontId="12" type="noConversion"/>
  </si>
  <si>
    <t>*</t>
  </si>
  <si>
    <t>Black=Where Did these numbers come from?</t>
  </si>
  <si>
    <t>Yellow= Data came directly from paper</t>
    <phoneticPr fontId="12" type="noConversion"/>
  </si>
  <si>
    <t>stdev, proportion Archaea of Total Prokaryotes (%)</t>
    <phoneticPr fontId="12" type="noConversion"/>
  </si>
  <si>
    <t>10_3-7</t>
    <phoneticPr fontId="12" type="noConversion"/>
  </si>
  <si>
    <t>M1, 3-7cmbsf</t>
    <phoneticPr fontId="12" type="noConversion"/>
  </si>
  <si>
    <t>10_8</t>
    <phoneticPr fontId="12" type="noConversion"/>
  </si>
  <si>
    <t>%</t>
    <phoneticPr fontId="12" type="noConversion"/>
  </si>
  <si>
    <t>Cells/g</t>
    <phoneticPr fontId="12" type="noConversion"/>
  </si>
  <si>
    <t>EUB338</t>
    <phoneticPr fontId="12" type="noConversion"/>
  </si>
  <si>
    <t xml:space="preserve">Manini 2008 </t>
    <phoneticPr fontId="12" type="noConversion"/>
  </si>
  <si>
    <t xml:space="preserve">Figure 1 and 4 </t>
    <phoneticPr fontId="12" type="noConversion"/>
  </si>
  <si>
    <t>Total Prokaryotes</t>
    <phoneticPr fontId="12" type="noConversion"/>
  </si>
  <si>
    <t>Archaea (ng/g sediment)</t>
    <phoneticPr fontId="12" type="noConversion"/>
  </si>
  <si>
    <t>Figure 7</t>
    <phoneticPr fontId="12" type="noConversion"/>
  </si>
  <si>
    <t>CARD-FISH</t>
    <phoneticPr fontId="12" type="noConversion"/>
  </si>
  <si>
    <t>Bacteria</t>
    <phoneticPr fontId="12" type="noConversion"/>
  </si>
  <si>
    <t>CARD-FISH</t>
    <phoneticPr fontId="12" type="noConversion"/>
  </si>
  <si>
    <t>Calyptogena</t>
  </si>
  <si>
    <t>105-1</t>
  </si>
  <si>
    <t>&lt;1</t>
  </si>
  <si>
    <t>&lt;0.5</t>
  </si>
  <si>
    <t>Bacteria (cells/g)</t>
    <phoneticPr fontId="12" type="noConversion"/>
  </si>
  <si>
    <t>Archaea (%)</t>
    <phoneticPr fontId="12" type="noConversion"/>
  </si>
  <si>
    <t>Archaea (cells/g)</t>
    <phoneticPr fontId="12" type="noConversion"/>
  </si>
  <si>
    <t>Depth (cm)</t>
    <phoneticPr fontId="12" type="noConversion"/>
  </si>
  <si>
    <t>Depth (m)</t>
    <phoneticPr fontId="12" type="noConversion"/>
  </si>
  <si>
    <t>Total cells</t>
    <phoneticPr fontId="12" type="noConversion"/>
  </si>
  <si>
    <t>Calyptogena field</t>
    <phoneticPr fontId="12" type="noConversion"/>
  </si>
  <si>
    <t>Data sent by Axel Schippers via email</t>
    <phoneticPr fontId="12" type="noConversion"/>
  </si>
  <si>
    <t>Cell/mL</t>
    <phoneticPr fontId="12" type="noConversion"/>
  </si>
  <si>
    <t>Sybr Green direct count 1</t>
    <phoneticPr fontId="12" type="noConversion"/>
  </si>
  <si>
    <t>Schippers 2010</t>
  </si>
  <si>
    <t>Schippers 2010</t>
    <phoneticPr fontId="12" type="noConversion"/>
  </si>
  <si>
    <t>Beggiatoa mat</t>
    <phoneticPr fontId="12" type="noConversion"/>
  </si>
  <si>
    <t>Station 19-2</t>
    <phoneticPr fontId="12" type="noConversion"/>
  </si>
  <si>
    <t>Depth (m)</t>
    <phoneticPr fontId="12" type="noConversion"/>
  </si>
  <si>
    <t>Density was estimated to be 2.5(.20)+1(.80) since dry sediments are about 2.5 g/cc and water, which is assumed to be 80% is 1</t>
    <phoneticPr fontId="12" type="noConversion"/>
  </si>
  <si>
    <t>Archaeal qPCR (copies/cc)</t>
    <phoneticPr fontId="12" type="noConversion"/>
  </si>
  <si>
    <t xml:space="preserve">GC233 (brine pool) </t>
    <phoneticPr fontId="12" type="noConversion"/>
  </si>
  <si>
    <t>Namibia 3</t>
    <phoneticPr fontId="12" type="noConversion"/>
  </si>
  <si>
    <t>Namibia 10</t>
  </si>
  <si>
    <t>Namibia 10</t>
    <phoneticPr fontId="12" type="noConversion"/>
  </si>
  <si>
    <t>Namibia 8</t>
  </si>
  <si>
    <t>Namibia 8</t>
    <phoneticPr fontId="12" type="noConversion"/>
  </si>
  <si>
    <t>CARDFISH Bacteria</t>
    <phoneticPr fontId="12" type="noConversion"/>
  </si>
  <si>
    <t>CARDFISH Archaea</t>
    <phoneticPr fontId="12" type="noConversion"/>
  </si>
  <si>
    <t>qPCR Bacteria (copies/mL sediment)</t>
    <phoneticPr fontId="12" type="noConversion"/>
  </si>
  <si>
    <t>qPCR Archaea</t>
    <phoneticPr fontId="12" type="noConversion"/>
  </si>
  <si>
    <t>qPCR Eukarya</t>
    <phoneticPr fontId="12" type="noConversion"/>
  </si>
  <si>
    <t>Water Depth (cm)</t>
    <phoneticPr fontId="12" type="noConversion"/>
  </si>
  <si>
    <t>Water Depth (m)</t>
    <phoneticPr fontId="12" type="noConversion"/>
  </si>
  <si>
    <t>Orcutt 2005</t>
    <phoneticPr fontId="12" type="noConversion"/>
  </si>
  <si>
    <t>Cells</t>
    <phoneticPr fontId="12" type="noConversion"/>
  </si>
  <si>
    <t>EUB</t>
    <phoneticPr fontId="12" type="noConversion"/>
  </si>
  <si>
    <t>CARD-FISH</t>
    <phoneticPr fontId="12" type="noConversion"/>
  </si>
  <si>
    <t>%</t>
    <phoneticPr fontId="12" type="noConversion"/>
  </si>
  <si>
    <t>-</t>
    <phoneticPr fontId="12" type="noConversion"/>
  </si>
  <si>
    <t>CARD-FISH</t>
    <phoneticPr fontId="12" type="noConversion"/>
  </si>
  <si>
    <t>Knittel 2003</t>
  </si>
  <si>
    <t>Knittel 2003</t>
    <phoneticPr fontId="12" type="noConversion"/>
  </si>
  <si>
    <t>EC2, Med Sea</t>
    <phoneticPr fontId="12" type="noConversion"/>
  </si>
  <si>
    <t>Cell count</t>
    <phoneticPr fontId="12" type="noConversion"/>
  </si>
  <si>
    <t>CARDFISH</t>
    <phoneticPr fontId="12" type="noConversion"/>
  </si>
  <si>
    <t>Sampling 1999</t>
    <phoneticPr fontId="12" type="noConversion"/>
  </si>
  <si>
    <t>Total Prokaryotic rRNA</t>
    <phoneticPr fontId="12" type="noConversion"/>
  </si>
  <si>
    <t>Depth (cm measured)</t>
    <phoneticPr fontId="12" type="noConversion"/>
  </si>
  <si>
    <t>DAPI (cm)</t>
    <phoneticPr fontId="12" type="noConversion"/>
  </si>
  <si>
    <t>DARK squares</t>
    <phoneticPr fontId="12" type="noConversion"/>
  </si>
  <si>
    <t>cells/g</t>
    <phoneticPr fontId="12" type="noConversion"/>
  </si>
  <si>
    <t>none</t>
    <phoneticPr fontId="12" type="noConversion"/>
  </si>
  <si>
    <t>none</t>
    <phoneticPr fontId="12" type="noConversion"/>
  </si>
  <si>
    <t>Sievert 2000</t>
    <phoneticPr fontId="12" type="noConversion"/>
  </si>
  <si>
    <t>Depth (mm)</t>
    <phoneticPr fontId="12" type="noConversion"/>
  </si>
  <si>
    <t>Bacteria (ng/g sediment)</t>
    <phoneticPr fontId="12" type="noConversion"/>
  </si>
  <si>
    <t>&lt;2</t>
    <phoneticPr fontId="12" type="noConversion"/>
  </si>
  <si>
    <t>non</t>
    <phoneticPr fontId="12" type="noConversion"/>
  </si>
  <si>
    <t xml:space="preserve">Total bacterial abundance (cells/g) </t>
    <phoneticPr fontId="12" type="noConversion"/>
  </si>
  <si>
    <t>Arc Card per cc</t>
    <phoneticPr fontId="12" type="noConversion"/>
  </si>
  <si>
    <t>qPCR Archaea</t>
    <phoneticPr fontId="12" type="noConversion"/>
  </si>
  <si>
    <t>qPCR Eukarya</t>
    <phoneticPr fontId="12" type="noConversion"/>
  </si>
  <si>
    <t>Distribution of ANME-2/DSS aggregates and total cells in Hydrate Ridge sediments at different sampling sites</t>
    <phoneticPr fontId="12" type="noConversion"/>
  </si>
  <si>
    <t>Paper</t>
    <phoneticPr fontId="12" type="noConversion"/>
  </si>
  <si>
    <t>Core</t>
    <phoneticPr fontId="12" type="noConversion"/>
  </si>
  <si>
    <t>Cells per cc</t>
    <phoneticPr fontId="12" type="noConversion"/>
  </si>
  <si>
    <t>CARDFISH Total per cc</t>
    <phoneticPr fontId="12" type="noConversion"/>
  </si>
  <si>
    <t>EC1, Med Sea</t>
    <phoneticPr fontId="12" type="noConversion"/>
  </si>
  <si>
    <t>SC1, Pacific Ocean</t>
    <phoneticPr fontId="12" type="noConversion"/>
  </si>
  <si>
    <t>conversion to wet weight</t>
    <phoneticPr fontId="12" type="noConversion"/>
  </si>
  <si>
    <t>Active vent, Archaean site, clear smoker chimney</t>
    <phoneticPr fontId="12" type="noConversion"/>
  </si>
  <si>
    <t>NEEDS HELP WITH CONVERSIONS BECAUSE NEITHER LOOKS RIGHT!!!</t>
    <phoneticPr fontId="12" type="noConversion"/>
  </si>
  <si>
    <t>This paper compared FISH and CARDFISH - CARDFISH got more cells. No sulfate data are available.</t>
  </si>
  <si>
    <t>They tried CARDFISH with archaea and didn't report counts - just that it was less than 1% of total counts.</t>
  </si>
  <si>
    <t>DTAF</t>
  </si>
  <si>
    <t>SYBR Green II</t>
  </si>
  <si>
    <t>Magdalhaes 2009</t>
  </si>
  <si>
    <t>Relative Abundance of Archaea (%Arc)</t>
    <phoneticPr fontId="12" type="noConversion"/>
  </si>
  <si>
    <t>Aarhus Bay station 6</t>
    <phoneticPr fontId="12" type="noConversion"/>
  </si>
  <si>
    <t>Archaea (copies/ml sediment)</t>
    <phoneticPr fontId="12" type="noConversion"/>
  </si>
  <si>
    <t>Roalkvam 2011</t>
  </si>
  <si>
    <t>Roalkvam 2011</t>
    <phoneticPr fontId="12" type="noConversion"/>
  </si>
  <si>
    <t>Bacteria (copies/mL sediment)</t>
    <phoneticPr fontId="12" type="noConversion"/>
  </si>
  <si>
    <t>Ravenschlag 2001</t>
  </si>
  <si>
    <t>Schippers 2006</t>
  </si>
  <si>
    <t>Schippers 2006</t>
    <phoneticPr fontId="12" type="noConversion"/>
  </si>
  <si>
    <t>Bacteria cells/cc</t>
    <phoneticPr fontId="12" type="noConversion"/>
  </si>
  <si>
    <t>CARDFISH Archaea</t>
    <phoneticPr fontId="12" type="noConversion"/>
  </si>
  <si>
    <t>Cells/cc</t>
    <phoneticPr fontId="12" type="noConversion"/>
  </si>
  <si>
    <t>Distance to cell count</t>
    <phoneticPr fontId="12" type="noConversion"/>
  </si>
  <si>
    <t>Arc cells/cc</t>
    <phoneticPr fontId="12" type="noConversion"/>
  </si>
  <si>
    <t>Bac cell/cc</t>
    <phoneticPr fontId="12" type="noConversion"/>
  </si>
  <si>
    <t>FISH</t>
    <phoneticPr fontId="12" type="noConversion"/>
  </si>
  <si>
    <t>FISH total</t>
    <phoneticPr fontId="12" type="noConversion"/>
  </si>
  <si>
    <t>Station 19-2</t>
    <phoneticPr fontId="12" type="noConversion"/>
  </si>
  <si>
    <t>Station 38-1</t>
    <phoneticPr fontId="12" type="noConversion"/>
  </si>
  <si>
    <t>Station 51-5</t>
    <phoneticPr fontId="12" type="noConversion"/>
  </si>
  <si>
    <t>Open Circle</t>
    <phoneticPr fontId="12" type="noConversion"/>
  </si>
  <si>
    <t>Closed circle</t>
    <phoneticPr fontId="12" type="noConversion"/>
  </si>
  <si>
    <t>Closed square</t>
    <phoneticPr fontId="12" type="noConversion"/>
  </si>
  <si>
    <t>Hole U1319A</t>
    <phoneticPr fontId="12" type="noConversion"/>
  </si>
  <si>
    <t>Hole U1320A</t>
    <phoneticPr fontId="12" type="noConversion"/>
  </si>
  <si>
    <t xml:space="preserve">Depth (cm) </t>
    <phoneticPr fontId="12" type="noConversion"/>
  </si>
  <si>
    <t>Active vent, Pika site, black smoker chimney</t>
    <phoneticPr fontId="12" type="noConversion"/>
  </si>
  <si>
    <t>Active vent, Pika site, clear smoker chimney</t>
    <phoneticPr fontId="12" type="noConversion"/>
  </si>
  <si>
    <t>qPCR Crenarchaeota</t>
    <phoneticPr fontId="12" type="noConversion"/>
  </si>
  <si>
    <t>qPCR JS1-Chloroflexi</t>
    <phoneticPr fontId="12" type="noConversion"/>
  </si>
  <si>
    <t>Depth</t>
    <phoneticPr fontId="12" type="noConversion"/>
  </si>
  <si>
    <t>Open Circle</t>
    <phoneticPr fontId="12" type="noConversion"/>
  </si>
  <si>
    <t>Closed square</t>
    <phoneticPr fontId="12" type="noConversion"/>
  </si>
  <si>
    <t>cm</t>
    <phoneticPr fontId="12" type="noConversion"/>
  </si>
  <si>
    <t xml:space="preserve">FISH </t>
    <phoneticPr fontId="12" type="noConversion"/>
  </si>
  <si>
    <t>Archaea</t>
    <phoneticPr fontId="12" type="noConversion"/>
  </si>
  <si>
    <t>Archaea</t>
    <phoneticPr fontId="12" type="noConversion"/>
  </si>
  <si>
    <t>Actual Archaea</t>
    <phoneticPr fontId="12" type="noConversion"/>
  </si>
  <si>
    <t xml:space="preserve">% </t>
    <phoneticPr fontId="12" type="noConversion"/>
  </si>
  <si>
    <t>Bacteria</t>
    <phoneticPr fontId="12" type="noConversion"/>
  </si>
  <si>
    <t>log Prok</t>
    <phoneticPr fontId="12" type="noConversion"/>
  </si>
  <si>
    <t>log Euk</t>
    <phoneticPr fontId="12" type="noConversion"/>
  </si>
  <si>
    <t>log Geobac</t>
    <phoneticPr fontId="12" type="noConversion"/>
  </si>
  <si>
    <t>log dsr</t>
    <phoneticPr fontId="12" type="noConversion"/>
  </si>
  <si>
    <t>Schippers 2006</t>
    <phoneticPr fontId="12" type="noConversion"/>
  </si>
  <si>
    <t>Depth (mbsf)</t>
    <phoneticPr fontId="12" type="noConversion"/>
  </si>
  <si>
    <t>Depth (cm)</t>
    <phoneticPr fontId="12" type="noConversion"/>
  </si>
  <si>
    <t>Depth (m)</t>
    <phoneticPr fontId="12" type="noConversion"/>
  </si>
  <si>
    <t>Schippers 2012</t>
  </si>
  <si>
    <t>qPCR dsrA</t>
    <phoneticPr fontId="12" type="noConversion"/>
  </si>
  <si>
    <t>qPCR aprA</t>
    <phoneticPr fontId="12" type="noConversion"/>
  </si>
  <si>
    <t>qPCR Rubisco</t>
    <phoneticPr fontId="12" type="noConversion"/>
  </si>
  <si>
    <t>qPCR mcrA 2</t>
    <phoneticPr fontId="12" type="noConversion"/>
  </si>
  <si>
    <t>qPCR Prokaryotes</t>
    <phoneticPr fontId="12" type="noConversion"/>
  </si>
  <si>
    <t>qPCR Geobacteraceae</t>
    <phoneticPr fontId="12" type="noConversion"/>
  </si>
  <si>
    <t>%Arc that are methanogens</t>
    <phoneticPr fontId="12" type="noConversion"/>
  </si>
  <si>
    <t>%Bac that are SRB</t>
    <phoneticPr fontId="12" type="noConversion"/>
  </si>
  <si>
    <t>All values per mL sediment</t>
    <phoneticPr fontId="12" type="noConversion"/>
  </si>
  <si>
    <t>qPCR Bacteria</t>
    <phoneticPr fontId="12" type="noConversion"/>
  </si>
  <si>
    <t>No sulfate concentrations.</t>
    <phoneticPr fontId="12" type="noConversion"/>
  </si>
  <si>
    <t>Water and sedimetns from GHS</t>
  </si>
  <si>
    <t>Water and sediments from FHS</t>
  </si>
  <si>
    <t>Sediments from TC</t>
  </si>
  <si>
    <t>Sediments from NE</t>
  </si>
  <si>
    <t>15-20</t>
  </si>
  <si>
    <t>Amt used for extraction (gwet)</t>
  </si>
  <si>
    <t>TaqMan Arc</t>
  </si>
  <si>
    <t>Taqman Bac</t>
  </si>
  <si>
    <t>Taqman Universal</t>
  </si>
  <si>
    <t>Uni806r</t>
  </si>
  <si>
    <t>Uni340f</t>
  </si>
  <si>
    <t>Uni516f</t>
  </si>
  <si>
    <t>Extraction procedure</t>
  </si>
  <si>
    <t>MoBio Ultraclean Soil DNA kit</t>
  </si>
  <si>
    <t>3 MUC</t>
    <phoneticPr fontId="12" type="noConversion"/>
  </si>
  <si>
    <t>41 MUC</t>
    <phoneticPr fontId="12" type="noConversion"/>
  </si>
  <si>
    <t>139 MUC</t>
    <phoneticPr fontId="12" type="noConversion"/>
  </si>
  <si>
    <t>6KL</t>
    <phoneticPr fontId="12" type="noConversion"/>
  </si>
  <si>
    <t>MUCs are shallow multicorers. KL and SL are piston and gravity cores taken at the same location to get a deep core.</t>
    <phoneticPr fontId="12" type="noConversion"/>
  </si>
  <si>
    <t>paper</t>
    <phoneticPr fontId="12" type="noConversion"/>
  </si>
  <si>
    <t>core</t>
    <phoneticPr fontId="12" type="noConversion"/>
  </si>
  <si>
    <t>Schippers 2012</t>
    <phoneticPr fontId="12" type="noConversion"/>
  </si>
  <si>
    <t>Std Dev</t>
    <phoneticPr fontId="12" type="noConversion"/>
  </si>
  <si>
    <t>%Arc out of Arc+Bac</t>
    <phoneticPr fontId="12" type="noConversion"/>
  </si>
  <si>
    <t>Biddle-Lipp 2006</t>
    <phoneticPr fontId="12" type="noConversion"/>
  </si>
  <si>
    <t>detergent</t>
  </si>
  <si>
    <t>All samples were taken from the top cm of sediment</t>
    <phoneticPr fontId="12" type="noConversion"/>
  </si>
  <si>
    <t>Distance from caldera (cm)</t>
    <phoneticPr fontId="12" type="noConversion"/>
  </si>
  <si>
    <t>Ravenschlag 2001</t>
    <phoneticPr fontId="12" type="noConversion"/>
  </si>
  <si>
    <t>Archaea (copies/cc sediment)</t>
    <phoneticPr fontId="12" type="noConversion"/>
  </si>
  <si>
    <t>Proks w universal primers (copies/g sediment)</t>
    <phoneticPr fontId="12" type="noConversion"/>
  </si>
  <si>
    <t>Nunoura 2008</t>
  </si>
  <si>
    <t>Cells/cc</t>
    <phoneticPr fontId="12" type="noConversion"/>
  </si>
  <si>
    <t>cells/cc</t>
    <phoneticPr fontId="12" type="noConversion"/>
  </si>
  <si>
    <t>Total cells( cells/cc)</t>
    <phoneticPr fontId="12" type="noConversion"/>
  </si>
  <si>
    <t>Fish or cardFish</t>
    <phoneticPr fontId="12" type="noConversion"/>
  </si>
  <si>
    <t>FISH</t>
    <phoneticPr fontId="12" type="noConversion"/>
  </si>
  <si>
    <t>Archaea (cells/cc sed)</t>
    <phoneticPr fontId="12" type="noConversion"/>
  </si>
  <si>
    <t>Prokaryote (cells/cc sed)</t>
    <phoneticPr fontId="12" type="noConversion"/>
  </si>
  <si>
    <t>AODC (cells/g sed)</t>
    <phoneticPr fontId="12" type="noConversion"/>
  </si>
  <si>
    <t>Cells  (cells/cc)</t>
    <phoneticPr fontId="12" type="noConversion"/>
  </si>
  <si>
    <t>Molari 2012</t>
  </si>
  <si>
    <t>qPCR mcrA 1</t>
    <phoneticPr fontId="12" type="noConversion"/>
  </si>
  <si>
    <t>Bac CARD per cc</t>
    <phoneticPr fontId="12" type="noConversion"/>
  </si>
  <si>
    <t>Nunoura 2008</t>
    <phoneticPr fontId="12" type="noConversion"/>
  </si>
  <si>
    <t>Total (copies/cc sediment)</t>
    <phoneticPr fontId="12" type="noConversion"/>
  </si>
  <si>
    <t>Archaea  (copies/cc sediment)</t>
    <phoneticPr fontId="12" type="noConversion"/>
  </si>
  <si>
    <t>Prokaryotic (copies/ cc sediment)</t>
    <phoneticPr fontId="12" type="noConversion"/>
  </si>
  <si>
    <t>Nunoura 2006</t>
  </si>
  <si>
    <t>Nunoura 2006</t>
    <phoneticPr fontId="12" type="noConversion"/>
  </si>
  <si>
    <t>D744C1 in the Nankai Trough</t>
    <phoneticPr fontId="12" type="noConversion"/>
  </si>
  <si>
    <t>Nankai D744C1</t>
  </si>
  <si>
    <t>Nankai D744C1</t>
    <phoneticPr fontId="12" type="noConversion"/>
  </si>
  <si>
    <t>Adriatic Sea</t>
    <phoneticPr fontId="12" type="noConversion"/>
  </si>
  <si>
    <t>Bacteria (cells/cc sed)</t>
    <phoneticPr fontId="12" type="noConversion"/>
  </si>
  <si>
    <t>AO</t>
  </si>
  <si>
    <t>FISH Bac %</t>
  </si>
  <si>
    <t>FISH Bac cells/cc</t>
  </si>
  <si>
    <t>S-D-Arch-0344-a-S-28</t>
  </si>
  <si>
    <t>S-D-Arch-0025-a-S-26</t>
  </si>
  <si>
    <t>S-D-Arch-0344-a-S-29</t>
  </si>
  <si>
    <t>S-D-Arch-0025-a-S-27</t>
  </si>
  <si>
    <t>S-D-Arch-0344-a-S-30</t>
  </si>
  <si>
    <t>S-D-Arch-0025-a-S-28</t>
  </si>
  <si>
    <t>S-D-Arch-0344-a-S-31</t>
  </si>
  <si>
    <t>S-D-Arch-0025-a-S-29</t>
  </si>
  <si>
    <t>S-D-Arch-0344-a-S-32</t>
  </si>
  <si>
    <t>S-D-Arch-0025-a-S-30</t>
  </si>
  <si>
    <t>S-D-Arch-0344-a-S-33</t>
  </si>
  <si>
    <t>S-D-Arch-0025-a-S-31</t>
  </si>
  <si>
    <t>SYBR vs Taqman</t>
  </si>
  <si>
    <t>SYBR</t>
  </si>
  <si>
    <t>Arc forward</t>
  </si>
  <si>
    <t>Arc reverse</t>
  </si>
  <si>
    <t>Bac forward</t>
  </si>
  <si>
    <t>Bac reverse</t>
  </si>
  <si>
    <t>qPCR Crenarchaeota</t>
    <phoneticPr fontId="12" type="noConversion"/>
  </si>
  <si>
    <t>qPCR JS1-Chloroflexi</t>
    <phoneticPr fontId="12" type="noConversion"/>
  </si>
  <si>
    <t>qPCR mcrA 2</t>
    <phoneticPr fontId="12" type="noConversion"/>
  </si>
  <si>
    <t>qPCR dsrA</t>
    <phoneticPr fontId="12" type="noConversion"/>
  </si>
  <si>
    <t>qPCR aprA</t>
    <phoneticPr fontId="12" type="noConversion"/>
  </si>
  <si>
    <t>qPCR cbbL</t>
    <phoneticPr fontId="12" type="noConversion"/>
  </si>
  <si>
    <t>CARDFISH Bacteria</t>
    <phoneticPr fontId="12" type="noConversion"/>
  </si>
  <si>
    <t>S-D-Arch-0344-a-S-38</t>
  </si>
  <si>
    <t>S-D-Arch-0025-a-S-36</t>
  </si>
  <si>
    <t>S-D-Arch-0344-a-S-39</t>
  </si>
  <si>
    <t>S-D-Arch-0025-a-S-37</t>
  </si>
  <si>
    <t>S-D-Arch-0344-a-S-40</t>
  </si>
  <si>
    <t>S-D-Arch-0025-a-S-38</t>
  </si>
  <si>
    <t>S-D-Arch-0344-a-S-41</t>
  </si>
  <si>
    <t>Total CARD</t>
    <phoneticPr fontId="12" type="noConversion"/>
  </si>
  <si>
    <t>FISH</t>
    <phoneticPr fontId="12" type="noConversion"/>
  </si>
  <si>
    <t>AO</t>
    <phoneticPr fontId="12" type="noConversion"/>
  </si>
  <si>
    <t>none</t>
    <phoneticPr fontId="12" type="noConversion"/>
  </si>
  <si>
    <t>none</t>
    <phoneticPr fontId="12" type="noConversion"/>
  </si>
  <si>
    <t>formaldehyde</t>
    <phoneticPr fontId="12" type="noConversion"/>
  </si>
  <si>
    <t>fosmid</t>
  </si>
  <si>
    <t>Arc standard</t>
  </si>
  <si>
    <t>PCR product</t>
  </si>
  <si>
    <t>Bac standard</t>
  </si>
  <si>
    <t>dsr/cc</t>
    <phoneticPr fontId="12" type="noConversion"/>
  </si>
  <si>
    <t>Prokaryotes cells/cc</t>
    <phoneticPr fontId="12" type="noConversion"/>
  </si>
  <si>
    <t>Data sent via email from Axel Schippers, all are qPCR and Prokaryotes are with a general primer</t>
    <phoneticPr fontId="12" type="noConversion"/>
  </si>
  <si>
    <t>2MC SO147</t>
  </si>
  <si>
    <t>2MC SO147</t>
    <phoneticPr fontId="12" type="noConversion"/>
  </si>
  <si>
    <t>log Bac</t>
    <phoneticPr fontId="12" type="noConversion"/>
  </si>
  <si>
    <t>log Arc</t>
    <phoneticPr fontId="12" type="noConversion"/>
  </si>
  <si>
    <t>DNA extraction procedure</t>
  </si>
  <si>
    <t>FastDNA Spin kit</t>
  </si>
  <si>
    <t>MoBio UltraClean Soil DNA kit</t>
  </si>
  <si>
    <t>PCR products</t>
  </si>
  <si>
    <t>Arch-0025-a-S-17</t>
  </si>
  <si>
    <t>S-D-Arch-0344-a-20</t>
  </si>
  <si>
    <t>TaqMan</t>
  </si>
  <si>
    <t>Promega DNA IQ</t>
  </si>
  <si>
    <t>Takai and Horikoshi 2000</t>
  </si>
  <si>
    <t>Temp (°C)</t>
  </si>
  <si>
    <t>DAPI cells/gwet</t>
  </si>
  <si>
    <t>Universal primer (fg/gwet)</t>
  </si>
  <si>
    <t>Archaea (fg/gwet)</t>
  </si>
  <si>
    <t>5 ng in 25 ul rxn (1 g sediment extracted)</t>
  </si>
  <si>
    <t>4 ng in 25 ul rxn (1 g sediment extracted)</t>
    <phoneticPr fontId="12" type="noConversion"/>
  </si>
  <si>
    <t>Fraction Arc</t>
  </si>
  <si>
    <t>Deep-sea</t>
  </si>
  <si>
    <t>FISH, archaea not measured</t>
  </si>
  <si>
    <t>Portugal lagoon, unvegetated sediments</t>
  </si>
  <si>
    <t>Portugal lagoon, Halimione stand</t>
  </si>
  <si>
    <t>Portugal lagoon, Spartina stand</t>
  </si>
  <si>
    <t>Cells/cc</t>
  </si>
  <si>
    <t>qPCR Bac (copies/cc)</t>
  </si>
  <si>
    <t xml:space="preserve">Takai et al </t>
  </si>
  <si>
    <t>Taqman, standards were 10 bacterial species whole DNA and 8 archaeal species whole DNA</t>
  </si>
  <si>
    <t>Biddle 2006</t>
    <phoneticPr fontId="12" type="noConversion"/>
  </si>
  <si>
    <t>Core</t>
    <phoneticPr fontId="12" type="noConversion"/>
  </si>
  <si>
    <t>Depth (m)</t>
    <phoneticPr fontId="12" type="noConversion"/>
  </si>
  <si>
    <t>Arc x 10^6 cells/cc</t>
    <phoneticPr fontId="12" type="noConversion"/>
  </si>
  <si>
    <t>Sumatra Basin 139MUC/140KL</t>
    <phoneticPr fontId="12" type="noConversion"/>
  </si>
  <si>
    <t>Sumatra Basin 3MUC/6KL</t>
    <phoneticPr fontId="12" type="noConversion"/>
  </si>
  <si>
    <t>Sumatra Basin 41MUC/42SL</t>
    <phoneticPr fontId="12" type="noConversion"/>
  </si>
  <si>
    <t>Peru Margin 2MC SO147</t>
  </si>
  <si>
    <t>Peru Margin 2MC SO147</t>
    <phoneticPr fontId="12" type="noConversion"/>
  </si>
  <si>
    <t>Black Sea Station P12</t>
  </si>
  <si>
    <t>Black Sea Station P12</t>
    <phoneticPr fontId="12" type="noConversion"/>
  </si>
  <si>
    <t>Adriatic Sea, Manfredonia Gulf</t>
    <phoneticPr fontId="12" type="noConversion"/>
  </si>
  <si>
    <t>plasmid</t>
    <phoneticPr fontId="12" type="noConversion"/>
  </si>
  <si>
    <t>MoBio Ultra Powersoil DNA</t>
    <phoneticPr fontId="12" type="noConversion"/>
  </si>
  <si>
    <t>Taqman</t>
    <phoneticPr fontId="12" type="noConversion"/>
  </si>
  <si>
    <t>Uni340f</t>
    <phoneticPr fontId="12" type="noConversion"/>
  </si>
  <si>
    <t>Uni806r</t>
    <phoneticPr fontId="12" type="noConversion"/>
  </si>
  <si>
    <t>Uni516f</t>
    <phoneticPr fontId="12" type="noConversion"/>
  </si>
  <si>
    <t>PCR ampicon</t>
    <phoneticPr fontId="12" type="noConversion"/>
  </si>
  <si>
    <t>MoBio PowerMax Soil DNA kit</t>
    <phoneticPr fontId="12" type="noConversion"/>
  </si>
  <si>
    <t>fosmid</t>
    <phoneticPr fontId="12" type="noConversion"/>
  </si>
  <si>
    <t>PCR amplicon</t>
    <phoneticPr fontId="12" type="noConversion"/>
  </si>
  <si>
    <t>FastDNA Spin kit</t>
    <phoneticPr fontId="12" type="noConversion"/>
  </si>
  <si>
    <t>Taqman</t>
    <phoneticPr fontId="12" type="noConversion"/>
  </si>
  <si>
    <t>NadUni</t>
    <phoneticPr fontId="12" type="noConversion"/>
  </si>
  <si>
    <t>Uni516r</t>
    <phoneticPr fontId="12" type="noConversion"/>
  </si>
  <si>
    <t>SYBR</t>
    <phoneticPr fontId="12" type="noConversion"/>
  </si>
  <si>
    <t>unknoqn</t>
    <phoneticPr fontId="12" type="noConversion"/>
  </si>
  <si>
    <t>S-D-Arch-0025-a-S-17</t>
    <phoneticPr fontId="12" type="noConversion"/>
  </si>
  <si>
    <t>S-D-Arch-0344-a-S-20</t>
    <phoneticPr fontId="12" type="noConversion"/>
  </si>
  <si>
    <t>Methanosarcina barkeri, genomic DNA</t>
    <phoneticPr fontId="12" type="noConversion"/>
  </si>
  <si>
    <t>S-D-Arch-0025-a-S-18</t>
  </si>
  <si>
    <t>S-D-Arch-0344-a-S-21</t>
  </si>
  <si>
    <t>S-D-Arch-0025-a-S-19</t>
  </si>
  <si>
    <t>S-D-Arch-0344-a-S-22</t>
  </si>
  <si>
    <t>S-D-Arch-0025-a-S-20</t>
  </si>
  <si>
    <t>S-D-Arch-0344-a-S-23</t>
  </si>
  <si>
    <t>S-D-Arch-0025-a-S-21</t>
  </si>
  <si>
    <t>S-D-Arch-0344-a-S-24</t>
  </si>
  <si>
    <t>S-D-Arch-0025-a-S-22</t>
  </si>
  <si>
    <t>S-D-Arch-0344-a-S-25</t>
  </si>
  <si>
    <t>S-D-Arch-0025-a-S-23</t>
  </si>
  <si>
    <t>S-D-Arch-0344-a-S-26</t>
  </si>
  <si>
    <t>S-D-Arch-0025-a-S-24</t>
  </si>
  <si>
    <t>S-D-Arch-0344-a-S-27</t>
  </si>
  <si>
    <t>S-D-Arch-0025-a-S-25</t>
  </si>
  <si>
    <t>oxic part</t>
    <phoneticPr fontId="3" type="noConversion"/>
  </si>
  <si>
    <t>Arc FISH per cm3</t>
  </si>
  <si>
    <t>Arc qPCR</t>
  </si>
  <si>
    <t>Bac qPCR</t>
  </si>
  <si>
    <t>Bac FISH per cm3</t>
  </si>
  <si>
    <t>Gittel et al. 2008, Janssand, didn't measure archaea</t>
  </si>
  <si>
    <t>CARD-FISH</t>
  </si>
  <si>
    <t>DAPI x 10^8/cc</t>
  </si>
  <si>
    <t>EUB338 x 10^8/cc</t>
  </si>
  <si>
    <t>Gittel 2008</t>
  </si>
  <si>
    <t>Waden Sea, Janssand, CARD-FISH, deep</t>
  </si>
  <si>
    <t>lysozyme/achromopeptidase</t>
  </si>
  <si>
    <t>Data source for Bacteria</t>
  </si>
  <si>
    <t>S-D-Arch-0344-a-S-34</t>
  </si>
  <si>
    <t>S-D-Arch-0025-a-S-32</t>
  </si>
  <si>
    <t>S-D-Arch-0344-a-S-35</t>
  </si>
  <si>
    <t>S-D-Arch-0025-a-S-33</t>
  </si>
  <si>
    <t>S-D-Arch-0344-a-S-36</t>
  </si>
  <si>
    <t>S-D-Arch-0025-a-S-34</t>
  </si>
  <si>
    <t>S-D-Arch-0344-a-S-37</t>
  </si>
  <si>
    <t>S-D-Arch-0025-a-S-35</t>
  </si>
  <si>
    <t>Chefren mud volcano NL18PC2(7)</t>
    <phoneticPr fontId="12" type="noConversion"/>
  </si>
  <si>
    <t>Daliao River estuary, China</t>
    <phoneticPr fontId="12" type="noConversion"/>
  </si>
  <si>
    <t>Isis mud volcano NL13PC4(7)</t>
    <phoneticPr fontId="12" type="noConversion"/>
  </si>
  <si>
    <t>Douro River estuary, Portugal</t>
    <phoneticPr fontId="12" type="noConversion"/>
  </si>
  <si>
    <t>Mid Atlantic Bight, New Jersey, USA</t>
    <phoneticPr fontId="12" type="noConversion"/>
  </si>
  <si>
    <t>Napoli mud volcano NL1PC2</t>
    <phoneticPr fontId="12" type="noConversion"/>
  </si>
  <si>
    <t>S-D-Arch-0025-a-S-39</t>
  </si>
  <si>
    <t>S-D-Arch-0344-a-S-42</t>
  </si>
  <si>
    <t>S-D-Arch-0025-a-S-40</t>
  </si>
  <si>
    <t>S-D-Arch-0344-a-S-43</t>
  </si>
  <si>
    <t>S-D-Arch-0025-a-S-41</t>
  </si>
  <si>
    <t>S-D-Arch-0344-a-S-44</t>
  </si>
  <si>
    <t>S-D-Arch-0025-a-S-42</t>
  </si>
  <si>
    <t>S-D-Arch-0344-a-S-45</t>
  </si>
  <si>
    <t>S-D-Arch-0025-a-S-43</t>
  </si>
  <si>
    <t>S-D-Arch-0344-a-S-46</t>
  </si>
  <si>
    <t>S-D-Arch-0025-a-S-44</t>
  </si>
  <si>
    <t>S-D-Arch-0344-a-S-47</t>
  </si>
  <si>
    <t>S-D-Arch-0025-a-S-45</t>
  </si>
  <si>
    <t>S-D-Arch-0344-a-S-48</t>
  </si>
  <si>
    <t>DNA extraction efficiency from spiking as a fraction of total cells</t>
    <phoneticPr fontId="12" type="noConversion"/>
  </si>
  <si>
    <t>Template DNA dilution factor</t>
    <phoneticPr fontId="12" type="noConversion"/>
  </si>
  <si>
    <t>Uses 516 for Arc</t>
    <phoneticPr fontId="12" type="noConversion"/>
  </si>
  <si>
    <t>500, 1500, and something in between</t>
    <phoneticPr fontId="12" type="noConversion"/>
  </si>
  <si>
    <t>0.275, factored in to reported values</t>
    <phoneticPr fontId="12" type="noConversion"/>
  </si>
  <si>
    <t>15 ng in 25 ul rxn (1 g sediment extracted)</t>
  </si>
  <si>
    <t>14 ng in 25 ul rxn (1 g sediment extracted)</t>
  </si>
  <si>
    <t>13 ng in 25 ul rxn (1 g sediment extracted)</t>
  </si>
  <si>
    <t>Salt marsh</t>
    <phoneticPr fontId="12" type="noConversion"/>
  </si>
  <si>
    <t>EUB338 % of cells</t>
    <phoneticPr fontId="12" type="noConversion"/>
  </si>
  <si>
    <t>12 ng in 25 ul rxn (1 g sediment extracted)</t>
  </si>
  <si>
    <t>11 ng in 25 ul rxn (1 g sediment extracted)</t>
  </si>
  <si>
    <t>10 ng in 25 ul rxn (1 g sediment extracted)</t>
  </si>
  <si>
    <t>9 ng in 25 ul rxn (1 g sediment extracted)</t>
  </si>
  <si>
    <t>8 ng in 25 ul rxn (1 g sediment extracted)</t>
  </si>
  <si>
    <t>7 ng in 25 ul rxn (1 g sediment extracted)</t>
  </si>
  <si>
    <t>6 ng in 25 ul rxn (1 g sediment extracted)</t>
  </si>
  <si>
    <t>White Oak River Estuary, Station H, Jul 08-1</t>
  </si>
  <si>
    <t>MoBio RNA powersoil kit with DNA elution accessory</t>
  </si>
  <si>
    <t>Biddle got 1.5e6</t>
  </si>
  <si>
    <t>The H2O2 permeabilization gives higher archaea than total cell counts in Peru Margin and E. Eq. Pac. Samples. So, since I can't really test this method, I won't use the data.</t>
  </si>
  <si>
    <t>qPCR Arc (copies/cc)</t>
  </si>
  <si>
    <t>Breuker and Schippers 2013 New Jersey shallow shelf, Takai and Horikoshi 2000 primers for arc, Nadkarni primers for Bac, SYBR Green</t>
  </si>
  <si>
    <t>Breuker 2013</t>
  </si>
  <si>
    <t>New Jersey shallow shelf</t>
  </si>
  <si>
    <t>SYBR Green</t>
  </si>
  <si>
    <t>Cells/ml</t>
  </si>
  <si>
    <t>North Pond</t>
  </si>
  <si>
    <t>North Pond 13501</t>
  </si>
  <si>
    <t>qPCR Bac cells/ml</t>
  </si>
  <si>
    <t>qPCR Arc cells/ml</t>
  </si>
  <si>
    <t>qPCR Bac copies/ml</t>
  </si>
  <si>
    <t>North Pond 13502</t>
  </si>
  <si>
    <t>North Pond 13504</t>
  </si>
  <si>
    <t>North Pond 13512</t>
  </si>
  <si>
    <t>qPCR Arc copies/ml</t>
  </si>
  <si>
    <t>total</t>
  </si>
  <si>
    <t>Black Sea, Beggiatoa 105-1</t>
  </si>
  <si>
    <t>Black Sea, Beggiatoa 105-1</t>
    <phoneticPr fontId="12" type="noConversion"/>
  </si>
  <si>
    <t>Black Sea, Beggiatoa 19-2</t>
  </si>
  <si>
    <t>Black Sea, Beggiatoa 19-2</t>
    <phoneticPr fontId="12" type="noConversion"/>
  </si>
  <si>
    <t>Black Sea Station 20</t>
    <phoneticPr fontId="12" type="noConversion"/>
  </si>
  <si>
    <t>Black Sea Station 22</t>
    <phoneticPr fontId="12" type="noConversion"/>
  </si>
  <si>
    <t>Black Sea Station 6</t>
    <phoneticPr fontId="12" type="noConversion"/>
  </si>
  <si>
    <t>Cascadia Margin, Calyptogena 186-1</t>
  </si>
  <si>
    <t>Cascadia Margin, Calyptogena 186-1</t>
    <phoneticPr fontId="12" type="noConversion"/>
  </si>
  <si>
    <t>Cascadia Margin, Calyptogena 38-1</t>
  </si>
  <si>
    <t>Cascadia Margin, Calyptogena 38-1</t>
    <phoneticPr fontId="12" type="noConversion"/>
  </si>
  <si>
    <t>Cascadia Margin 1244</t>
  </si>
  <si>
    <t>Cascadia Margin 1244</t>
    <phoneticPr fontId="12" type="noConversion"/>
  </si>
  <si>
    <t>Cascadia Margin 1251</t>
  </si>
  <si>
    <t>Cascadia Margin 1251</t>
    <phoneticPr fontId="12" type="noConversion"/>
  </si>
  <si>
    <t>Irish Margin Challenger Mound U1316</t>
  </si>
  <si>
    <t>Irish Margin Challenger Mound U1316</t>
    <phoneticPr fontId="12" type="noConversion"/>
  </si>
  <si>
    <t>Irish Margin Challenger Mound U1317</t>
  </si>
  <si>
    <t>Chefren mud volcano NL18PC4(6)</t>
    <phoneticPr fontId="12" type="noConversion"/>
  </si>
  <si>
    <t>Desulfovibrio vulgaris, genomic DNA</t>
    <phoneticPr fontId="12" type="noConversion"/>
  </si>
  <si>
    <t>ODP1250D3H7</t>
    <phoneticPr fontId="3" type="noConversion"/>
  </si>
  <si>
    <t>Gulf of Mexico</t>
    <phoneticPr fontId="3" type="noConversion"/>
  </si>
  <si>
    <t>Eq. Pac</t>
    <phoneticPr fontId="3" type="noConversion"/>
  </si>
  <si>
    <t>ODP1225A 32H3, 34H3, 35H5</t>
    <phoneticPr fontId="3" type="noConversion"/>
  </si>
  <si>
    <t>Peru Margin</t>
    <phoneticPr fontId="3" type="noConversion"/>
  </si>
  <si>
    <t>North Sea</t>
    <phoneticPr fontId="3" type="noConversion"/>
  </si>
  <si>
    <t>WOR</t>
    <phoneticPr fontId="3" type="noConversion"/>
  </si>
  <si>
    <t>Station H, Jul08-1</t>
    <phoneticPr fontId="3" type="noConversion"/>
  </si>
  <si>
    <t>Black Sea</t>
    <phoneticPr fontId="3" type="noConversion"/>
  </si>
  <si>
    <t>P822</t>
    <phoneticPr fontId="3" type="noConversion"/>
  </si>
  <si>
    <t>top part</t>
    <phoneticPr fontId="3" type="noConversion"/>
  </si>
  <si>
    <t>exterior, orange</t>
    <phoneticPr fontId="3" type="noConversion"/>
  </si>
  <si>
    <t>exterior, black</t>
    <phoneticPr fontId="3" type="noConversion"/>
  </si>
  <si>
    <t>Arabian Gulf</t>
    <phoneticPr fontId="3" type="noConversion"/>
  </si>
  <si>
    <t>Abu Dhabi</t>
    <phoneticPr fontId="3" type="noConversion"/>
  </si>
  <si>
    <t>%Arc qPCR</t>
  </si>
  <si>
    <t>Oligotrophic</t>
  </si>
  <si>
    <t>Breuker in press</t>
  </si>
  <si>
    <t>Custom acid treatment</t>
  </si>
  <si>
    <t>Fraction Arc CARDFISH</t>
  </si>
  <si>
    <t>Fraction Arc qPCR</t>
  </si>
  <si>
    <t>Universal forward</t>
  </si>
  <si>
    <t>Universal reverse</t>
  </si>
  <si>
    <t>Environment Type</t>
  </si>
  <si>
    <t>Eastern Equatorial Pacific 1225</t>
  </si>
  <si>
    <t>Eastern Equatorial Pacific 1226</t>
  </si>
  <si>
    <t>South Hydrate Ridge 1251</t>
  </si>
  <si>
    <t>South Hydrate Ridge 1244+1245</t>
  </si>
  <si>
    <t>This is a terrestrial hole!</t>
  </si>
  <si>
    <t>Kubo 2012</t>
  </si>
  <si>
    <t>Site</t>
    <phoneticPr fontId="3" type="noConversion"/>
  </si>
  <si>
    <t>Station/sample</t>
    <phoneticPr fontId="3" type="noConversion"/>
  </si>
  <si>
    <t>Depth (cmbsf)</t>
    <phoneticPr fontId="3" type="noConversion"/>
  </si>
  <si>
    <t>Depth (mbsf)</t>
    <phoneticPr fontId="3" type="noConversion"/>
  </si>
  <si>
    <t>Bac rRNA ng</t>
    <phoneticPr fontId="3" type="noConversion"/>
  </si>
  <si>
    <t>Arc rRNA ng</t>
    <phoneticPr fontId="3" type="noConversion"/>
  </si>
  <si>
    <t>Total cells per cm3</t>
    <phoneticPr fontId="3" type="noConversion"/>
  </si>
  <si>
    <t>Nyegga</t>
    <phoneticPr fontId="3" type="noConversion"/>
  </si>
  <si>
    <t>272-02 (SOB mat)</t>
    <phoneticPr fontId="3" type="noConversion"/>
  </si>
  <si>
    <t>HMMV</t>
    <phoneticPr fontId="3" type="noConversion"/>
  </si>
  <si>
    <t>372 (Center)</t>
    <phoneticPr fontId="3" type="noConversion"/>
  </si>
  <si>
    <t>371(Beggiatoa)</t>
    <phoneticPr fontId="3" type="noConversion"/>
  </si>
  <si>
    <t>336 (Pogonophora</t>
    <phoneticPr fontId="3" type="noConversion"/>
  </si>
  <si>
    <t>Cascadia Margin Hydrate Ridge</t>
    <phoneticPr fontId="3" type="noConversion"/>
  </si>
  <si>
    <t>ODP1245D1H2</t>
    <phoneticPr fontId="3" type="noConversion"/>
  </si>
  <si>
    <t>Schippers 2006</t>
    <phoneticPr fontId="12" type="noConversion"/>
  </si>
  <si>
    <t>N. Alex mud volcano NL15BC1</t>
    <phoneticPr fontId="12" type="noConversion"/>
  </si>
  <si>
    <t>Nyegga pockmark G11</t>
  </si>
  <si>
    <t>Nyegga pockmark G11</t>
    <phoneticPr fontId="12" type="noConversion"/>
  </si>
  <si>
    <t>Peru Margin 1227</t>
  </si>
  <si>
    <t>Peru Margin 1227</t>
    <phoneticPr fontId="12" type="noConversion"/>
  </si>
  <si>
    <t>Buehring 2005</t>
  </si>
  <si>
    <t>Buehring 2005</t>
    <phoneticPr fontId="12" type="noConversion"/>
  </si>
  <si>
    <t>Peru Margin 1229</t>
  </si>
  <si>
    <t>Peru Margin 1229</t>
    <phoneticPr fontId="12" type="noConversion"/>
  </si>
  <si>
    <t>Peru Margin 1230</t>
  </si>
  <si>
    <t>Peru Margin 1230</t>
    <phoneticPr fontId="12" type="noConversion"/>
  </si>
  <si>
    <t>PockM mud volcano NL14PC2</t>
    <phoneticPr fontId="12" type="noConversion"/>
  </si>
  <si>
    <t>Irish Margin U1318</t>
  </si>
  <si>
    <t>Irish Margin U1318</t>
    <phoneticPr fontId="12" type="noConversion"/>
  </si>
  <si>
    <t>Cascadia Margin, Reference 139</t>
  </si>
  <si>
    <t>Cascadia Margin, Reference 139</t>
    <phoneticPr fontId="12" type="noConversion"/>
  </si>
  <si>
    <t>Sumatra Basin Station 1</t>
  </si>
  <si>
    <t>Sumatra Basin Station 1</t>
    <phoneticPr fontId="12" type="noConversion"/>
  </si>
  <si>
    <t>Sumatra Basin Station 3</t>
  </si>
  <si>
    <t>Sumatra Basin Station 3</t>
    <phoneticPr fontId="12" type="noConversion"/>
  </si>
  <si>
    <t>Sumatra Basin Station 4</t>
  </si>
  <si>
    <t>Svalbard Station J core A</t>
    <phoneticPr fontId="12" type="noConversion"/>
  </si>
  <si>
    <t>Svalbard Station J core B</t>
    <phoneticPr fontId="12" type="noConversion"/>
  </si>
  <si>
    <t xml:space="preserve">New York estuary Spartina stand </t>
    <phoneticPr fontId="12" type="noConversion"/>
  </si>
  <si>
    <t>Salt marsh</t>
    <phoneticPr fontId="12" type="noConversion"/>
  </si>
  <si>
    <t>Losekann didn't measure this deep</t>
  </si>
  <si>
    <t>Inagaki only gave relative arc to toal qPCR</t>
  </si>
  <si>
    <t>Orcutt only quantified SRB</t>
  </si>
  <si>
    <t>Yield</t>
  </si>
  <si>
    <t>No one else quantified this site</t>
  </si>
  <si>
    <t>Schippers et al. 2005</t>
  </si>
  <si>
    <t>Gittel et al. 2008 have DAPI and Bac, but the DAPI is higher than the DAPI reported here.</t>
  </si>
  <si>
    <t>%Arc</t>
  </si>
  <si>
    <t>White Oak River Estuary, Station H, Jul 08-2</t>
  </si>
  <si>
    <t>Emily Deas' data from White Oak River, May 2013 core 7</t>
  </si>
  <si>
    <t>same methods as Kevorkian's</t>
  </si>
  <si>
    <t>27-30</t>
  </si>
  <si>
    <t>57-60</t>
  </si>
  <si>
    <t>Bac Probe</t>
  </si>
  <si>
    <t>Arc Probe</t>
  </si>
  <si>
    <t>ARC915</t>
  </si>
  <si>
    <t>Arch917 and Arch344</t>
  </si>
  <si>
    <t>Eub338 and hAqui1045 and Aqui1197</t>
  </si>
  <si>
    <t>BAC340F</t>
  </si>
  <si>
    <t>BAC341F</t>
  </si>
  <si>
    <t>BAC331f</t>
  </si>
  <si>
    <t>BAC338f</t>
  </si>
  <si>
    <t>BAC519f</t>
  </si>
  <si>
    <t>BAC515R</t>
  </si>
  <si>
    <t>UNI519f</t>
  </si>
  <si>
    <t>BAC518R</t>
  </si>
  <si>
    <t>BAC534R</t>
  </si>
  <si>
    <t>BAC797R</t>
  </si>
  <si>
    <t>BAC907R</t>
  </si>
  <si>
    <t>UNI519R</t>
  </si>
  <si>
    <t>ARCH349F</t>
  </si>
  <si>
    <t>ARCH519F</t>
  </si>
  <si>
    <t>ARCH806F</t>
  </si>
  <si>
    <t>ARCH915F</t>
  </si>
  <si>
    <t>ARCH1F</t>
  </si>
  <si>
    <t>UNI519F</t>
  </si>
  <si>
    <t>ARCH908R</t>
  </si>
  <si>
    <t>ARCH516R</t>
  </si>
  <si>
    <t>ARCH806R</t>
  </si>
  <si>
    <t>ARCH907R</t>
  </si>
  <si>
    <t>ARCH915R</t>
  </si>
  <si>
    <t>ARCH1059R</t>
  </si>
  <si>
    <t>ARCH1369R</t>
  </si>
  <si>
    <t>Uses 806 for Arc</t>
  </si>
  <si>
    <t>Uses 349 for Arc</t>
  </si>
  <si>
    <t>Uses 331 for Bac</t>
  </si>
  <si>
    <t>Uses 340 for Bac</t>
  </si>
  <si>
    <t>Uses 515 for Bac</t>
  </si>
  <si>
    <t>ARC516F</t>
  </si>
  <si>
    <t>Molari 2012a</t>
  </si>
  <si>
    <t>Molari 2012b</t>
  </si>
  <si>
    <t>This study</t>
  </si>
  <si>
    <t>EUB338 I-III</t>
  </si>
  <si>
    <t>There is a cell count that's only 1.3 meters away, but this is in the are where cell counts increase 100-fold over a short depth range, so I chose the number that was more consistent with the yields in the rest of the core, yet still close by.</t>
  </si>
  <si>
    <t>Depth WPD</t>
  </si>
  <si>
    <t>Bac cell/cc WPD</t>
  </si>
  <si>
    <t>Arc cells/cc WPD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</si>
</sst>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E+00"/>
    <numFmt numFmtId="165" formatCode="0.0"/>
    <numFmt numFmtId="166" formatCode="0.00;[Red]0.00"/>
  </numFmts>
  <fonts count="33" x14ac:knownFonts="1">
    <font>
      <sz val="10"/>
      <name val="Verdana"/>
    </font>
    <font>
      <b/>
      <sz val="10"/>
      <name val="Verdana"/>
    </font>
    <font>
      <b/>
      <sz val="10"/>
      <name val="Verdana"/>
    </font>
    <font>
      <b/>
      <sz val="10"/>
      <name val="Verdana"/>
    </font>
    <font>
      <b/>
      <sz val="10"/>
      <name val="Verdana"/>
    </font>
    <font>
      <sz val="10"/>
      <name val="Verdana"/>
    </font>
    <font>
      <b/>
      <sz val="10"/>
      <name val="Verdana"/>
    </font>
    <font>
      <b/>
      <sz val="10"/>
      <name val="Verdana"/>
    </font>
    <font>
      <b/>
      <sz val="10"/>
      <name val="Verdana"/>
    </font>
    <font>
      <b/>
      <sz val="10"/>
      <name val="Verdana"/>
    </font>
    <font>
      <b/>
      <sz val="10"/>
      <name val="Verdana"/>
    </font>
    <font>
      <b/>
      <sz val="10"/>
      <name val="Verdana"/>
    </font>
    <font>
      <sz val="8"/>
      <name val="Verdana"/>
    </font>
    <font>
      <sz val="10"/>
      <color indexed="14"/>
      <name val="Verdana"/>
    </font>
    <font>
      <sz val="10"/>
      <color indexed="12"/>
      <name val="Verdana"/>
    </font>
    <font>
      <sz val="10"/>
      <color indexed="10"/>
      <name val="Verdana"/>
    </font>
    <font>
      <sz val="10"/>
      <color indexed="53"/>
      <name val="Verdana"/>
    </font>
    <font>
      <sz val="10"/>
      <color indexed="11"/>
      <name val="Verdana"/>
    </font>
    <font>
      <sz val="10"/>
      <color indexed="9"/>
      <name val="Verdana"/>
    </font>
    <font>
      <sz val="10"/>
      <color indexed="20"/>
      <name val="Verdana"/>
    </font>
    <font>
      <sz val="20"/>
      <name val="Verdana"/>
    </font>
    <font>
      <sz val="10"/>
      <name val="Menlo Regular"/>
    </font>
    <font>
      <sz val="10"/>
      <name val="Arial"/>
    </font>
    <font>
      <sz val="10"/>
      <name val="Times New Roman"/>
    </font>
    <font>
      <sz val="10"/>
      <color indexed="10"/>
      <name val="Arial"/>
    </font>
    <font>
      <sz val="10"/>
      <color indexed="10"/>
      <name val="Verdana"/>
    </font>
    <font>
      <sz val="12"/>
      <color indexed="8"/>
      <name val="Calibri"/>
      <family val="2"/>
    </font>
    <font>
      <sz val="12"/>
      <name val="Times New Roman"/>
    </font>
    <font>
      <sz val="10"/>
      <name val="Helvetica Neue"/>
    </font>
    <font>
      <u/>
      <sz val="10"/>
      <color indexed="12"/>
      <name val="Verdana"/>
    </font>
    <font>
      <u/>
      <sz val="10"/>
      <color indexed="20"/>
      <name val="Verdana"/>
    </font>
    <font>
      <u/>
      <sz val="10"/>
      <color theme="10"/>
      <name val="Verdana"/>
    </font>
    <font>
      <u/>
      <sz val="10"/>
      <color theme="11"/>
      <name val="Verdana"/>
    </font>
  </fonts>
  <fills count="15">
    <fill>
      <patternFill patternType="none"/>
    </fill>
    <fill>
      <patternFill patternType="gray125"/>
    </fill>
    <fill>
      <patternFill patternType="solid">
        <fgColor indexed="40"/>
        <bgColor indexed="64"/>
      </patternFill>
    </fill>
    <fill>
      <patternFill patternType="solid">
        <fgColor indexed="13"/>
        <bgColor indexed="64"/>
      </patternFill>
    </fill>
    <fill>
      <patternFill patternType="solid">
        <fgColor indexed="14"/>
        <bgColor indexed="64"/>
      </patternFill>
    </fill>
    <fill>
      <patternFill patternType="solid">
        <fgColor indexed="51"/>
        <bgColor indexed="64"/>
      </patternFill>
    </fill>
    <fill>
      <patternFill patternType="solid">
        <fgColor indexed="49"/>
        <bgColor indexed="64"/>
      </patternFill>
    </fill>
    <fill>
      <patternFill patternType="solid">
        <fgColor indexed="15"/>
        <bgColor indexed="64"/>
      </patternFill>
    </fill>
    <fill>
      <patternFill patternType="solid">
        <fgColor indexed="10"/>
        <bgColor indexed="64"/>
      </patternFill>
    </fill>
    <fill>
      <patternFill patternType="solid">
        <fgColor indexed="53"/>
        <bgColor indexed="64"/>
      </patternFill>
    </fill>
    <fill>
      <patternFill patternType="solid">
        <fgColor indexed="52"/>
        <bgColor indexed="64"/>
      </patternFill>
    </fill>
    <fill>
      <patternFill patternType="solid">
        <fgColor indexed="46"/>
        <bgColor indexed="64"/>
      </patternFill>
    </fill>
    <fill>
      <patternFill patternType="solid">
        <fgColor indexed="50"/>
        <bgColor indexed="64"/>
      </patternFill>
    </fill>
    <fill>
      <patternFill patternType="solid">
        <fgColor indexed="8"/>
        <bgColor indexed="64"/>
      </patternFill>
    </fill>
    <fill>
      <patternFill patternType="solid">
        <fgColor indexed="21"/>
        <bgColor indexed="64"/>
      </patternFill>
    </fill>
  </fills>
  <borders count="37">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ashed">
        <color auto="1"/>
      </left>
      <right/>
      <top/>
      <bottom/>
      <diagonal/>
    </border>
    <border>
      <left/>
      <right style="dashed">
        <color auto="1"/>
      </right>
      <top/>
      <bottom/>
      <diagonal/>
    </border>
    <border>
      <left style="dashed">
        <color auto="1"/>
      </left>
      <right/>
      <top style="thin">
        <color auto="1"/>
      </top>
      <bottom/>
      <diagonal/>
    </border>
    <border>
      <left/>
      <right style="dashed">
        <color auto="1"/>
      </right>
      <top style="thin">
        <color auto="1"/>
      </top>
      <bottom/>
      <diagonal/>
    </border>
    <border>
      <left style="dashed">
        <color auto="1"/>
      </left>
      <right/>
      <top/>
      <bottom style="thin">
        <color auto="1"/>
      </bottom>
      <diagonal/>
    </border>
    <border>
      <left/>
      <right style="dashed">
        <color auto="1"/>
      </right>
      <top/>
      <bottom style="thin">
        <color auto="1"/>
      </bottom>
      <diagonal/>
    </border>
    <border>
      <left style="thin">
        <color auto="1"/>
      </left>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style="thin">
        <color auto="1"/>
      </left>
      <right style="thin">
        <color auto="1"/>
      </right>
      <top/>
      <bottom style="dashed">
        <color auto="1"/>
      </bottom>
      <diagonal/>
    </border>
    <border>
      <left style="thin">
        <color auto="1"/>
      </left>
      <right/>
      <top style="dashed">
        <color auto="1"/>
      </top>
      <bottom/>
      <diagonal/>
    </border>
    <border>
      <left/>
      <right/>
      <top style="dashed">
        <color auto="1"/>
      </top>
      <bottom/>
      <diagonal/>
    </border>
    <border>
      <left style="dashed">
        <color auto="1"/>
      </left>
      <right/>
      <top style="dashed">
        <color auto="1"/>
      </top>
      <bottom/>
      <diagonal/>
    </border>
    <border>
      <left/>
      <right style="dashed">
        <color auto="1"/>
      </right>
      <top style="dashed">
        <color auto="1"/>
      </top>
      <bottom/>
      <diagonal/>
    </border>
    <border>
      <left/>
      <right style="thin">
        <color auto="1"/>
      </right>
      <top style="dashed">
        <color auto="1"/>
      </top>
      <bottom/>
      <diagonal/>
    </border>
    <border>
      <left style="thin">
        <color auto="1"/>
      </left>
      <right style="thin">
        <color auto="1"/>
      </right>
      <top style="dashed">
        <color auto="1"/>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11"/>
      </left>
      <right style="thin">
        <color indexed="11"/>
      </right>
      <top style="thin">
        <color indexed="11"/>
      </top>
      <bottom style="thin">
        <color indexed="11"/>
      </bottom>
      <diagonal/>
    </border>
  </borders>
  <cellStyleXfs count="151">
    <xf numFmtId="0" fontId="0" fillId="0" borderId="0"/>
    <xf numFmtId="0" fontId="29"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339">
    <xf numFmtId="0" fontId="0" fillId="0" borderId="0" xfId="0"/>
    <xf numFmtId="11" fontId="0" fillId="0" borderId="0" xfId="0" applyNumberFormat="1"/>
    <xf numFmtId="0" fontId="0" fillId="0" borderId="0" xfId="0" applyFill="1" applyBorder="1" applyAlignment="1">
      <alignment wrapText="1"/>
    </xf>
    <xf numFmtId="0" fontId="0" fillId="0" borderId="35" xfId="0" applyFill="1" applyBorder="1" applyAlignment="1">
      <alignment wrapText="1"/>
    </xf>
    <xf numFmtId="0" fontId="0" fillId="0" borderId="34" xfId="0" applyBorder="1" applyAlignment="1">
      <alignment wrapText="1"/>
    </xf>
    <xf numFmtId="0" fontId="0" fillId="0" borderId="3" xfId="0" applyBorder="1"/>
    <xf numFmtId="0" fontId="0" fillId="0" borderId="1" xfId="0" applyBorder="1"/>
    <xf numFmtId="0" fontId="0" fillId="0" borderId="4"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8" xfId="0" applyBorder="1"/>
    <xf numFmtId="0" fontId="0" fillId="0" borderId="0" xfId="0" applyFill="1" applyBorder="1"/>
    <xf numFmtId="0" fontId="0" fillId="0" borderId="14" xfId="0" applyFill="1" applyBorder="1"/>
    <xf numFmtId="0" fontId="0" fillId="0" borderId="12" xfId="0" applyFill="1" applyBorder="1"/>
    <xf numFmtId="0" fontId="0" fillId="2" borderId="0" xfId="0" applyFill="1"/>
    <xf numFmtId="0" fontId="0" fillId="0" borderId="3" xfId="0" applyFill="1" applyBorder="1"/>
    <xf numFmtId="0" fontId="0" fillId="3" borderId="0" xfId="0" applyFill="1"/>
    <xf numFmtId="0" fontId="0" fillId="3" borderId="3" xfId="0" applyFill="1" applyBorder="1"/>
    <xf numFmtId="0" fontId="0" fillId="4" borderId="0" xfId="0" applyFill="1"/>
    <xf numFmtId="11" fontId="0" fillId="0" borderId="0" xfId="0" applyNumberFormat="1"/>
    <xf numFmtId="2" fontId="0" fillId="0" borderId="0" xfId="0" applyNumberFormat="1"/>
    <xf numFmtId="11" fontId="0" fillId="0" borderId="0" xfId="0" applyNumberFormat="1" applyBorder="1"/>
    <xf numFmtId="11" fontId="0" fillId="0" borderId="6" xfId="0" applyNumberFormat="1" applyBorder="1"/>
    <xf numFmtId="0" fontId="0" fillId="0" borderId="0" xfId="0" applyFill="1"/>
    <xf numFmtId="0" fontId="0" fillId="6" borderId="3" xfId="0" applyFill="1" applyBorder="1"/>
    <xf numFmtId="0" fontId="0" fillId="6" borderId="0" xfId="0" applyFill="1"/>
    <xf numFmtId="11" fontId="0" fillId="6" borderId="0" xfId="0" applyNumberFormat="1" applyFill="1"/>
    <xf numFmtId="0" fontId="0" fillId="6" borderId="0" xfId="0" applyFill="1" applyBorder="1"/>
    <xf numFmtId="0" fontId="0" fillId="7" borderId="0" xfId="0" applyFill="1"/>
    <xf numFmtId="0" fontId="0" fillId="9" borderId="3" xfId="0" applyFill="1" applyBorder="1"/>
    <xf numFmtId="0" fontId="16" fillId="0" borderId="3" xfId="0" applyFont="1" applyFill="1" applyBorder="1"/>
    <xf numFmtId="0" fontId="13" fillId="0" borderId="3" xfId="0" applyFont="1" applyFill="1" applyBorder="1"/>
    <xf numFmtId="0" fontId="15" fillId="0" borderId="3" xfId="0" applyFont="1" applyFill="1" applyBorder="1"/>
    <xf numFmtId="11" fontId="0" fillId="6" borderId="0" xfId="0" applyNumberFormat="1" applyFill="1" applyBorder="1"/>
    <xf numFmtId="0" fontId="0" fillId="4" borderId="3" xfId="0" applyFill="1" applyBorder="1"/>
    <xf numFmtId="0" fontId="0" fillId="8" borderId="0" xfId="0" applyFill="1"/>
    <xf numFmtId="0" fontId="0" fillId="0" borderId="0" xfId="0" applyAlignment="1">
      <alignment wrapText="1"/>
    </xf>
    <xf numFmtId="1" fontId="0" fillId="0" borderId="5" xfId="0" applyNumberFormat="1" applyBorder="1"/>
    <xf numFmtId="11" fontId="0" fillId="0" borderId="5" xfId="0" applyNumberFormat="1" applyBorder="1"/>
    <xf numFmtId="1" fontId="0" fillId="0" borderId="6" xfId="0" applyNumberFormat="1" applyBorder="1"/>
    <xf numFmtId="0" fontId="0" fillId="0" borderId="0" xfId="0"/>
    <xf numFmtId="0" fontId="0" fillId="12" borderId="3" xfId="0" applyFill="1" applyBorder="1"/>
    <xf numFmtId="0" fontId="18" fillId="13" borderId="3" xfId="0" applyFont="1" applyFill="1" applyBorder="1"/>
    <xf numFmtId="0" fontId="0" fillId="0" borderId="0" xfId="0"/>
    <xf numFmtId="0" fontId="0" fillId="6" borderId="0" xfId="0" applyFill="1" applyAlignment="1">
      <alignment wrapText="1"/>
    </xf>
    <xf numFmtId="11" fontId="0" fillId="3" borderId="0" xfId="0" applyNumberFormat="1" applyFill="1"/>
    <xf numFmtId="0" fontId="11" fillId="0" borderId="0" xfId="0" applyFont="1"/>
    <xf numFmtId="0" fontId="0" fillId="0" borderId="10" xfId="0" applyBorder="1" applyAlignment="1">
      <alignment wrapText="1"/>
    </xf>
    <xf numFmtId="0" fontId="0" fillId="0" borderId="11" xfId="0" applyBorder="1" applyAlignment="1">
      <alignment wrapText="1"/>
    </xf>
    <xf numFmtId="11" fontId="0" fillId="0" borderId="11" xfId="0" applyNumberFormat="1" applyBorder="1" applyAlignment="1">
      <alignment wrapText="1"/>
    </xf>
    <xf numFmtId="11" fontId="0" fillId="0" borderId="12" xfId="0" applyNumberFormat="1" applyBorder="1" applyAlignment="1">
      <alignment wrapText="1"/>
    </xf>
    <xf numFmtId="11" fontId="0" fillId="0" borderId="11" xfId="0" applyNumberFormat="1" applyBorder="1"/>
    <xf numFmtId="11" fontId="0" fillId="0" borderId="12" xfId="0" applyNumberFormat="1" applyBorder="1"/>
    <xf numFmtId="165" fontId="0" fillId="0" borderId="11" xfId="0" applyNumberFormat="1" applyBorder="1"/>
    <xf numFmtId="165" fontId="0" fillId="0" borderId="12" xfId="0" applyNumberFormat="1" applyBorder="1"/>
    <xf numFmtId="11" fontId="0" fillId="0" borderId="2" xfId="0" applyNumberFormat="1" applyBorder="1"/>
    <xf numFmtId="165" fontId="0" fillId="0" borderId="0" xfId="0" applyNumberFormat="1" applyBorder="1"/>
    <xf numFmtId="165" fontId="0" fillId="0" borderId="2" xfId="0" applyNumberFormat="1" applyBorder="1"/>
    <xf numFmtId="11" fontId="0" fillId="0" borderId="7" xfId="0" applyNumberFormat="1" applyBorder="1"/>
    <xf numFmtId="165" fontId="0" fillId="0" borderId="8" xfId="0" applyNumberFormat="1" applyBorder="1"/>
    <xf numFmtId="165" fontId="0" fillId="0" borderId="7" xfId="0" applyNumberFormat="1" applyBorder="1"/>
    <xf numFmtId="165" fontId="0" fillId="0" borderId="6" xfId="0" applyNumberFormat="1" applyBorder="1"/>
    <xf numFmtId="0" fontId="0" fillId="0" borderId="10" xfId="0" applyFill="1" applyBorder="1" applyAlignment="1">
      <alignment wrapText="1"/>
    </xf>
    <xf numFmtId="0" fontId="0" fillId="0" borderId="12" xfId="0" applyFill="1" applyBorder="1" applyAlignment="1">
      <alignment wrapText="1"/>
    </xf>
    <xf numFmtId="164" fontId="0" fillId="0" borderId="11" xfId="0" applyNumberFormat="1" applyBorder="1"/>
    <xf numFmtId="164" fontId="0" fillId="0" borderId="12" xfId="0" applyNumberFormat="1" applyBorder="1"/>
    <xf numFmtId="165" fontId="0" fillId="0" borderId="10" xfId="0" applyNumberFormat="1" applyBorder="1"/>
    <xf numFmtId="164" fontId="0" fillId="0" borderId="0" xfId="0" applyNumberFormat="1" applyBorder="1"/>
    <xf numFmtId="164" fontId="0" fillId="0" borderId="2" xfId="0" applyNumberFormat="1" applyBorder="1"/>
    <xf numFmtId="165" fontId="0" fillId="0" borderId="1" xfId="0" applyNumberFormat="1" applyBorder="1"/>
    <xf numFmtId="0" fontId="0" fillId="0" borderId="6" xfId="0" applyFill="1" applyBorder="1"/>
    <xf numFmtId="164" fontId="0" fillId="0" borderId="6" xfId="0" applyNumberFormat="1" applyBorder="1"/>
    <xf numFmtId="164" fontId="0" fillId="0" borderId="7" xfId="0" applyNumberFormat="1" applyBorder="1"/>
    <xf numFmtId="165" fontId="0" fillId="0" borderId="0" xfId="0" applyNumberFormat="1"/>
    <xf numFmtId="165" fontId="0" fillId="0" borderId="10" xfId="0" applyNumberFormat="1" applyFill="1"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2" xfId="0" applyBorder="1" applyAlignment="1">
      <alignment wrapText="1"/>
    </xf>
    <xf numFmtId="11" fontId="0" fillId="0" borderId="18" xfId="0" applyNumberFormat="1" applyBorder="1"/>
    <xf numFmtId="165" fontId="0" fillId="0" borderId="19" xfId="0" applyNumberFormat="1" applyBorder="1"/>
    <xf numFmtId="11" fontId="0" fillId="0" borderId="14" xfId="0" applyNumberFormat="1" applyBorder="1"/>
    <xf numFmtId="11" fontId="0" fillId="0" borderId="16" xfId="0" applyNumberFormat="1" applyBorder="1"/>
    <xf numFmtId="165" fontId="0" fillId="0" borderId="17" xfId="0" applyNumberFormat="1" applyBorder="1"/>
    <xf numFmtId="11" fontId="0" fillId="0" borderId="13" xfId="0" applyNumberFormat="1" applyBorder="1"/>
    <xf numFmtId="0" fontId="0" fillId="0" borderId="28" xfId="0" applyBorder="1"/>
    <xf numFmtId="0" fontId="0" fillId="0" borderId="29" xfId="0" applyBorder="1"/>
    <xf numFmtId="11" fontId="0" fillId="0" borderId="30" xfId="0" applyNumberFormat="1" applyBorder="1"/>
    <xf numFmtId="165" fontId="0" fillId="0" borderId="29" xfId="0" applyNumberFormat="1" applyBorder="1"/>
    <xf numFmtId="165" fontId="0" fillId="0" borderId="31" xfId="0" applyNumberFormat="1" applyBorder="1"/>
    <xf numFmtId="11" fontId="0" fillId="0" borderId="29" xfId="0" applyNumberFormat="1" applyBorder="1"/>
    <xf numFmtId="165" fontId="0" fillId="0" borderId="32" xfId="0" applyNumberFormat="1" applyBorder="1"/>
    <xf numFmtId="11" fontId="0" fillId="0" borderId="33" xfId="0" applyNumberFormat="1" applyBorder="1"/>
    <xf numFmtId="0" fontId="0" fillId="0" borderId="22" xfId="0" applyBorder="1"/>
    <xf numFmtId="0" fontId="0" fillId="0" borderId="23" xfId="0" applyBorder="1"/>
    <xf numFmtId="11" fontId="0" fillId="0" borderId="24" xfId="0" applyNumberFormat="1" applyBorder="1"/>
    <xf numFmtId="165" fontId="0" fillId="0" borderId="23" xfId="0" applyNumberFormat="1" applyBorder="1"/>
    <xf numFmtId="165" fontId="0" fillId="0" borderId="25" xfId="0" applyNumberFormat="1" applyBorder="1"/>
    <xf numFmtId="11" fontId="0" fillId="0" borderId="23" xfId="0" applyNumberFormat="1" applyBorder="1"/>
    <xf numFmtId="165" fontId="0" fillId="0" borderId="26" xfId="0" applyNumberFormat="1" applyBorder="1"/>
    <xf numFmtId="11" fontId="0" fillId="0" borderId="27" xfId="0" applyNumberFormat="1" applyBorder="1"/>
    <xf numFmtId="11" fontId="0" fillId="0" borderId="20" xfId="0" applyNumberFormat="1" applyBorder="1"/>
    <xf numFmtId="165" fontId="0" fillId="0" borderId="21" xfId="0" applyNumberFormat="1" applyBorder="1"/>
    <xf numFmtId="11" fontId="0" fillId="0" borderId="15" xfId="0" applyNumberFormat="1" applyBorder="1"/>
    <xf numFmtId="0" fontId="0" fillId="6" borderId="11" xfId="0" applyFill="1" applyBorder="1" applyAlignment="1">
      <alignment wrapText="1"/>
    </xf>
    <xf numFmtId="0" fontId="0" fillId="6" borderId="11" xfId="0" applyFill="1" applyBorder="1"/>
    <xf numFmtId="0" fontId="0" fillId="6" borderId="6" xfId="0" applyFill="1" applyBorder="1"/>
    <xf numFmtId="11" fontId="0" fillId="6" borderId="11" xfId="0" applyNumberFormat="1" applyFill="1" applyBorder="1"/>
    <xf numFmtId="11" fontId="0" fillId="6" borderId="29" xfId="0" applyNumberFormat="1" applyFill="1" applyBorder="1"/>
    <xf numFmtId="11" fontId="0" fillId="6" borderId="23" xfId="0" applyNumberFormat="1" applyFill="1" applyBorder="1"/>
    <xf numFmtId="11" fontId="0" fillId="6" borderId="6" xfId="0" applyNumberFormat="1" applyFill="1" applyBorder="1"/>
    <xf numFmtId="11" fontId="0" fillId="6" borderId="11" xfId="0" applyNumberFormat="1" applyFill="1" applyBorder="1" applyAlignment="1">
      <alignment wrapText="1"/>
    </xf>
    <xf numFmtId="164" fontId="0" fillId="6" borderId="11" xfId="0" applyNumberFormat="1" applyFill="1" applyBorder="1"/>
    <xf numFmtId="0" fontId="14" fillId="0" borderId="3" xfId="0" applyFont="1" applyFill="1" applyBorder="1"/>
    <xf numFmtId="0" fontId="19" fillId="0" borderId="3" xfId="0" applyFont="1" applyFill="1" applyBorder="1"/>
    <xf numFmtId="0" fontId="17" fillId="0" borderId="3" xfId="0" applyFont="1" applyFill="1" applyBorder="1"/>
    <xf numFmtId="0" fontId="11" fillId="0" borderId="3" xfId="0" applyFont="1" applyBorder="1"/>
    <xf numFmtId="0" fontId="0" fillId="0" borderId="0" xfId="0"/>
    <xf numFmtId="11" fontId="0" fillId="0" borderId="0" xfId="0" applyNumberFormat="1"/>
    <xf numFmtId="0" fontId="0" fillId="11" borderId="0" xfId="0" applyFill="1"/>
    <xf numFmtId="0" fontId="0" fillId="0" borderId="0" xfId="0"/>
    <xf numFmtId="0" fontId="0" fillId="0" borderId="0" xfId="0"/>
    <xf numFmtId="0" fontId="10" fillId="0" borderId="0" xfId="0" applyFont="1"/>
    <xf numFmtId="11" fontId="0" fillId="0" borderId="0" xfId="0" applyNumberFormat="1"/>
    <xf numFmtId="11" fontId="0" fillId="0" borderId="0" xfId="0" applyNumberFormat="1"/>
    <xf numFmtId="11" fontId="10" fillId="0" borderId="0" xfId="0" applyNumberFormat="1" applyFont="1"/>
    <xf numFmtId="11" fontId="0" fillId="0" borderId="0" xfId="0" applyNumberFormat="1"/>
    <xf numFmtId="11" fontId="10" fillId="0" borderId="0" xfId="0" applyNumberFormat="1" applyFont="1"/>
    <xf numFmtId="11" fontId="0" fillId="0" borderId="0" xfId="0" applyNumberFormat="1"/>
    <xf numFmtId="11" fontId="0" fillId="6" borderId="0" xfId="0" applyNumberFormat="1" applyFill="1"/>
    <xf numFmtId="11" fontId="0" fillId="0" borderId="0" xfId="0" applyNumberFormat="1"/>
    <xf numFmtId="11" fontId="10" fillId="0" borderId="0" xfId="0" applyNumberFormat="1" applyFont="1"/>
    <xf numFmtId="11" fontId="0" fillId="6" borderId="0" xfId="0" applyNumberFormat="1" applyFill="1"/>
    <xf numFmtId="11" fontId="0" fillId="0" borderId="0" xfId="0" applyNumberFormat="1"/>
    <xf numFmtId="11" fontId="10" fillId="0" borderId="0" xfId="0" applyNumberFormat="1" applyFont="1"/>
    <xf numFmtId="11" fontId="0" fillId="6" borderId="0" xfId="0" applyNumberFormat="1" applyFill="1"/>
    <xf numFmtId="11" fontId="0" fillId="5" borderId="0" xfId="0" applyNumberFormat="1" applyFill="1"/>
    <xf numFmtId="11" fontId="0" fillId="0" borderId="0" xfId="0" applyNumberFormat="1"/>
    <xf numFmtId="11" fontId="0" fillId="6" borderId="0" xfId="0" applyNumberFormat="1" applyFill="1"/>
    <xf numFmtId="11" fontId="0" fillId="6" borderId="0" xfId="0" applyNumberFormat="1" applyFill="1"/>
    <xf numFmtId="11" fontId="0" fillId="0" borderId="0" xfId="0" applyNumberFormat="1" applyFill="1"/>
    <xf numFmtId="11" fontId="0" fillId="6" borderId="0" xfId="0" applyNumberFormat="1" applyFill="1"/>
    <xf numFmtId="11" fontId="0" fillId="0" borderId="0" xfId="0" applyNumberFormat="1"/>
    <xf numFmtId="0" fontId="0" fillId="0" borderId="0" xfId="0"/>
    <xf numFmtId="0" fontId="15" fillId="0" borderId="0" xfId="0" applyFont="1"/>
    <xf numFmtId="0" fontId="0" fillId="14" borderId="0" xfId="0" applyFill="1"/>
    <xf numFmtId="0" fontId="0" fillId="0" borderId="0" xfId="0"/>
    <xf numFmtId="11" fontId="0" fillId="0" borderId="0" xfId="0" applyNumberFormat="1"/>
    <xf numFmtId="11" fontId="0" fillId="14" borderId="0" xfId="0" applyNumberFormat="1" applyFill="1"/>
    <xf numFmtId="0" fontId="8" fillId="0" borderId="0" xfId="0" applyFont="1"/>
    <xf numFmtId="11" fontId="0" fillId="0" borderId="0" xfId="0" applyNumberFormat="1"/>
    <xf numFmtId="11" fontId="0" fillId="14" borderId="0" xfId="0" applyNumberFormat="1" applyFill="1"/>
    <xf numFmtId="0" fontId="8" fillId="14" borderId="0" xfId="0" applyFont="1" applyFill="1"/>
    <xf numFmtId="11" fontId="0" fillId="0" borderId="0" xfId="0" applyNumberFormat="1"/>
    <xf numFmtId="11" fontId="8" fillId="0" borderId="0" xfId="0" applyNumberFormat="1" applyFont="1"/>
    <xf numFmtId="11" fontId="8" fillId="14" borderId="0" xfId="0" applyNumberFormat="1" applyFont="1" applyFill="1"/>
    <xf numFmtId="11" fontId="0" fillId="14" borderId="0" xfId="0" applyNumberFormat="1" applyFill="1"/>
    <xf numFmtId="11" fontId="0" fillId="0" borderId="0" xfId="0" applyNumberFormat="1"/>
    <xf numFmtId="11" fontId="8" fillId="0" borderId="0" xfId="0" applyNumberFormat="1" applyFont="1"/>
    <xf numFmtId="11" fontId="0" fillId="14" borderId="0" xfId="0" applyNumberFormat="1" applyFill="1"/>
    <xf numFmtId="11" fontId="0" fillId="0" borderId="0" xfId="0" applyNumberFormat="1"/>
    <xf numFmtId="11" fontId="8" fillId="0" borderId="0" xfId="0" applyNumberFormat="1" applyFont="1"/>
    <xf numFmtId="11" fontId="0" fillId="0" borderId="0" xfId="0" applyNumberFormat="1"/>
    <xf numFmtId="11" fontId="8" fillId="0" borderId="0" xfId="0" applyNumberFormat="1" applyFont="1"/>
    <xf numFmtId="11" fontId="8" fillId="14" borderId="0" xfId="0" applyNumberFormat="1" applyFont="1" applyFill="1"/>
    <xf numFmtId="17" fontId="0" fillId="0" borderId="0" xfId="0" applyNumberFormat="1"/>
    <xf numFmtId="11" fontId="7" fillId="0" borderId="0" xfId="0" applyNumberFormat="1" applyFont="1"/>
    <xf numFmtId="0" fontId="0" fillId="0" borderId="0" xfId="0"/>
    <xf numFmtId="0" fontId="0" fillId="0" borderId="0" xfId="0"/>
    <xf numFmtId="3" fontId="0" fillId="0" borderId="0" xfId="0" applyNumberFormat="1"/>
    <xf numFmtId="0" fontId="0" fillId="0" borderId="0" xfId="0"/>
    <xf numFmtId="0" fontId="0" fillId="0" borderId="0" xfId="0" applyNumberFormat="1"/>
    <xf numFmtId="11" fontId="0" fillId="0" borderId="0" xfId="0" applyNumberFormat="1"/>
    <xf numFmtId="11" fontId="0" fillId="0" borderId="0" xfId="0" applyNumberFormat="1"/>
    <xf numFmtId="11" fontId="0" fillId="0" borderId="0" xfId="0" applyNumberFormat="1"/>
    <xf numFmtId="0" fontId="0" fillId="0" borderId="0" xfId="0" applyNumberFormat="1"/>
    <xf numFmtId="11" fontId="0" fillId="0" borderId="0" xfId="0" applyNumberFormat="1"/>
    <xf numFmtId="11" fontId="0" fillId="0" borderId="0" xfId="0" applyNumberFormat="1"/>
    <xf numFmtId="11" fontId="0" fillId="0" borderId="0" xfId="0" applyNumberFormat="1"/>
    <xf numFmtId="11" fontId="0" fillId="6" borderId="0" xfId="0" applyNumberFormat="1" applyFill="1"/>
    <xf numFmtId="16" fontId="0" fillId="6" borderId="0" xfId="0" applyNumberFormat="1" applyFill="1"/>
    <xf numFmtId="11" fontId="20" fillId="8" borderId="0" xfId="0" applyNumberFormat="1" applyFont="1" applyFill="1"/>
    <xf numFmtId="0" fontId="20" fillId="8" borderId="0" xfId="0" applyFont="1" applyFill="1"/>
    <xf numFmtId="11" fontId="0" fillId="0" borderId="0" xfId="0" applyNumberFormat="1"/>
    <xf numFmtId="11" fontId="0" fillId="6" borderId="0" xfId="0" applyNumberFormat="1" applyFill="1"/>
    <xf numFmtId="11" fontId="0" fillId="6" borderId="0" xfId="0" applyNumberFormat="1" applyFill="1"/>
    <xf numFmtId="0" fontId="0" fillId="0" borderId="0" xfId="0"/>
    <xf numFmtId="11" fontId="0" fillId="0" borderId="0" xfId="0" applyNumberFormat="1"/>
    <xf numFmtId="11" fontId="0" fillId="6" borderId="0" xfId="0" applyNumberFormat="1" applyFill="1"/>
    <xf numFmtId="11" fontId="0" fillId="0" borderId="0" xfId="0" applyNumberFormat="1" applyFill="1"/>
    <xf numFmtId="11" fontId="0" fillId="6" borderId="0" xfId="0" applyNumberFormat="1" applyFill="1"/>
    <xf numFmtId="11" fontId="0" fillId="0" borderId="0" xfId="0" applyNumberFormat="1" applyFill="1"/>
    <xf numFmtId="11" fontId="0" fillId="0" borderId="0" xfId="0" applyNumberFormat="1"/>
    <xf numFmtId="0" fontId="0" fillId="0" borderId="0" xfId="0"/>
    <xf numFmtId="11" fontId="0" fillId="14" borderId="0" xfId="0" applyNumberFormat="1" applyFill="1"/>
    <xf numFmtId="0" fontId="0" fillId="0" borderId="0" xfId="0"/>
    <xf numFmtId="0" fontId="0" fillId="0" borderId="0" xfId="0"/>
    <xf numFmtId="11" fontId="0" fillId="6" borderId="0" xfId="0" applyNumberFormat="1" applyFill="1"/>
    <xf numFmtId="0" fontId="0" fillId="0" borderId="0" xfId="0"/>
    <xf numFmtId="0" fontId="0" fillId="0" borderId="0" xfId="0"/>
    <xf numFmtId="11" fontId="0" fillId="0" borderId="0" xfId="0" applyNumberFormat="1"/>
    <xf numFmtId="0" fontId="0" fillId="0" borderId="0" xfId="0"/>
    <xf numFmtId="0" fontId="0" fillId="0" borderId="0" xfId="0"/>
    <xf numFmtId="0" fontId="0" fillId="9" borderId="0" xfId="0" applyFill="1"/>
    <xf numFmtId="16" fontId="0" fillId="0" borderId="0" xfId="0" applyNumberFormat="1"/>
    <xf numFmtId="166" fontId="0" fillId="0" borderId="0" xfId="0" applyNumberFormat="1"/>
    <xf numFmtId="11" fontId="0" fillId="0" borderId="0" xfId="0" applyNumberFormat="1"/>
    <xf numFmtId="11" fontId="0" fillId="11" borderId="0" xfId="0" applyNumberFormat="1" applyFill="1"/>
    <xf numFmtId="0" fontId="21" fillId="0" borderId="0" xfId="0" applyFont="1"/>
    <xf numFmtId="11" fontId="0" fillId="0" borderId="0" xfId="0" applyNumberFormat="1" applyFill="1"/>
    <xf numFmtId="16" fontId="0" fillId="0" borderId="0" xfId="0" applyNumberFormat="1" applyFill="1"/>
    <xf numFmtId="11" fontId="0" fillId="0" borderId="0" xfId="0" applyNumberFormat="1"/>
    <xf numFmtId="11" fontId="0" fillId="11" borderId="0" xfId="0" applyNumberFormat="1" applyFill="1"/>
    <xf numFmtId="11" fontId="0" fillId="0" borderId="0" xfId="0" applyNumberFormat="1" applyFill="1"/>
    <xf numFmtId="11" fontId="0" fillId="0" borderId="0" xfId="0" applyNumberFormat="1"/>
    <xf numFmtId="11" fontId="0" fillId="6" borderId="0" xfId="0" applyNumberFormat="1" applyFill="1"/>
    <xf numFmtId="0" fontId="0" fillId="0" borderId="0" xfId="0"/>
    <xf numFmtId="11" fontId="0" fillId="0" borderId="0" xfId="0" applyNumberFormat="1"/>
    <xf numFmtId="11" fontId="0" fillId="0" borderId="0" xfId="0" applyNumberFormat="1" applyFill="1"/>
    <xf numFmtId="0" fontId="0" fillId="0" borderId="0" xfId="0"/>
    <xf numFmtId="0" fontId="0" fillId="0" borderId="0" xfId="0"/>
    <xf numFmtId="11" fontId="0" fillId="11" borderId="0" xfId="0" applyNumberFormat="1" applyFill="1"/>
    <xf numFmtId="0" fontId="0" fillId="0" borderId="0" xfId="0"/>
    <xf numFmtId="0" fontId="0" fillId="0" borderId="0" xfId="0"/>
    <xf numFmtId="0" fontId="0" fillId="0" borderId="0" xfId="0" applyAlignment="1">
      <alignment horizontal="center"/>
    </xf>
    <xf numFmtId="11" fontId="0" fillId="0" borderId="0" xfId="0" applyNumberFormat="1"/>
    <xf numFmtId="11" fontId="0" fillId="0" borderId="0" xfId="0" applyNumberFormat="1" applyAlignment="1">
      <alignment wrapText="1"/>
    </xf>
    <xf numFmtId="11" fontId="0" fillId="6" borderId="0" xfId="0" applyNumberFormat="1" applyFill="1" applyAlignment="1">
      <alignment wrapText="1"/>
    </xf>
    <xf numFmtId="11" fontId="0" fillId="0" borderId="0" xfId="0" applyNumberFormat="1" applyAlignment="1">
      <alignment wrapText="1"/>
    </xf>
    <xf numFmtId="11" fontId="0" fillId="0" borderId="0" xfId="0" applyNumberFormat="1" applyFill="1" applyAlignment="1">
      <alignment wrapText="1"/>
    </xf>
    <xf numFmtId="11" fontId="0" fillId="0" borderId="0" xfId="0" applyNumberFormat="1"/>
    <xf numFmtId="11" fontId="0" fillId="0" borderId="0" xfId="0" applyNumberFormat="1"/>
    <xf numFmtId="11" fontId="0" fillId="2" borderId="0" xfId="0" applyNumberFormat="1" applyFill="1"/>
    <xf numFmtId="11" fontId="0" fillId="0" borderId="0" xfId="0" applyNumberFormat="1"/>
    <xf numFmtId="11" fontId="0" fillId="11" borderId="0" xfId="0" applyNumberFormat="1" applyFill="1"/>
    <xf numFmtId="11" fontId="0" fillId="0" borderId="0" xfId="0" applyNumberFormat="1" applyFill="1"/>
    <xf numFmtId="11" fontId="0" fillId="11" borderId="0" xfId="0" applyNumberFormat="1" applyFill="1"/>
    <xf numFmtId="11" fontId="0" fillId="0" borderId="0" xfId="0" applyNumberFormat="1"/>
    <xf numFmtId="11" fontId="0" fillId="0" borderId="0" xfId="0" applyNumberFormat="1" applyFill="1"/>
    <xf numFmtId="11" fontId="0" fillId="9" borderId="0" xfId="0" applyNumberFormat="1" applyFill="1"/>
    <xf numFmtId="11" fontId="0" fillId="0" borderId="0" xfId="0" applyNumberFormat="1"/>
    <xf numFmtId="11" fontId="0" fillId="0" borderId="0" xfId="0" applyNumberFormat="1"/>
    <xf numFmtId="0" fontId="0" fillId="0" borderId="2" xfId="0" applyBorder="1" applyAlignment="1">
      <alignment horizontal="center"/>
    </xf>
    <xf numFmtId="0" fontId="22" fillId="0" borderId="0" xfId="0" applyFont="1"/>
    <xf numFmtId="0" fontId="0" fillId="0" borderId="0" xfId="0"/>
    <xf numFmtId="0" fontId="23" fillId="0" borderId="0" xfId="0" applyFont="1" applyAlignment="1">
      <alignment horizontal="right"/>
    </xf>
    <xf numFmtId="0" fontId="22" fillId="0" borderId="0" xfId="0" applyFont="1" applyAlignment="1">
      <alignment horizontal="right"/>
    </xf>
    <xf numFmtId="11" fontId="22" fillId="0" borderId="0" xfId="0" applyNumberFormat="1" applyFont="1" applyAlignment="1">
      <alignment horizontal="right"/>
    </xf>
    <xf numFmtId="11" fontId="0" fillId="0" borderId="0" xfId="0" applyNumberFormat="1"/>
    <xf numFmtId="11" fontId="0" fillId="0" borderId="0" xfId="0" applyNumberFormat="1" applyAlignment="1">
      <alignment horizontal="right"/>
    </xf>
    <xf numFmtId="11" fontId="15" fillId="0" borderId="0" xfId="0" applyNumberFormat="1" applyFont="1"/>
    <xf numFmtId="0" fontId="22" fillId="0" borderId="0" xfId="0" applyNumberFormat="1" applyFont="1" applyAlignment="1">
      <alignment horizontal="right"/>
    </xf>
    <xf numFmtId="0" fontId="15" fillId="0" borderId="0" xfId="0" applyNumberFormat="1" applyFont="1"/>
    <xf numFmtId="1" fontId="0" fillId="0" borderId="0" xfId="0" applyNumberFormat="1" applyAlignment="1">
      <alignment wrapText="1"/>
    </xf>
    <xf numFmtId="11" fontId="22" fillId="0" borderId="0" xfId="0" applyNumberFormat="1" applyFont="1" applyAlignment="1">
      <alignment horizontal="right" wrapText="1"/>
    </xf>
    <xf numFmtId="0" fontId="22" fillId="0" borderId="0" xfId="0" applyNumberFormat="1" applyFont="1" applyAlignment="1">
      <alignment horizontal="right" wrapText="1"/>
    </xf>
    <xf numFmtId="11" fontId="0" fillId="0" borderId="0" xfId="0" applyNumberFormat="1" applyAlignment="1">
      <alignment wrapText="1"/>
    </xf>
    <xf numFmtId="0" fontId="6" fillId="0" borderId="0" xfId="0" applyFont="1"/>
    <xf numFmtId="0" fontId="24" fillId="0" borderId="0" xfId="0" applyNumberFormat="1" applyFont="1" applyAlignment="1">
      <alignment horizontal="right"/>
    </xf>
    <xf numFmtId="0" fontId="10" fillId="0" borderId="0" xfId="0" applyFont="1" applyAlignment="1">
      <alignment wrapText="1"/>
    </xf>
    <xf numFmtId="0" fontId="10" fillId="6" borderId="0" xfId="0" applyFont="1" applyFill="1" applyAlignment="1">
      <alignment wrapText="1"/>
    </xf>
    <xf numFmtId="11" fontId="10" fillId="0" borderId="0" xfId="0" applyNumberFormat="1" applyFont="1" applyFill="1" applyAlignment="1">
      <alignment wrapText="1"/>
    </xf>
    <xf numFmtId="11" fontId="10" fillId="6" borderId="0" xfId="0" applyNumberFormat="1" applyFont="1" applyFill="1" applyAlignment="1">
      <alignment wrapText="1"/>
    </xf>
    <xf numFmtId="11" fontId="10" fillId="0" borderId="0" xfId="0" applyNumberFormat="1" applyFont="1" applyAlignment="1">
      <alignment wrapText="1"/>
    </xf>
    <xf numFmtId="11" fontId="9" fillId="0" borderId="0" xfId="0" applyNumberFormat="1" applyFont="1" applyAlignment="1">
      <alignment wrapText="1"/>
    </xf>
    <xf numFmtId="11" fontId="9" fillId="6" borderId="0" xfId="0" applyNumberFormat="1" applyFont="1" applyFill="1" applyAlignment="1">
      <alignment wrapText="1"/>
    </xf>
    <xf numFmtId="0" fontId="0" fillId="0" borderId="0" xfId="0"/>
    <xf numFmtId="0" fontId="5" fillId="0" borderId="0" xfId="0" applyFont="1"/>
    <xf numFmtId="0" fontId="0" fillId="10" borderId="0" xfId="0" applyFill="1" applyAlignment="1">
      <alignment wrapText="1"/>
    </xf>
    <xf numFmtId="1" fontId="0" fillId="0" borderId="0" xfId="0" applyNumberFormat="1" applyAlignment="1">
      <alignment wrapText="1"/>
    </xf>
    <xf numFmtId="1" fontId="0" fillId="0" borderId="0" xfId="0" applyNumberFormat="1"/>
    <xf numFmtId="1" fontId="0" fillId="0" borderId="0" xfId="0" applyNumberFormat="1"/>
    <xf numFmtId="0" fontId="9" fillId="6" borderId="0" xfId="0" applyFont="1" applyFill="1" applyAlignment="1">
      <alignment wrapText="1"/>
    </xf>
    <xf numFmtId="0" fontId="0" fillId="0" borderId="0" xfId="0" applyFill="1" applyAlignment="1">
      <alignment wrapText="1"/>
    </xf>
    <xf numFmtId="11" fontId="10" fillId="5" borderId="0" xfId="0" applyNumberFormat="1" applyFont="1" applyFill="1" applyAlignment="1">
      <alignment wrapText="1"/>
    </xf>
    <xf numFmtId="0" fontId="10" fillId="0" borderId="0" xfId="0" applyFont="1" applyFill="1" applyAlignment="1">
      <alignment wrapText="1"/>
    </xf>
    <xf numFmtId="11" fontId="0" fillId="0" borderId="0" xfId="0" applyNumberFormat="1"/>
    <xf numFmtId="0" fontId="8" fillId="0" borderId="0" xfId="0" applyFont="1" applyAlignment="1">
      <alignment wrapText="1"/>
    </xf>
    <xf numFmtId="0" fontId="8" fillId="14" borderId="0" xfId="0" applyFont="1" applyFill="1" applyAlignment="1">
      <alignment wrapText="1"/>
    </xf>
    <xf numFmtId="11" fontId="8" fillId="14" borderId="0" xfId="0" applyNumberFormat="1" applyFont="1" applyFill="1" applyAlignment="1">
      <alignment wrapText="1"/>
    </xf>
    <xf numFmtId="0" fontId="0" fillId="0" borderId="0" xfId="0"/>
    <xf numFmtId="0" fontId="0" fillId="7" borderId="0" xfId="0" applyFill="1" applyAlignment="1">
      <alignment wrapText="1"/>
    </xf>
    <xf numFmtId="0" fontId="0" fillId="0" borderId="0" xfId="0" applyFont="1"/>
    <xf numFmtId="0" fontId="0" fillId="0" borderId="0" xfId="0"/>
    <xf numFmtId="11" fontId="4" fillId="6" borderId="0" xfId="0" applyNumberFormat="1" applyFont="1" applyFill="1" applyAlignment="1">
      <alignment wrapText="1"/>
    </xf>
    <xf numFmtId="11" fontId="25" fillId="0" borderId="0" xfId="0" applyNumberFormat="1" applyFont="1"/>
    <xf numFmtId="0" fontId="25" fillId="0" borderId="0" xfId="0" applyFont="1"/>
    <xf numFmtId="0" fontId="0" fillId="0" borderId="0" xfId="0"/>
    <xf numFmtId="0" fontId="4" fillId="0" borderId="0" xfId="0" applyFont="1" applyAlignment="1">
      <alignment wrapText="1"/>
    </xf>
    <xf numFmtId="11" fontId="4" fillId="5" borderId="0" xfId="0" applyNumberFormat="1" applyFont="1" applyFill="1" applyAlignment="1">
      <alignment wrapText="1"/>
    </xf>
    <xf numFmtId="0" fontId="0" fillId="5" borderId="0" xfId="0" applyNumberFormat="1" applyFill="1"/>
    <xf numFmtId="0" fontId="0" fillId="6" borderId="0" xfId="0" applyNumberFormat="1" applyFill="1"/>
    <xf numFmtId="0" fontId="0" fillId="0" borderId="0" xfId="0" applyNumberFormat="1" applyBorder="1"/>
    <xf numFmtId="0" fontId="0" fillId="0" borderId="0" xfId="0"/>
    <xf numFmtId="11" fontId="0" fillId="0" borderId="0" xfId="0" applyNumberFormat="1" applyAlignment="1">
      <alignment wrapText="1"/>
    </xf>
    <xf numFmtId="11" fontId="0" fillId="0" borderId="0" xfId="0" applyNumberFormat="1"/>
    <xf numFmtId="11" fontId="5" fillId="0" borderId="0" xfId="0" applyNumberFormat="1" applyFont="1"/>
    <xf numFmtId="0" fontId="0" fillId="0" borderId="0" xfId="0"/>
    <xf numFmtId="0" fontId="0" fillId="0" borderId="0" xfId="0"/>
    <xf numFmtId="0" fontId="26" fillId="0" borderId="0" xfId="0" applyFont="1"/>
    <xf numFmtId="49" fontId="0" fillId="0" borderId="0" xfId="0" applyNumberFormat="1"/>
    <xf numFmtId="0" fontId="27" fillId="0" borderId="0" xfId="0" applyFont="1"/>
    <xf numFmtId="0" fontId="0" fillId="11" borderId="0" xfId="0" applyFill="1" applyAlignment="1">
      <alignment wrapText="1"/>
    </xf>
    <xf numFmtId="0" fontId="0" fillId="9" borderId="0" xfId="0" applyFill="1" applyAlignment="1">
      <alignment wrapText="1"/>
    </xf>
    <xf numFmtId="2" fontId="0" fillId="0" borderId="0" xfId="0" applyNumberFormat="1" applyAlignment="1">
      <alignment wrapText="1"/>
    </xf>
    <xf numFmtId="0" fontId="0" fillId="0" borderId="0" xfId="0"/>
    <xf numFmtId="0" fontId="0" fillId="0" borderId="0" xfId="0"/>
    <xf numFmtId="9" fontId="0" fillId="0" borderId="0" xfId="0" applyNumberFormat="1"/>
    <xf numFmtId="0" fontId="0" fillId="0" borderId="0" xfId="0" applyNumberFormat="1" applyAlignment="1">
      <alignment vertical="top"/>
    </xf>
    <xf numFmtId="0" fontId="0" fillId="0" borderId="0" xfId="0" applyAlignment="1">
      <alignment vertical="top"/>
    </xf>
    <xf numFmtId="0" fontId="0" fillId="0" borderId="0" xfId="0"/>
    <xf numFmtId="0" fontId="0" fillId="0" borderId="0" xfId="0"/>
    <xf numFmtId="0" fontId="2" fillId="0" borderId="0" xfId="0" applyFont="1"/>
    <xf numFmtId="0" fontId="0" fillId="0" borderId="0" xfId="0"/>
    <xf numFmtId="11" fontId="28" fillId="0" borderId="36" xfId="0" applyNumberFormat="1" applyFont="1" applyFill="1"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1" fontId="0" fillId="0" borderId="0" xfId="0" applyNumberFormat="1" applyFont="1" applyAlignment="1">
      <alignment wrapText="1"/>
    </xf>
    <xf numFmtId="11" fontId="0" fillId="0" borderId="0" xfId="0" applyNumberFormat="1" applyFont="1"/>
    <xf numFmtId="0" fontId="0" fillId="0" borderId="0" xfId="0" applyBorder="1" applyAlignment="1">
      <alignment horizontal="center"/>
    </xf>
    <xf numFmtId="0" fontId="23" fillId="0" borderId="0" xfId="0" applyFont="1" applyBorder="1" applyAlignment="1">
      <alignment horizontal="right"/>
    </xf>
    <xf numFmtId="0" fontId="22" fillId="0" borderId="0" xfId="0" applyFont="1" applyBorder="1" applyAlignment="1">
      <alignment horizontal="right"/>
    </xf>
    <xf numFmtId="0" fontId="0" fillId="0" borderId="0" xfId="0"/>
    <xf numFmtId="1" fontId="0" fillId="0" borderId="0" xfId="0" applyNumberFormat="1" applyBorder="1"/>
    <xf numFmtId="2" fontId="0" fillId="0" borderId="0" xfId="0" applyNumberFormat="1"/>
    <xf numFmtId="0" fontId="0" fillId="0" borderId="0" xfId="0" applyAlignment="1">
      <alignment horizontal="center" wrapText="1"/>
    </xf>
    <xf numFmtId="0" fontId="0" fillId="0" borderId="0" xfId="0" applyFill="1" applyAlignment="1">
      <alignment horizontal="left" wrapText="1"/>
    </xf>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externalLink" Target="externalLinks/externalLink1.xml"/><Relationship Id="rId66" Type="http://schemas.openxmlformats.org/officeDocument/2006/relationships/theme" Target="theme/theme1.xml"/><Relationship Id="rId67" Type="http://schemas.openxmlformats.org/officeDocument/2006/relationships/styles" Target="styles.xml"/><Relationship Id="rId68" Type="http://schemas.openxmlformats.org/officeDocument/2006/relationships/sharedStrings" Target="sharedStrings.xml"/><Relationship Id="rId69" Type="http://schemas.openxmlformats.org/officeDocument/2006/relationships/calcChain" Target="calcChain.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140778927298"/>
          <c:y val="0.157757695060845"/>
          <c:w val="0.613046149500371"/>
          <c:h val="0.806360057265569"/>
        </c:manualLayout>
      </c:layout>
      <c:scatterChart>
        <c:scatterStyle val="lineMarker"/>
        <c:varyColors val="0"/>
        <c:ser>
          <c:idx val="0"/>
          <c:order val="0"/>
          <c:tx>
            <c:v>Archaea</c:v>
          </c:tx>
          <c:spPr>
            <a:ln>
              <a:solidFill>
                <a:schemeClr val="tx1"/>
              </a:solidFill>
            </a:ln>
          </c:spPr>
          <c:marker>
            <c:spPr>
              <a:solidFill>
                <a:schemeClr val="tx1"/>
              </a:solidFill>
              <a:ln>
                <a:solidFill>
                  <a:schemeClr val="tx1"/>
                </a:solidFill>
              </a:ln>
            </c:spPr>
          </c:marker>
          <c:errBars>
            <c:errDir val="x"/>
            <c:errBarType val="both"/>
            <c:errValType val="cust"/>
            <c:noEndCap val="0"/>
            <c:plus>
              <c:numRef>
                <c:f>[1]Overview!$E$16:$E$20</c:f>
                <c:numCache>
                  <c:formatCode>General</c:formatCode>
                  <c:ptCount val="5"/>
                  <c:pt idx="0">
                    <c:v>2.72431183971292E6</c:v>
                  </c:pt>
                  <c:pt idx="1">
                    <c:v>4.26459747025828E7</c:v>
                  </c:pt>
                  <c:pt idx="2">
                    <c:v>1.07537776308296E7</c:v>
                  </c:pt>
                  <c:pt idx="3">
                    <c:v>2.45800162733876E7</c:v>
                  </c:pt>
                  <c:pt idx="4">
                    <c:v>6.47220807246901E6</c:v>
                  </c:pt>
                </c:numCache>
              </c:numRef>
            </c:plus>
            <c:minus>
              <c:numRef>
                <c:f>[1]Overview!$E$16:$E$20</c:f>
                <c:numCache>
                  <c:formatCode>General</c:formatCode>
                  <c:ptCount val="5"/>
                  <c:pt idx="0">
                    <c:v>2.72431183971292E6</c:v>
                  </c:pt>
                  <c:pt idx="1">
                    <c:v>4.26459747025828E7</c:v>
                  </c:pt>
                  <c:pt idx="2">
                    <c:v>1.07537776308296E7</c:v>
                  </c:pt>
                  <c:pt idx="3">
                    <c:v>2.45800162733876E7</c:v>
                  </c:pt>
                  <c:pt idx="4">
                    <c:v>6.47220807246901E6</c:v>
                  </c:pt>
                </c:numCache>
              </c:numRef>
            </c:minus>
            <c:spPr>
              <a:ln>
                <a:solidFill>
                  <a:schemeClr val="accent1"/>
                </a:solidFill>
              </a:ln>
            </c:spPr>
          </c:errBars>
          <c:xVal>
            <c:numRef>
              <c:f>'[1]Arc vs. Bac'!$D$6:$D$10</c:f>
              <c:numCache>
                <c:formatCode>General</c:formatCode>
                <c:ptCount val="5"/>
                <c:pt idx="0">
                  <c:v>7.375E7</c:v>
                </c:pt>
                <c:pt idx="1">
                  <c:v>2.00871666666667E8</c:v>
                </c:pt>
                <c:pt idx="2">
                  <c:v>1.25866666666667E8</c:v>
                </c:pt>
                <c:pt idx="3">
                  <c:v>2.5014E8</c:v>
                </c:pt>
                <c:pt idx="4">
                  <c:v>6.92866666666667E7</c:v>
                </c:pt>
              </c:numCache>
            </c:numRef>
          </c:xVal>
          <c:yVal>
            <c:numRef>
              <c:f>'[1]Arc vs. Bac'!$C$6:$C$10</c:f>
              <c:numCache>
                <c:formatCode>General</c:formatCode>
                <c:ptCount val="5"/>
                <c:pt idx="0">
                  <c:v>5.0</c:v>
                </c:pt>
                <c:pt idx="1">
                  <c:v>80.0</c:v>
                </c:pt>
                <c:pt idx="2">
                  <c:v>160.0</c:v>
                </c:pt>
                <c:pt idx="3">
                  <c:v>310.0</c:v>
                </c:pt>
                <c:pt idx="4">
                  <c:v>1055.0</c:v>
                </c:pt>
              </c:numCache>
            </c:numRef>
          </c:yVal>
          <c:smooth val="0"/>
        </c:ser>
        <c:ser>
          <c:idx val="3"/>
          <c:order val="1"/>
          <c:tx>
            <c:v>MCG</c:v>
          </c:tx>
          <c:spPr>
            <a:ln w="25400">
              <a:solidFill>
                <a:schemeClr val="tx1"/>
              </a:solidFill>
              <a:prstDash val="sysDash"/>
            </a:ln>
          </c:spPr>
          <c:marker>
            <c:symbol val="diamond"/>
            <c:size val="7"/>
            <c:spPr>
              <a:noFill/>
              <a:ln>
                <a:solidFill>
                  <a:schemeClr val="tx1"/>
                </a:solidFill>
              </a:ln>
            </c:spPr>
          </c:marker>
          <c:errBars>
            <c:errDir val="x"/>
            <c:errBarType val="both"/>
            <c:errValType val="cust"/>
            <c:noEndCap val="0"/>
            <c:plus>
              <c:numRef>
                <c:f>[1]Overview!$E$6:$E$10</c:f>
                <c:numCache>
                  <c:formatCode>General</c:formatCode>
                  <c:ptCount val="5"/>
                  <c:pt idx="0">
                    <c:v>116270.719479721</c:v>
                  </c:pt>
                  <c:pt idx="1">
                    <c:v>4.07737253019638E6</c:v>
                  </c:pt>
                  <c:pt idx="2">
                    <c:v>342165.6518900284</c:v>
                  </c:pt>
                  <c:pt idx="3">
                    <c:v>1.42817961055324E6</c:v>
                  </c:pt>
                  <c:pt idx="4">
                    <c:v>1.88179949339279E6</c:v>
                  </c:pt>
                </c:numCache>
              </c:numRef>
            </c:plus>
            <c:minus>
              <c:numRef>
                <c:f>[1]Overview!$E$6:$E$10</c:f>
                <c:numCache>
                  <c:formatCode>General</c:formatCode>
                  <c:ptCount val="5"/>
                  <c:pt idx="0">
                    <c:v>116270.719479721</c:v>
                  </c:pt>
                  <c:pt idx="1">
                    <c:v>4.07737253019638E6</c:v>
                  </c:pt>
                  <c:pt idx="2">
                    <c:v>342165.6518900284</c:v>
                  </c:pt>
                  <c:pt idx="3">
                    <c:v>1.42817961055324E6</c:v>
                  </c:pt>
                  <c:pt idx="4">
                    <c:v>1.88179949339279E6</c:v>
                  </c:pt>
                </c:numCache>
              </c:numRef>
            </c:minus>
            <c:spPr>
              <a:ln>
                <a:solidFill>
                  <a:schemeClr val="accent1"/>
                </a:solidFill>
              </a:ln>
            </c:spPr>
          </c:errBars>
          <c:xVal>
            <c:numRef>
              <c:f>[1]Overview!$D$6:$D$10</c:f>
              <c:numCache>
                <c:formatCode>General</c:formatCode>
                <c:ptCount val="5"/>
                <c:pt idx="0">
                  <c:v>4.69270833333333E6</c:v>
                </c:pt>
                <c:pt idx="1">
                  <c:v>1.762125E7</c:v>
                </c:pt>
                <c:pt idx="2">
                  <c:v>7.06133333333333E6</c:v>
                </c:pt>
                <c:pt idx="3">
                  <c:v>1.2012E7</c:v>
                </c:pt>
                <c:pt idx="4">
                  <c:v>1.24386666666667E7</c:v>
                </c:pt>
              </c:numCache>
            </c:numRef>
          </c:xVal>
          <c:yVal>
            <c:numRef>
              <c:f>[1]Overview!$C$6:$C$10</c:f>
              <c:numCache>
                <c:formatCode>General</c:formatCode>
                <c:ptCount val="5"/>
                <c:pt idx="0">
                  <c:v>5.0</c:v>
                </c:pt>
                <c:pt idx="1">
                  <c:v>80.0</c:v>
                </c:pt>
                <c:pt idx="2">
                  <c:v>160.0</c:v>
                </c:pt>
                <c:pt idx="3">
                  <c:v>310.0</c:v>
                </c:pt>
                <c:pt idx="4">
                  <c:v>1055.0</c:v>
                </c:pt>
              </c:numCache>
            </c:numRef>
          </c:yVal>
          <c:smooth val="0"/>
        </c:ser>
        <c:ser>
          <c:idx val="1"/>
          <c:order val="2"/>
          <c:tx>
            <c:v>Bacteria</c:v>
          </c:tx>
          <c:spPr>
            <a:ln>
              <a:solidFill>
                <a:schemeClr val="tx1"/>
              </a:solidFill>
            </a:ln>
          </c:spPr>
          <c:marker>
            <c:spPr>
              <a:solidFill>
                <a:schemeClr val="tx1"/>
              </a:solidFill>
              <a:ln>
                <a:solidFill>
                  <a:schemeClr val="tx1"/>
                </a:solidFill>
              </a:ln>
            </c:spPr>
          </c:marker>
          <c:errBars>
            <c:errDir val="x"/>
            <c:errBarType val="both"/>
            <c:errValType val="cust"/>
            <c:noEndCap val="0"/>
            <c:plus>
              <c:numRef>
                <c:f>[1]Overview!$E$26:$E$30</c:f>
                <c:numCache>
                  <c:formatCode>General</c:formatCode>
                  <c:ptCount val="5"/>
                  <c:pt idx="0">
                    <c:v>2.60783075562815E8</c:v>
                  </c:pt>
                  <c:pt idx="1">
                    <c:v>2.83293515339362E7</c:v>
                  </c:pt>
                  <c:pt idx="2">
                    <c:v>4.28194597506005E6</c:v>
                  </c:pt>
                  <c:pt idx="3">
                    <c:v>1.62918875517848E6</c:v>
                  </c:pt>
                  <c:pt idx="4">
                    <c:v>4.95886653715679E6</c:v>
                  </c:pt>
                </c:numCache>
              </c:numRef>
            </c:plus>
            <c:minus>
              <c:numRef>
                <c:f>[1]Overview!$E$26:$E$30</c:f>
                <c:numCache>
                  <c:formatCode>General</c:formatCode>
                  <c:ptCount val="5"/>
                  <c:pt idx="0">
                    <c:v>2.60783075562815E8</c:v>
                  </c:pt>
                  <c:pt idx="1">
                    <c:v>2.83293515339362E7</c:v>
                  </c:pt>
                  <c:pt idx="2">
                    <c:v>4.28194597506005E6</c:v>
                  </c:pt>
                  <c:pt idx="3">
                    <c:v>1.62918875517848E6</c:v>
                  </c:pt>
                  <c:pt idx="4">
                    <c:v>4.95886653715679E6</c:v>
                  </c:pt>
                </c:numCache>
              </c:numRef>
            </c:minus>
            <c:spPr>
              <a:ln>
                <a:solidFill>
                  <a:schemeClr val="accent2"/>
                </a:solidFill>
              </a:ln>
            </c:spPr>
          </c:errBars>
          <c:xVal>
            <c:numRef>
              <c:f>[1]Overview!$D$26:$D$30</c:f>
              <c:numCache>
                <c:formatCode>General</c:formatCode>
                <c:ptCount val="5"/>
                <c:pt idx="0">
                  <c:v>2.69375E9</c:v>
                </c:pt>
                <c:pt idx="1">
                  <c:v>1.03716666666667E8</c:v>
                </c:pt>
                <c:pt idx="2">
                  <c:v>5.96266666666667E7</c:v>
                </c:pt>
                <c:pt idx="3">
                  <c:v>3.4342E7</c:v>
                </c:pt>
                <c:pt idx="4">
                  <c:v>2.52066666666667E7</c:v>
                </c:pt>
              </c:numCache>
            </c:numRef>
          </c:xVal>
          <c:yVal>
            <c:numRef>
              <c:f>[1]Overview!$C$26:$C$30</c:f>
              <c:numCache>
                <c:formatCode>General</c:formatCode>
                <c:ptCount val="5"/>
                <c:pt idx="0">
                  <c:v>5.0</c:v>
                </c:pt>
                <c:pt idx="1">
                  <c:v>80.0</c:v>
                </c:pt>
                <c:pt idx="2">
                  <c:v>160.0</c:v>
                </c:pt>
                <c:pt idx="3">
                  <c:v>310.0</c:v>
                </c:pt>
                <c:pt idx="4">
                  <c:v>1055.0</c:v>
                </c:pt>
              </c:numCache>
            </c:numRef>
          </c:yVal>
          <c:smooth val="0"/>
        </c:ser>
        <c:dLbls>
          <c:showLegendKey val="0"/>
          <c:showVal val="0"/>
          <c:showCatName val="0"/>
          <c:showSerName val="0"/>
          <c:showPercent val="0"/>
          <c:showBubbleSize val="0"/>
        </c:dLbls>
        <c:axId val="496973400"/>
        <c:axId val="496980840"/>
      </c:scatterChart>
      <c:valAx>
        <c:axId val="496973400"/>
        <c:scaling>
          <c:logBase val="10.0"/>
          <c:orientation val="minMax"/>
          <c:min val="1.0E6"/>
        </c:scaling>
        <c:delete val="0"/>
        <c:axPos val="t"/>
        <c:title>
          <c:tx>
            <c:rich>
              <a:bodyPr/>
              <a:lstStyle/>
              <a:p>
                <a:pPr>
                  <a:defRPr sz="1200"/>
                </a:pPr>
                <a:r>
                  <a:rPr lang="en-US" sz="1200"/>
                  <a:t>16S rRNA copies cm</a:t>
                </a:r>
                <a:r>
                  <a:rPr lang="en-US" sz="1200" baseline="30000"/>
                  <a:t>-3</a:t>
                </a:r>
                <a:r>
                  <a:rPr lang="en-US" sz="1200"/>
                  <a:t> sediment</a:t>
                </a:r>
              </a:p>
            </c:rich>
          </c:tx>
          <c:overlay val="0"/>
        </c:title>
        <c:numFmt formatCode="General" sourceLinked="1"/>
        <c:majorTickMark val="out"/>
        <c:minorTickMark val="none"/>
        <c:tickLblPos val="nextTo"/>
        <c:spPr>
          <a:ln w="25400">
            <a:solidFill>
              <a:schemeClr val="tx1"/>
            </a:solidFill>
          </a:ln>
        </c:spPr>
        <c:txPr>
          <a:bodyPr/>
          <a:lstStyle/>
          <a:p>
            <a:pPr>
              <a:defRPr sz="1200"/>
            </a:pPr>
            <a:endParaRPr lang="en-US"/>
          </a:p>
        </c:txPr>
        <c:crossAx val="496980840"/>
        <c:crosses val="autoZero"/>
        <c:crossBetween val="midCat"/>
      </c:valAx>
      <c:valAx>
        <c:axId val="496980840"/>
        <c:scaling>
          <c:orientation val="maxMin"/>
        </c:scaling>
        <c:delete val="0"/>
        <c:axPos val="l"/>
        <c:majorGridlines>
          <c:spPr>
            <a:ln>
              <a:noFill/>
            </a:ln>
          </c:spPr>
        </c:majorGridlines>
        <c:title>
          <c:tx>
            <c:rich>
              <a:bodyPr/>
              <a:lstStyle/>
              <a:p>
                <a:pPr>
                  <a:defRPr sz="1200"/>
                </a:pPr>
                <a:r>
                  <a:rPr lang="en-US" sz="1200"/>
                  <a:t>Depth (cmbsf)</a:t>
                </a:r>
              </a:p>
            </c:rich>
          </c:tx>
          <c:layout>
            <c:manualLayout>
              <c:xMode val="edge"/>
              <c:yMode val="edge"/>
              <c:x val="0.0"/>
              <c:y val="0.374706998258881"/>
            </c:manualLayout>
          </c:layout>
          <c:overlay val="0"/>
        </c:title>
        <c:numFmt formatCode="General" sourceLinked="1"/>
        <c:majorTickMark val="out"/>
        <c:minorTickMark val="none"/>
        <c:tickLblPos val="nextTo"/>
        <c:spPr>
          <a:ln w="25400">
            <a:solidFill>
              <a:schemeClr val="tx1"/>
            </a:solidFill>
          </a:ln>
        </c:spPr>
        <c:txPr>
          <a:bodyPr/>
          <a:lstStyle/>
          <a:p>
            <a:pPr>
              <a:defRPr sz="1200"/>
            </a:pPr>
            <a:endParaRPr lang="en-US"/>
          </a:p>
        </c:txPr>
        <c:crossAx val="496973400"/>
        <c:crosses val="autoZero"/>
        <c:crossBetween val="midCat"/>
      </c:valAx>
      <c:spPr>
        <a:ln w="25400">
          <a:noFill/>
        </a:ln>
      </c:spPr>
    </c:plotArea>
    <c:legend>
      <c:legendPos val="r"/>
      <c:layout>
        <c:manualLayout>
          <c:xMode val="edge"/>
          <c:yMode val="edge"/>
          <c:x val="0.580833657003637"/>
          <c:y val="0.633361220472441"/>
          <c:w val="0.374820451255252"/>
          <c:h val="0.314621062992126"/>
        </c:manualLayout>
      </c:layout>
      <c:overlay val="0"/>
      <c:txPr>
        <a:bodyPr/>
        <a:lstStyle/>
        <a:p>
          <a:pPr>
            <a:defRPr sz="13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13501</c:v>
          </c:tx>
          <c:spPr>
            <a:ln w="47625">
              <a:noFill/>
            </a:ln>
          </c:spPr>
          <c:xVal>
            <c:numRef>
              <c:f>'Breuker in press NP'!$E$3:$E$24</c:f>
              <c:numCache>
                <c:formatCode>0.00E+00</c:formatCode>
                <c:ptCount val="22"/>
                <c:pt idx="0">
                  <c:v>2.50713852791197E6</c:v>
                </c:pt>
                <c:pt idx="1">
                  <c:v>457149.533769633</c:v>
                </c:pt>
                <c:pt idx="2">
                  <c:v>254959.641984638</c:v>
                </c:pt>
                <c:pt idx="5">
                  <c:v>180947.201948637</c:v>
                </c:pt>
                <c:pt idx="9">
                  <c:v>47888.7787269286</c:v>
                </c:pt>
                <c:pt idx="10">
                  <c:v>146513.767998134</c:v>
                </c:pt>
                <c:pt idx="11">
                  <c:v>362726.240123837</c:v>
                </c:pt>
                <c:pt idx="12">
                  <c:v>167894.098346611</c:v>
                </c:pt>
                <c:pt idx="13">
                  <c:v>155269.389464315</c:v>
                </c:pt>
                <c:pt idx="14">
                  <c:v>132567.86296786</c:v>
                </c:pt>
                <c:pt idx="15">
                  <c:v>84457.6433939484</c:v>
                </c:pt>
                <c:pt idx="16">
                  <c:v>70217.6999257182</c:v>
                </c:pt>
                <c:pt idx="19">
                  <c:v>28535.7582467579</c:v>
                </c:pt>
                <c:pt idx="20">
                  <c:v>14670.7290094141</c:v>
                </c:pt>
                <c:pt idx="21">
                  <c:v>43761.5817474679</c:v>
                </c:pt>
              </c:numCache>
            </c:numRef>
          </c:xVal>
          <c:yVal>
            <c:numRef>
              <c:f>'Breuker in press NP'!$B$3:$B$24</c:f>
              <c:numCache>
                <c:formatCode>General</c:formatCode>
                <c:ptCount val="22"/>
                <c:pt idx="0">
                  <c:v>25.2384611060098</c:v>
                </c:pt>
                <c:pt idx="1">
                  <c:v>77.8591908251036</c:v>
                </c:pt>
                <c:pt idx="2">
                  <c:v>154.192980154788</c:v>
                </c:pt>
                <c:pt idx="3">
                  <c:v>173.775837190562</c:v>
                </c:pt>
                <c:pt idx="4">
                  <c:v>189.119802110076</c:v>
                </c:pt>
                <c:pt idx="5">
                  <c:v>224.24901148736</c:v>
                </c:pt>
                <c:pt idx="6">
                  <c:v>241.500665254951</c:v>
                </c:pt>
                <c:pt idx="7">
                  <c:v>252.77064632798</c:v>
                </c:pt>
                <c:pt idx="8">
                  <c:v>261.570751269606</c:v>
                </c:pt>
                <c:pt idx="9">
                  <c:v>272.196090924423</c:v>
                </c:pt>
                <c:pt idx="10">
                  <c:v>279.995502501733</c:v>
                </c:pt>
                <c:pt idx="11">
                  <c:v>323.628731518093</c:v>
                </c:pt>
                <c:pt idx="12">
                  <c:v>373.907014223338</c:v>
                </c:pt>
                <c:pt idx="13">
                  <c:v>424.316473961359</c:v>
                </c:pt>
                <c:pt idx="14">
                  <c:v>474.725933699379</c:v>
                </c:pt>
                <c:pt idx="15">
                  <c:v>526.203549275715</c:v>
                </c:pt>
                <c:pt idx="16">
                  <c:v>574.195603695444</c:v>
                </c:pt>
                <c:pt idx="17">
                  <c:v>626.044262878773</c:v>
                </c:pt>
                <c:pt idx="18">
                  <c:v>669.580046099357</c:v>
                </c:pt>
                <c:pt idx="19">
                  <c:v>714.371380919363</c:v>
                </c:pt>
                <c:pt idx="20">
                  <c:v>721.016434608249</c:v>
                </c:pt>
                <c:pt idx="21">
                  <c:v>762.534435261708</c:v>
                </c:pt>
              </c:numCache>
            </c:numRef>
          </c:yVal>
          <c:smooth val="0"/>
        </c:ser>
        <c:ser>
          <c:idx val="1"/>
          <c:order val="1"/>
          <c:tx>
            <c:v>13502</c:v>
          </c:tx>
          <c:spPr>
            <a:ln w="47625">
              <a:noFill/>
            </a:ln>
          </c:spPr>
          <c:xVal>
            <c:numRef>
              <c:f>'Breuker in press NP'!$E$25:$E$41</c:f>
              <c:numCache>
                <c:formatCode>0.00E+00</c:formatCode>
                <c:ptCount val="17"/>
                <c:pt idx="0">
                  <c:v>5.28006046021451E6</c:v>
                </c:pt>
                <c:pt idx="1">
                  <c:v>1.01462563994926E6</c:v>
                </c:pt>
                <c:pt idx="2">
                  <c:v>495117.770947176</c:v>
                </c:pt>
                <c:pt idx="3">
                  <c:v>162134.692951912</c:v>
                </c:pt>
                <c:pt idx="4">
                  <c:v>111881.617950749</c:v>
                </c:pt>
                <c:pt idx="5">
                  <c:v>106256.112530188</c:v>
                </c:pt>
                <c:pt idx="6">
                  <c:v>121592.226391729</c:v>
                </c:pt>
                <c:pt idx="7">
                  <c:v>32180.1230518115</c:v>
                </c:pt>
                <c:pt idx="8">
                  <c:v>29759.2643639518</c:v>
                </c:pt>
                <c:pt idx="9">
                  <c:v>30613.6689007562</c:v>
                </c:pt>
                <c:pt idx="10">
                  <c:v>30663.0978512088</c:v>
                </c:pt>
                <c:pt idx="11">
                  <c:v>16214.06378837</c:v>
                </c:pt>
                <c:pt idx="12">
                  <c:v>1983.03132823934</c:v>
                </c:pt>
              </c:numCache>
            </c:numRef>
          </c:xVal>
          <c:yVal>
            <c:numRef>
              <c:f>'Breuker in press NP'!$B$25:$B$41</c:f>
              <c:numCache>
                <c:formatCode>General</c:formatCode>
                <c:ptCount val="17"/>
                <c:pt idx="0">
                  <c:v>8.144219777748731</c:v>
                </c:pt>
                <c:pt idx="1">
                  <c:v>39.6042201525402</c:v>
                </c:pt>
                <c:pt idx="2">
                  <c:v>76.5211850907932</c:v>
                </c:pt>
                <c:pt idx="3">
                  <c:v>126.844442778704</c:v>
                </c:pt>
                <c:pt idx="4">
                  <c:v>176.410621591739</c:v>
                </c:pt>
                <c:pt idx="5">
                  <c:v>226.302869029102</c:v>
                </c:pt>
                <c:pt idx="6">
                  <c:v>275.565466709143</c:v>
                </c:pt>
                <c:pt idx="7">
                  <c:v>327.076813522478</c:v>
                </c:pt>
                <c:pt idx="8">
                  <c:v>377.62869403894</c:v>
                </c:pt>
                <c:pt idx="9">
                  <c:v>426.59520641643</c:v>
                </c:pt>
                <c:pt idx="10">
                  <c:v>476.884732867342</c:v>
                </c:pt>
                <c:pt idx="11">
                  <c:v>523.415977961432</c:v>
                </c:pt>
                <c:pt idx="12">
                  <c:v>577.763618986938</c:v>
                </c:pt>
                <c:pt idx="13">
                  <c:v>627.895732998519</c:v>
                </c:pt>
                <c:pt idx="14">
                  <c:v>678.282705245207</c:v>
                </c:pt>
                <c:pt idx="15">
                  <c:v>726.69827408504</c:v>
                </c:pt>
                <c:pt idx="16">
                  <c:v>776.86411933362</c:v>
                </c:pt>
              </c:numCache>
            </c:numRef>
          </c:yVal>
          <c:smooth val="0"/>
        </c:ser>
        <c:ser>
          <c:idx val="2"/>
          <c:order val="2"/>
          <c:tx>
            <c:v>13504</c:v>
          </c:tx>
          <c:spPr>
            <a:ln w="47625">
              <a:noFill/>
            </a:ln>
          </c:spPr>
          <c:xVal>
            <c:numRef>
              <c:f>'Breuker in press NP'!$E$42:$E$47</c:f>
              <c:numCache>
                <c:formatCode>0.00E+00</c:formatCode>
                <c:ptCount val="6"/>
                <c:pt idx="0">
                  <c:v>2.28284826389867E7</c:v>
                </c:pt>
                <c:pt idx="1">
                  <c:v>6.36436145556127E6</c:v>
                </c:pt>
                <c:pt idx="2">
                  <c:v>6.89699404914158E6</c:v>
                </c:pt>
                <c:pt idx="3">
                  <c:v>7.47392855240805E6</c:v>
                </c:pt>
                <c:pt idx="4">
                  <c:v>757573.599448589</c:v>
                </c:pt>
                <c:pt idx="5">
                  <c:v>400076.780071473</c:v>
                </c:pt>
              </c:numCache>
            </c:numRef>
          </c:xVal>
          <c:yVal>
            <c:numRef>
              <c:f>'Breuker in press NP'!$B$42:$B$47</c:f>
              <c:numCache>
                <c:formatCode>General</c:formatCode>
                <c:ptCount val="6"/>
                <c:pt idx="0">
                  <c:v>9.11492982028755</c:v>
                </c:pt>
                <c:pt idx="1">
                  <c:v>22.6374079418324</c:v>
                </c:pt>
                <c:pt idx="2">
                  <c:v>36.3636363636363</c:v>
                </c:pt>
                <c:pt idx="3">
                  <c:v>46.6652924310852</c:v>
                </c:pt>
                <c:pt idx="4">
                  <c:v>57.545490321009</c:v>
                </c:pt>
                <c:pt idx="5">
                  <c:v>67.5936510316137</c:v>
                </c:pt>
              </c:numCache>
            </c:numRef>
          </c:yVal>
          <c:smooth val="0"/>
        </c:ser>
        <c:ser>
          <c:idx val="3"/>
          <c:order val="3"/>
          <c:tx>
            <c:v>13512</c:v>
          </c:tx>
          <c:spPr>
            <a:ln w="47625">
              <a:noFill/>
            </a:ln>
          </c:spPr>
          <c:xVal>
            <c:numRef>
              <c:f>'Breuker in press NP'!$E$48:$E$58</c:f>
              <c:numCache>
                <c:formatCode>0.00E+00</c:formatCode>
                <c:ptCount val="11"/>
                <c:pt idx="0">
                  <c:v>1.91999761620861E8</c:v>
                </c:pt>
                <c:pt idx="2">
                  <c:v>2.87068142890953E6</c:v>
                </c:pt>
                <c:pt idx="4">
                  <c:v>552890.609777595</c:v>
                </c:pt>
                <c:pt idx="5">
                  <c:v>2.80914412719976E6</c:v>
                </c:pt>
                <c:pt idx="6">
                  <c:v>256346.956761471</c:v>
                </c:pt>
                <c:pt idx="7">
                  <c:v>243466.534759214</c:v>
                </c:pt>
                <c:pt idx="8">
                  <c:v>219236.606868836</c:v>
                </c:pt>
                <c:pt idx="9">
                  <c:v>475214.582930344</c:v>
                </c:pt>
                <c:pt idx="10">
                  <c:v>132645.657414394</c:v>
                </c:pt>
              </c:numCache>
            </c:numRef>
          </c:xVal>
          <c:yVal>
            <c:numRef>
              <c:f>'Breuker in press NP'!$B$48:$B$58</c:f>
              <c:numCache>
                <c:formatCode>General</c:formatCode>
                <c:ptCount val="11"/>
                <c:pt idx="0">
                  <c:v>7.08730768510031</c:v>
                </c:pt>
                <c:pt idx="1">
                  <c:v>44.8962764462268</c:v>
                </c:pt>
                <c:pt idx="2">
                  <c:v>94.9759196446976</c:v>
                </c:pt>
                <c:pt idx="3">
                  <c:v>142.034743174109</c:v>
                </c:pt>
                <c:pt idx="4">
                  <c:v>189.531680440771</c:v>
                </c:pt>
                <c:pt idx="5">
                  <c:v>242.655023143376</c:v>
                </c:pt>
                <c:pt idx="6">
                  <c:v>292.925810018177</c:v>
                </c:pt>
                <c:pt idx="7">
                  <c:v>339.393939393939</c:v>
                </c:pt>
                <c:pt idx="8">
                  <c:v>390.082644628099</c:v>
                </c:pt>
                <c:pt idx="9">
                  <c:v>438.567493112947</c:v>
                </c:pt>
                <c:pt idx="10">
                  <c:v>489.256198347107</c:v>
                </c:pt>
              </c:numCache>
            </c:numRef>
          </c:yVal>
          <c:smooth val="0"/>
        </c:ser>
        <c:dLbls>
          <c:showLegendKey val="0"/>
          <c:showVal val="0"/>
          <c:showCatName val="0"/>
          <c:showSerName val="0"/>
          <c:showPercent val="0"/>
          <c:showBubbleSize val="0"/>
        </c:dLbls>
        <c:axId val="553252776"/>
        <c:axId val="553258360"/>
      </c:scatterChart>
      <c:valAx>
        <c:axId val="553252776"/>
        <c:scaling>
          <c:logBase val="10.0"/>
          <c:orientation val="minMax"/>
          <c:min val="1000.0"/>
        </c:scaling>
        <c:delete val="0"/>
        <c:axPos val="t"/>
        <c:title>
          <c:tx>
            <c:rich>
              <a:bodyPr/>
              <a:lstStyle/>
              <a:p>
                <a:pPr>
                  <a:defRPr/>
                </a:pPr>
                <a:r>
                  <a:rPr lang="en-US"/>
                  <a:t>Total Archaea</a:t>
                </a:r>
              </a:p>
            </c:rich>
          </c:tx>
          <c:overlay val="0"/>
        </c:title>
        <c:numFmt formatCode="0.00E+00" sourceLinked="1"/>
        <c:majorTickMark val="out"/>
        <c:minorTickMark val="none"/>
        <c:tickLblPos val="nextTo"/>
        <c:crossAx val="553258360"/>
        <c:crosses val="autoZero"/>
        <c:crossBetween val="midCat"/>
      </c:valAx>
      <c:valAx>
        <c:axId val="553258360"/>
        <c:scaling>
          <c:orientation val="maxMin"/>
          <c:max val="800.0"/>
        </c:scaling>
        <c:delete val="0"/>
        <c:axPos val="l"/>
        <c:title>
          <c:tx>
            <c:rich>
              <a:bodyPr rot="-5400000" vert="horz"/>
              <a:lstStyle/>
              <a:p>
                <a:pPr>
                  <a:defRPr/>
                </a:pPr>
                <a:r>
                  <a:rPr lang="en-US"/>
                  <a:t>Depth (m)</a:t>
                </a:r>
              </a:p>
            </c:rich>
          </c:tx>
          <c:overlay val="0"/>
        </c:title>
        <c:numFmt formatCode="General" sourceLinked="1"/>
        <c:majorTickMark val="out"/>
        <c:minorTickMark val="none"/>
        <c:tickLblPos val="nextTo"/>
        <c:crossAx val="553252776"/>
        <c:crosses val="autoZero"/>
        <c:crossBetween val="midCat"/>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468405012753687"/>
                  <c:y val="0.0"/>
                </c:manualLayout>
              </c:layout>
              <c:tx>
                <c:rich>
                  <a:bodyPr/>
                  <a:lstStyle/>
                  <a:p>
                    <a:pPr>
                      <a:defRPr/>
                    </a:pPr>
                    <a:r>
                      <a:rPr lang="en-US" sz="1600" baseline="0"/>
                      <a:t>y = 9306.6e</a:t>
                    </a:r>
                    <a:r>
                      <a:rPr lang="en-US" sz="1600" baseline="30000"/>
                      <a:t>2.065x</a:t>
                    </a:r>
                    <a:endParaRPr lang="en-US" sz="1600"/>
                  </a:p>
                </c:rich>
              </c:tx>
              <c:numFmt formatCode="General" sourceLinked="0"/>
            </c:trendlineLbl>
          </c:trendline>
          <c:xVal>
            <c:numRef>
              <c:f>'EXD 2008 Engelen'!$P$5:$P$9</c:f>
              <c:numCache>
                <c:formatCode>General</c:formatCode>
                <c:ptCount val="5"/>
                <c:pt idx="0">
                  <c:v>1.15</c:v>
                </c:pt>
                <c:pt idx="1">
                  <c:v>2.25</c:v>
                </c:pt>
                <c:pt idx="2">
                  <c:v>3.4</c:v>
                </c:pt>
                <c:pt idx="3">
                  <c:v>4.5</c:v>
                </c:pt>
                <c:pt idx="4">
                  <c:v>5.6</c:v>
                </c:pt>
              </c:numCache>
            </c:numRef>
          </c:xVal>
          <c:yVal>
            <c:numRef>
              <c:f>'EXD 2008 Engelen'!$O$5:$O$9</c:f>
              <c:numCache>
                <c:formatCode>0.00E+00</c:formatCode>
                <c:ptCount val="5"/>
                <c:pt idx="0">
                  <c:v>100000.0</c:v>
                </c:pt>
                <c:pt idx="1">
                  <c:v>1.0E6</c:v>
                </c:pt>
                <c:pt idx="2">
                  <c:v>1.0E7</c:v>
                </c:pt>
                <c:pt idx="3">
                  <c:v>1.0E8</c:v>
                </c:pt>
                <c:pt idx="4">
                  <c:v>1.0E9</c:v>
                </c:pt>
              </c:numCache>
            </c:numRef>
          </c:yVal>
          <c:smooth val="0"/>
        </c:ser>
        <c:dLbls>
          <c:showLegendKey val="0"/>
          <c:showVal val="0"/>
          <c:showCatName val="0"/>
          <c:showSerName val="0"/>
          <c:showPercent val="0"/>
          <c:showBubbleSize val="0"/>
        </c:dLbls>
        <c:axId val="553344248"/>
        <c:axId val="553347080"/>
      </c:scatterChart>
      <c:valAx>
        <c:axId val="553344248"/>
        <c:scaling>
          <c:logBase val="10.0"/>
          <c:orientation val="minMax"/>
        </c:scaling>
        <c:delete val="0"/>
        <c:axPos val="b"/>
        <c:numFmt formatCode="General" sourceLinked="1"/>
        <c:majorTickMark val="out"/>
        <c:minorTickMark val="none"/>
        <c:tickLblPos val="nextTo"/>
        <c:crossAx val="553347080"/>
        <c:crosses val="autoZero"/>
        <c:crossBetween val="midCat"/>
      </c:valAx>
      <c:valAx>
        <c:axId val="553347080"/>
        <c:scaling>
          <c:logBase val="10.0"/>
          <c:orientation val="minMax"/>
        </c:scaling>
        <c:delete val="0"/>
        <c:axPos val="l"/>
        <c:majorGridlines/>
        <c:numFmt formatCode="0.00E+00" sourceLinked="1"/>
        <c:majorTickMark val="out"/>
        <c:minorTickMark val="none"/>
        <c:tickLblPos val="nextTo"/>
        <c:crossAx val="55334424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With efficiencies and operons</c:v>
          </c:tx>
          <c:spPr>
            <a:ln w="47625">
              <a:noFill/>
            </a:ln>
          </c:spPr>
          <c:xVal>
            <c:numRef>
              <c:f>'Leloup 2007'!$B$4:$B$35</c:f>
              <c:numCache>
                <c:formatCode>General</c:formatCode>
                <c:ptCount val="32"/>
                <c:pt idx="0">
                  <c:v>8.48263027295285</c:v>
                </c:pt>
                <c:pt idx="1">
                  <c:v>8.32630272952853</c:v>
                </c:pt>
                <c:pt idx="2">
                  <c:v>8.35235732009925</c:v>
                </c:pt>
                <c:pt idx="3">
                  <c:v>8.29652605459057</c:v>
                </c:pt>
                <c:pt idx="4">
                  <c:v>8.12903225806451</c:v>
                </c:pt>
                <c:pt idx="5">
                  <c:v>8.06575682382134</c:v>
                </c:pt>
                <c:pt idx="6">
                  <c:v>7.97270471464019</c:v>
                </c:pt>
                <c:pt idx="7">
                  <c:v>7.96898263027295</c:v>
                </c:pt>
                <c:pt idx="8">
                  <c:v>7.95781637717121</c:v>
                </c:pt>
                <c:pt idx="9">
                  <c:v>7.3287841191067</c:v>
                </c:pt>
                <c:pt idx="10">
                  <c:v>8.19602977667493</c:v>
                </c:pt>
                <c:pt idx="11">
                  <c:v>7.98759305210918</c:v>
                </c:pt>
                <c:pt idx="12">
                  <c:v>8.06203473945409</c:v>
                </c:pt>
                <c:pt idx="13">
                  <c:v>8.0955334987593</c:v>
                </c:pt>
                <c:pt idx="14">
                  <c:v>7.57071960297766</c:v>
                </c:pt>
                <c:pt idx="15">
                  <c:v>7.59305210918114</c:v>
                </c:pt>
                <c:pt idx="16">
                  <c:v>7.59677419354838</c:v>
                </c:pt>
                <c:pt idx="17">
                  <c:v>7.48511166253101</c:v>
                </c:pt>
                <c:pt idx="18">
                  <c:v>7.41811414392059</c:v>
                </c:pt>
                <c:pt idx="19">
                  <c:v>7.39205955334987</c:v>
                </c:pt>
                <c:pt idx="20">
                  <c:v>7.31389578163771</c:v>
                </c:pt>
                <c:pt idx="21">
                  <c:v>7.20967741935483</c:v>
                </c:pt>
                <c:pt idx="22">
                  <c:v>7.14267990074441</c:v>
                </c:pt>
                <c:pt idx="23">
                  <c:v>7.1091811414392</c:v>
                </c:pt>
                <c:pt idx="24">
                  <c:v>7.06079404466501</c:v>
                </c:pt>
                <c:pt idx="25">
                  <c:v>7.18734491315136</c:v>
                </c:pt>
                <c:pt idx="26">
                  <c:v>7.1575682382134</c:v>
                </c:pt>
                <c:pt idx="27">
                  <c:v>7.2394540942928</c:v>
                </c:pt>
                <c:pt idx="28">
                  <c:v>7.32506203473945</c:v>
                </c:pt>
                <c:pt idx="29">
                  <c:v>7.03473945409429</c:v>
                </c:pt>
                <c:pt idx="30">
                  <c:v>6.72208436724565</c:v>
                </c:pt>
                <c:pt idx="31">
                  <c:v>6.70347394540943</c:v>
                </c:pt>
              </c:numCache>
            </c:numRef>
          </c:xVal>
          <c:yVal>
            <c:numRef>
              <c:f>'Leloup 2007'!$C$4:$C$35</c:f>
              <c:numCache>
                <c:formatCode>General</c:formatCode>
                <c:ptCount val="32"/>
                <c:pt idx="0">
                  <c:v>8.85906040268456</c:v>
                </c:pt>
                <c:pt idx="1">
                  <c:v>8.77852348993288</c:v>
                </c:pt>
                <c:pt idx="2">
                  <c:v>8.59731543624161</c:v>
                </c:pt>
                <c:pt idx="3">
                  <c:v>8.51677852348993</c:v>
                </c:pt>
                <c:pt idx="4">
                  <c:v>8.77852348993288</c:v>
                </c:pt>
                <c:pt idx="5">
                  <c:v>8.55201342281879</c:v>
                </c:pt>
                <c:pt idx="6">
                  <c:v>8.45134228187919</c:v>
                </c:pt>
                <c:pt idx="7">
                  <c:v>8.708053691275159</c:v>
                </c:pt>
                <c:pt idx="8">
                  <c:v>7.88255033557046</c:v>
                </c:pt>
                <c:pt idx="9">
                  <c:v>7.4244966442953</c:v>
                </c:pt>
                <c:pt idx="10">
                  <c:v>7.88758389261744</c:v>
                </c:pt>
                <c:pt idx="11">
                  <c:v>7.84228187919463</c:v>
                </c:pt>
                <c:pt idx="12">
                  <c:v>7.78187919463087</c:v>
                </c:pt>
                <c:pt idx="13">
                  <c:v>7.53523489932885</c:v>
                </c:pt>
                <c:pt idx="14">
                  <c:v>7.88758389261744</c:v>
                </c:pt>
                <c:pt idx="15">
                  <c:v>7.68624161073825</c:v>
                </c:pt>
                <c:pt idx="16">
                  <c:v>7.54530201342281</c:v>
                </c:pt>
                <c:pt idx="17">
                  <c:v>7.46979865771812</c:v>
                </c:pt>
                <c:pt idx="18">
                  <c:v>7.46979865771812</c:v>
                </c:pt>
                <c:pt idx="19">
                  <c:v>7.36912751677852</c:v>
                </c:pt>
                <c:pt idx="20">
                  <c:v>7.25838926174496</c:v>
                </c:pt>
                <c:pt idx="21">
                  <c:v>7.38926174496644</c:v>
                </c:pt>
                <c:pt idx="22">
                  <c:v>7.33389261744966</c:v>
                </c:pt>
                <c:pt idx="23">
                  <c:v>7.26845637583892</c:v>
                </c:pt>
                <c:pt idx="24">
                  <c:v>7.25838926174496</c:v>
                </c:pt>
                <c:pt idx="25">
                  <c:v>7.10738255033557</c:v>
                </c:pt>
                <c:pt idx="26">
                  <c:v>7.05704697986577</c:v>
                </c:pt>
                <c:pt idx="27">
                  <c:v>7.02684563758389</c:v>
                </c:pt>
                <c:pt idx="28">
                  <c:v>6.97147651006711</c:v>
                </c:pt>
                <c:pt idx="29">
                  <c:v>7.05704697986577</c:v>
                </c:pt>
                <c:pt idx="30">
                  <c:v>7.11241610738255</c:v>
                </c:pt>
                <c:pt idx="31">
                  <c:v>6.97651006711409</c:v>
                </c:pt>
              </c:numCache>
            </c:numRef>
          </c:yVal>
          <c:smooth val="0"/>
        </c:ser>
        <c:ser>
          <c:idx val="1"/>
          <c:order val="1"/>
          <c:tx>
            <c:v>raw qPCR</c:v>
          </c:tx>
          <c:spPr>
            <a:ln w="47625">
              <a:noFill/>
            </a:ln>
          </c:spPr>
          <c:xVal>
            <c:numRef>
              <c:f>'Leloup 2007'!$D$4:$D$35</c:f>
              <c:numCache>
                <c:formatCode>General</c:formatCode>
                <c:ptCount val="32"/>
                <c:pt idx="0">
                  <c:v>8.877564771485163</c:v>
                </c:pt>
                <c:pt idx="1">
                  <c:v>8.721237228060843</c:v>
                </c:pt>
                <c:pt idx="2">
                  <c:v>8.747291818631563</c:v>
                </c:pt>
                <c:pt idx="3">
                  <c:v>8.691460553122883</c:v>
                </c:pt>
                <c:pt idx="4">
                  <c:v>8.523966756596824</c:v>
                </c:pt>
                <c:pt idx="5">
                  <c:v>8.460691322353653</c:v>
                </c:pt>
                <c:pt idx="6">
                  <c:v>8.367639213172504</c:v>
                </c:pt>
                <c:pt idx="7">
                  <c:v>8.363917128805263</c:v>
                </c:pt>
                <c:pt idx="8">
                  <c:v>8.35275087570352</c:v>
                </c:pt>
                <c:pt idx="9">
                  <c:v>7.723718617639013</c:v>
                </c:pt>
                <c:pt idx="10">
                  <c:v>8.59096427520724</c:v>
                </c:pt>
                <c:pt idx="11">
                  <c:v>8.38252755064149</c:v>
                </c:pt>
                <c:pt idx="12">
                  <c:v>8.4569692379864</c:v>
                </c:pt>
                <c:pt idx="13">
                  <c:v>8.490467997291613</c:v>
                </c:pt>
                <c:pt idx="14">
                  <c:v>7.965654101509974</c:v>
                </c:pt>
                <c:pt idx="15">
                  <c:v>7.987986607713453</c:v>
                </c:pt>
                <c:pt idx="16">
                  <c:v>7.991708692080693</c:v>
                </c:pt>
                <c:pt idx="17">
                  <c:v>7.880046161063323</c:v>
                </c:pt>
                <c:pt idx="18">
                  <c:v>7.813048642452903</c:v>
                </c:pt>
                <c:pt idx="19">
                  <c:v>7.786994051882183</c:v>
                </c:pt>
                <c:pt idx="20">
                  <c:v>7.708830280170023</c:v>
                </c:pt>
                <c:pt idx="21">
                  <c:v>7.604611917887143</c:v>
                </c:pt>
                <c:pt idx="22">
                  <c:v>7.537614399276723</c:v>
                </c:pt>
                <c:pt idx="23">
                  <c:v>7.504115639971513</c:v>
                </c:pt>
                <c:pt idx="24">
                  <c:v>7.455728543197323</c:v>
                </c:pt>
                <c:pt idx="25">
                  <c:v>7.582279411683673</c:v>
                </c:pt>
                <c:pt idx="26">
                  <c:v>7.552502736745712</c:v>
                </c:pt>
                <c:pt idx="27">
                  <c:v>7.634388592825112</c:v>
                </c:pt>
                <c:pt idx="28">
                  <c:v>7.719996533271764</c:v>
                </c:pt>
                <c:pt idx="29">
                  <c:v>7.429673952626603</c:v>
                </c:pt>
                <c:pt idx="30">
                  <c:v>7.117018865777963</c:v>
                </c:pt>
                <c:pt idx="31">
                  <c:v>7.098408443941743</c:v>
                </c:pt>
              </c:numCache>
            </c:numRef>
          </c:xVal>
          <c:yVal>
            <c:numRef>
              <c:f>'Leloup 2007'!$C$4:$C$35</c:f>
              <c:numCache>
                <c:formatCode>General</c:formatCode>
                <c:ptCount val="32"/>
                <c:pt idx="0">
                  <c:v>8.85906040268456</c:v>
                </c:pt>
                <c:pt idx="1">
                  <c:v>8.77852348993288</c:v>
                </c:pt>
                <c:pt idx="2">
                  <c:v>8.59731543624161</c:v>
                </c:pt>
                <c:pt idx="3">
                  <c:v>8.51677852348993</c:v>
                </c:pt>
                <c:pt idx="4">
                  <c:v>8.77852348993288</c:v>
                </c:pt>
                <c:pt idx="5">
                  <c:v>8.55201342281879</c:v>
                </c:pt>
                <c:pt idx="6">
                  <c:v>8.45134228187919</c:v>
                </c:pt>
                <c:pt idx="7">
                  <c:v>8.708053691275159</c:v>
                </c:pt>
                <c:pt idx="8">
                  <c:v>7.88255033557046</c:v>
                </c:pt>
                <c:pt idx="9">
                  <c:v>7.4244966442953</c:v>
                </c:pt>
                <c:pt idx="10">
                  <c:v>7.88758389261744</c:v>
                </c:pt>
                <c:pt idx="11">
                  <c:v>7.84228187919463</c:v>
                </c:pt>
                <c:pt idx="12">
                  <c:v>7.78187919463087</c:v>
                </c:pt>
                <c:pt idx="13">
                  <c:v>7.53523489932885</c:v>
                </c:pt>
                <c:pt idx="14">
                  <c:v>7.88758389261744</c:v>
                </c:pt>
                <c:pt idx="15">
                  <c:v>7.68624161073825</c:v>
                </c:pt>
                <c:pt idx="16">
                  <c:v>7.54530201342281</c:v>
                </c:pt>
                <c:pt idx="17">
                  <c:v>7.46979865771812</c:v>
                </c:pt>
                <c:pt idx="18">
                  <c:v>7.46979865771812</c:v>
                </c:pt>
                <c:pt idx="19">
                  <c:v>7.36912751677852</c:v>
                </c:pt>
                <c:pt idx="20">
                  <c:v>7.25838926174496</c:v>
                </c:pt>
                <c:pt idx="21">
                  <c:v>7.38926174496644</c:v>
                </c:pt>
                <c:pt idx="22">
                  <c:v>7.33389261744966</c:v>
                </c:pt>
                <c:pt idx="23">
                  <c:v>7.26845637583892</c:v>
                </c:pt>
                <c:pt idx="24">
                  <c:v>7.25838926174496</c:v>
                </c:pt>
                <c:pt idx="25">
                  <c:v>7.10738255033557</c:v>
                </c:pt>
                <c:pt idx="26">
                  <c:v>7.05704697986577</c:v>
                </c:pt>
                <c:pt idx="27">
                  <c:v>7.02684563758389</c:v>
                </c:pt>
                <c:pt idx="28">
                  <c:v>6.97147651006711</c:v>
                </c:pt>
                <c:pt idx="29">
                  <c:v>7.05704697986577</c:v>
                </c:pt>
                <c:pt idx="30">
                  <c:v>7.11241610738255</c:v>
                </c:pt>
                <c:pt idx="31">
                  <c:v>6.97651006711409</c:v>
                </c:pt>
              </c:numCache>
            </c:numRef>
          </c:yVal>
          <c:smooth val="0"/>
        </c:ser>
        <c:ser>
          <c:idx val="2"/>
          <c:order val="2"/>
          <c:tx>
            <c:v>1 to 1 line</c:v>
          </c:tx>
          <c:spPr>
            <a:ln w="47625">
              <a:noFill/>
            </a:ln>
          </c:spPr>
          <c:marker>
            <c:symbol val="none"/>
          </c:marker>
          <c:trendline>
            <c:trendlineType val="linear"/>
            <c:dispRSqr val="0"/>
            <c:dispEq val="0"/>
          </c:trendline>
          <c:xVal>
            <c:numRef>
              <c:f>'Leloup 2007'!$B$40:$B$41</c:f>
              <c:numCache>
                <c:formatCode>General</c:formatCode>
                <c:ptCount val="2"/>
                <c:pt idx="0">
                  <c:v>9.0</c:v>
                </c:pt>
                <c:pt idx="1">
                  <c:v>6.0</c:v>
                </c:pt>
              </c:numCache>
            </c:numRef>
          </c:xVal>
          <c:yVal>
            <c:numRef>
              <c:f>'Leloup 2007'!$C$40:$C$41</c:f>
              <c:numCache>
                <c:formatCode>General</c:formatCode>
                <c:ptCount val="2"/>
                <c:pt idx="0">
                  <c:v>9.0</c:v>
                </c:pt>
                <c:pt idx="1">
                  <c:v>6.0</c:v>
                </c:pt>
              </c:numCache>
            </c:numRef>
          </c:yVal>
          <c:smooth val="0"/>
        </c:ser>
        <c:dLbls>
          <c:showLegendKey val="0"/>
          <c:showVal val="0"/>
          <c:showCatName val="0"/>
          <c:showSerName val="0"/>
          <c:showPercent val="0"/>
          <c:showBubbleSize val="0"/>
        </c:dLbls>
        <c:axId val="553462008"/>
        <c:axId val="553467336"/>
      </c:scatterChart>
      <c:valAx>
        <c:axId val="553462008"/>
        <c:scaling>
          <c:orientation val="minMax"/>
          <c:min val="6.0"/>
        </c:scaling>
        <c:delete val="0"/>
        <c:axPos val="b"/>
        <c:title>
          <c:tx>
            <c:rich>
              <a:bodyPr/>
              <a:lstStyle/>
              <a:p>
                <a:pPr>
                  <a:defRPr/>
                </a:pPr>
                <a:r>
                  <a:rPr lang="en-US"/>
                  <a:t>qPCR per gram</a:t>
                </a:r>
              </a:p>
            </c:rich>
          </c:tx>
          <c:layout/>
          <c:overlay val="0"/>
        </c:title>
        <c:numFmt formatCode="General" sourceLinked="1"/>
        <c:majorTickMark val="out"/>
        <c:minorTickMark val="none"/>
        <c:tickLblPos val="nextTo"/>
        <c:crossAx val="553467336"/>
        <c:crosses val="autoZero"/>
        <c:crossBetween val="midCat"/>
      </c:valAx>
      <c:valAx>
        <c:axId val="553467336"/>
        <c:scaling>
          <c:orientation val="minMax"/>
          <c:max val="9.0"/>
          <c:min val="6.0"/>
        </c:scaling>
        <c:delete val="0"/>
        <c:axPos val="l"/>
        <c:title>
          <c:tx>
            <c:rich>
              <a:bodyPr rot="-5400000" vert="horz"/>
              <a:lstStyle/>
              <a:p>
                <a:pPr>
                  <a:defRPr/>
                </a:pPr>
                <a:r>
                  <a:rPr lang="en-US"/>
                  <a:t>AODC per gram</a:t>
                </a:r>
              </a:p>
            </c:rich>
          </c:tx>
          <c:layout/>
          <c:overlay val="0"/>
        </c:title>
        <c:numFmt formatCode="General" sourceLinked="1"/>
        <c:majorTickMark val="out"/>
        <c:minorTickMark val="none"/>
        <c:tickLblPos val="nextTo"/>
        <c:crossAx val="5534620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418055118110236"/>
                  <c:y val="0.0555555555555555"/>
                </c:manualLayout>
              </c:layout>
              <c:tx>
                <c:rich>
                  <a:bodyPr/>
                  <a:lstStyle/>
                  <a:p>
                    <a:pPr>
                      <a:defRPr/>
                    </a:pPr>
                    <a:r>
                      <a:rPr lang="en-US" sz="1600" baseline="0"/>
                      <a:t>y = 5E+06e</a:t>
                    </a:r>
                    <a:r>
                      <a:rPr lang="en-US" sz="1600" baseline="30000"/>
                      <a:t>0.6453x</a:t>
                    </a:r>
                    <a:endParaRPr lang="en-US" sz="1600"/>
                  </a:p>
                </c:rich>
              </c:tx>
              <c:numFmt formatCode="General" sourceLinked="0"/>
            </c:trendlineLbl>
          </c:trendline>
          <c:xVal>
            <c:numRef>
              <c:f>'EXD Nunoura 2006'!$A$14:$A$17</c:f>
              <c:numCache>
                <c:formatCode>General</c:formatCode>
                <c:ptCount val="4"/>
                <c:pt idx="0">
                  <c:v>1.1</c:v>
                </c:pt>
                <c:pt idx="1">
                  <c:v>4.8</c:v>
                </c:pt>
                <c:pt idx="2">
                  <c:v>8.5</c:v>
                </c:pt>
                <c:pt idx="3">
                  <c:v>11.75</c:v>
                </c:pt>
              </c:numCache>
            </c:numRef>
          </c:xVal>
          <c:yVal>
            <c:numRef>
              <c:f>'EXD Nunoura 2006'!$B$14:$B$17</c:f>
              <c:numCache>
                <c:formatCode>0.00E+00</c:formatCode>
                <c:ptCount val="4"/>
                <c:pt idx="0">
                  <c:v>1.0E7</c:v>
                </c:pt>
                <c:pt idx="1">
                  <c:v>1.0E8</c:v>
                </c:pt>
                <c:pt idx="2">
                  <c:v>1.0E9</c:v>
                </c:pt>
                <c:pt idx="3">
                  <c:v>1.0E10</c:v>
                </c:pt>
              </c:numCache>
            </c:numRef>
          </c:yVal>
          <c:smooth val="0"/>
        </c:ser>
        <c:dLbls>
          <c:showLegendKey val="0"/>
          <c:showVal val="0"/>
          <c:showCatName val="0"/>
          <c:showSerName val="0"/>
          <c:showPercent val="0"/>
          <c:showBubbleSize val="0"/>
        </c:dLbls>
        <c:axId val="559943752"/>
        <c:axId val="559946584"/>
      </c:scatterChart>
      <c:valAx>
        <c:axId val="559943752"/>
        <c:scaling>
          <c:orientation val="minMax"/>
        </c:scaling>
        <c:delete val="0"/>
        <c:axPos val="b"/>
        <c:numFmt formatCode="General" sourceLinked="1"/>
        <c:majorTickMark val="out"/>
        <c:minorTickMark val="none"/>
        <c:tickLblPos val="nextTo"/>
        <c:crossAx val="559946584"/>
        <c:crosses val="autoZero"/>
        <c:crossBetween val="midCat"/>
      </c:valAx>
      <c:valAx>
        <c:axId val="559946584"/>
        <c:scaling>
          <c:logBase val="10.0"/>
          <c:orientation val="minMax"/>
        </c:scaling>
        <c:delete val="0"/>
        <c:axPos val="l"/>
        <c:majorGridlines/>
        <c:numFmt formatCode="0.00E+00" sourceLinked="1"/>
        <c:majorTickMark val="out"/>
        <c:minorTickMark val="none"/>
        <c:tickLblPos val="nextTo"/>
        <c:crossAx val="55994375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262433508311461"/>
                  <c:y val="0.712962962962963"/>
                </c:manualLayout>
              </c:layout>
              <c:tx>
                <c:rich>
                  <a:bodyPr/>
                  <a:lstStyle/>
                  <a:p>
                    <a:pPr>
                      <a:defRPr/>
                    </a:pPr>
                    <a:r>
                      <a:rPr lang="en-US" sz="1600" baseline="0"/>
                      <a:t>y = 107.75e</a:t>
                    </a:r>
                    <a:r>
                      <a:rPr lang="en-US" sz="1600" baseline="30000"/>
                      <a:t>2.0171x</a:t>
                    </a:r>
                    <a:endParaRPr lang="en-US" sz="1600"/>
                  </a:p>
                </c:rich>
              </c:tx>
              <c:numFmt formatCode="General" sourceLinked="0"/>
            </c:trendlineLbl>
          </c:trendline>
          <c:xVal>
            <c:numRef>
              <c:f>'EXD Nunoura 2008'!$B$27:$B$32</c:f>
              <c:numCache>
                <c:formatCode>General</c:formatCode>
                <c:ptCount val="6"/>
                <c:pt idx="0">
                  <c:v>1.1</c:v>
                </c:pt>
                <c:pt idx="1">
                  <c:v>2.25</c:v>
                </c:pt>
                <c:pt idx="2">
                  <c:v>3.4</c:v>
                </c:pt>
                <c:pt idx="3">
                  <c:v>4.5</c:v>
                </c:pt>
                <c:pt idx="4">
                  <c:v>5.7</c:v>
                </c:pt>
                <c:pt idx="5">
                  <c:v>6.8</c:v>
                </c:pt>
              </c:numCache>
            </c:numRef>
          </c:xVal>
          <c:yVal>
            <c:numRef>
              <c:f>'EXD Nunoura 2008'!$A$27:$A$32</c:f>
              <c:numCache>
                <c:formatCode>0.00E+00</c:formatCode>
                <c:ptCount val="6"/>
                <c:pt idx="0">
                  <c:v>1000.0</c:v>
                </c:pt>
                <c:pt idx="1">
                  <c:v>10000.0</c:v>
                </c:pt>
                <c:pt idx="2">
                  <c:v>100000.0</c:v>
                </c:pt>
                <c:pt idx="3">
                  <c:v>1.0E6</c:v>
                </c:pt>
                <c:pt idx="4">
                  <c:v>1.0E7</c:v>
                </c:pt>
                <c:pt idx="5">
                  <c:v>1.0E8</c:v>
                </c:pt>
              </c:numCache>
            </c:numRef>
          </c:yVal>
          <c:smooth val="0"/>
        </c:ser>
        <c:dLbls>
          <c:showLegendKey val="0"/>
          <c:showVal val="0"/>
          <c:showCatName val="0"/>
          <c:showSerName val="0"/>
          <c:showPercent val="0"/>
          <c:showBubbleSize val="0"/>
        </c:dLbls>
        <c:axId val="559997112"/>
        <c:axId val="559999944"/>
      </c:scatterChart>
      <c:valAx>
        <c:axId val="559997112"/>
        <c:scaling>
          <c:orientation val="minMax"/>
        </c:scaling>
        <c:delete val="0"/>
        <c:axPos val="b"/>
        <c:numFmt formatCode="General" sourceLinked="1"/>
        <c:majorTickMark val="out"/>
        <c:minorTickMark val="none"/>
        <c:tickLblPos val="nextTo"/>
        <c:crossAx val="559999944"/>
        <c:crosses val="autoZero"/>
        <c:crossBetween val="midCat"/>
      </c:valAx>
      <c:valAx>
        <c:axId val="559999944"/>
        <c:scaling>
          <c:logBase val="10.0"/>
          <c:orientation val="minMax"/>
        </c:scaling>
        <c:delete val="0"/>
        <c:axPos val="l"/>
        <c:majorGridlines/>
        <c:numFmt formatCode="0.00E+00" sourceLinked="1"/>
        <c:majorTickMark val="out"/>
        <c:minorTickMark val="none"/>
        <c:tickLblPos val="nextTo"/>
        <c:crossAx val="55999711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0986695100612423"/>
                  <c:y val="0.00925925925925926"/>
                </c:manualLayout>
              </c:layout>
              <c:tx>
                <c:rich>
                  <a:bodyPr/>
                  <a:lstStyle/>
                  <a:p>
                    <a:pPr>
                      <a:defRPr/>
                    </a:pPr>
                    <a:r>
                      <a:rPr lang="en-US" sz="1800" baseline="0"/>
                      <a:t>y = 96.111e</a:t>
                    </a:r>
                    <a:r>
                      <a:rPr lang="en-US" sz="1800" baseline="30000"/>
                      <a:t>2.0374x</a:t>
                    </a:r>
                    <a:endParaRPr lang="en-US" sz="1800"/>
                  </a:p>
                </c:rich>
              </c:tx>
              <c:numFmt formatCode="General" sourceLinked="0"/>
            </c:trendlineLbl>
          </c:trendline>
          <c:xVal>
            <c:numRef>
              <c:f>'EXD Nunoura 2008'!$L$27:$L$32</c:f>
              <c:numCache>
                <c:formatCode>General</c:formatCode>
                <c:ptCount val="6"/>
                <c:pt idx="0">
                  <c:v>1.15</c:v>
                </c:pt>
                <c:pt idx="1">
                  <c:v>2.3</c:v>
                </c:pt>
                <c:pt idx="2">
                  <c:v>3.4</c:v>
                </c:pt>
                <c:pt idx="3">
                  <c:v>4.5</c:v>
                </c:pt>
                <c:pt idx="4">
                  <c:v>5.7</c:v>
                </c:pt>
                <c:pt idx="5">
                  <c:v>6.8</c:v>
                </c:pt>
              </c:numCache>
            </c:numRef>
          </c:xVal>
          <c:yVal>
            <c:numRef>
              <c:f>'EXD Nunoura 2008'!$K$27:$K$32</c:f>
              <c:numCache>
                <c:formatCode>0.00E+00</c:formatCode>
                <c:ptCount val="6"/>
                <c:pt idx="0">
                  <c:v>1000.0</c:v>
                </c:pt>
                <c:pt idx="1">
                  <c:v>10000.0</c:v>
                </c:pt>
                <c:pt idx="2">
                  <c:v>100000.0</c:v>
                </c:pt>
                <c:pt idx="3">
                  <c:v>1.0E6</c:v>
                </c:pt>
                <c:pt idx="4">
                  <c:v>1.0E7</c:v>
                </c:pt>
                <c:pt idx="5">
                  <c:v>1.0E8</c:v>
                </c:pt>
              </c:numCache>
            </c:numRef>
          </c:yVal>
          <c:smooth val="0"/>
        </c:ser>
        <c:dLbls>
          <c:showLegendKey val="0"/>
          <c:showVal val="0"/>
          <c:showCatName val="0"/>
          <c:showSerName val="0"/>
          <c:showPercent val="0"/>
          <c:showBubbleSize val="0"/>
        </c:dLbls>
        <c:axId val="560030168"/>
        <c:axId val="560033000"/>
      </c:scatterChart>
      <c:valAx>
        <c:axId val="560030168"/>
        <c:scaling>
          <c:orientation val="minMax"/>
        </c:scaling>
        <c:delete val="0"/>
        <c:axPos val="b"/>
        <c:numFmt formatCode="General" sourceLinked="1"/>
        <c:majorTickMark val="out"/>
        <c:minorTickMark val="none"/>
        <c:tickLblPos val="nextTo"/>
        <c:crossAx val="560033000"/>
        <c:crosses val="autoZero"/>
        <c:crossBetween val="midCat"/>
      </c:valAx>
      <c:valAx>
        <c:axId val="560033000"/>
        <c:scaling>
          <c:logBase val="10.0"/>
          <c:orientation val="minMax"/>
        </c:scaling>
        <c:delete val="0"/>
        <c:axPos val="l"/>
        <c:majorGridlines/>
        <c:numFmt formatCode="0.00E+00" sourceLinked="1"/>
        <c:majorTickMark val="out"/>
        <c:minorTickMark val="none"/>
        <c:tickLblPos val="nextTo"/>
        <c:crossAx val="56003016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0217694663167104"/>
                  <c:y val="0.574074074074074"/>
                </c:manualLayout>
              </c:layout>
              <c:tx>
                <c:rich>
                  <a:bodyPr/>
                  <a:lstStyle/>
                  <a:p>
                    <a:pPr>
                      <a:defRPr/>
                    </a:pPr>
                    <a:r>
                      <a:rPr lang="en-US" sz="2000" baseline="0"/>
                      <a:t>y = 963.98e</a:t>
                    </a:r>
                    <a:r>
                      <a:rPr lang="en-US" sz="2000" baseline="30000"/>
                      <a:t>1.8568x</a:t>
                    </a:r>
                    <a:endParaRPr lang="en-US" sz="2000"/>
                  </a:p>
                </c:rich>
              </c:tx>
              <c:numFmt formatCode="General" sourceLinked="0"/>
            </c:trendlineLbl>
          </c:trendline>
          <c:xVal>
            <c:numRef>
              <c:f>'Nunoura 2009, Figure 2'!$M$25:$M$29</c:f>
              <c:numCache>
                <c:formatCode>General</c:formatCode>
                <c:ptCount val="5"/>
                <c:pt idx="0">
                  <c:v>1.25</c:v>
                </c:pt>
                <c:pt idx="1">
                  <c:v>2.5</c:v>
                </c:pt>
                <c:pt idx="2">
                  <c:v>3.75</c:v>
                </c:pt>
                <c:pt idx="3">
                  <c:v>5.0</c:v>
                </c:pt>
                <c:pt idx="4">
                  <c:v>6.2</c:v>
                </c:pt>
              </c:numCache>
            </c:numRef>
          </c:xVal>
          <c:yVal>
            <c:numRef>
              <c:f>'Nunoura 2009, Figure 2'!$N$25:$N$29</c:f>
              <c:numCache>
                <c:formatCode>0.00E+00</c:formatCode>
                <c:ptCount val="5"/>
                <c:pt idx="0">
                  <c:v>10000.0</c:v>
                </c:pt>
                <c:pt idx="1">
                  <c:v>100000.0</c:v>
                </c:pt>
                <c:pt idx="2">
                  <c:v>1.0E6</c:v>
                </c:pt>
                <c:pt idx="3">
                  <c:v>1.0E7</c:v>
                </c:pt>
                <c:pt idx="4">
                  <c:v>1.0E8</c:v>
                </c:pt>
              </c:numCache>
            </c:numRef>
          </c:yVal>
          <c:smooth val="0"/>
        </c:ser>
        <c:dLbls>
          <c:showLegendKey val="0"/>
          <c:showVal val="0"/>
          <c:showCatName val="0"/>
          <c:showSerName val="0"/>
          <c:showPercent val="0"/>
          <c:showBubbleSize val="0"/>
        </c:dLbls>
        <c:axId val="560087928"/>
        <c:axId val="560090760"/>
      </c:scatterChart>
      <c:valAx>
        <c:axId val="560087928"/>
        <c:scaling>
          <c:orientation val="minMax"/>
        </c:scaling>
        <c:delete val="0"/>
        <c:axPos val="b"/>
        <c:numFmt formatCode="General" sourceLinked="1"/>
        <c:majorTickMark val="out"/>
        <c:minorTickMark val="none"/>
        <c:tickLblPos val="nextTo"/>
        <c:crossAx val="560090760"/>
        <c:crosses val="autoZero"/>
        <c:crossBetween val="midCat"/>
      </c:valAx>
      <c:valAx>
        <c:axId val="560090760"/>
        <c:scaling>
          <c:logBase val="10.0"/>
          <c:orientation val="minMax"/>
        </c:scaling>
        <c:delete val="0"/>
        <c:axPos val="l"/>
        <c:numFmt formatCode="0.00E+00" sourceLinked="1"/>
        <c:majorTickMark val="out"/>
        <c:minorTickMark val="none"/>
        <c:tickLblPos val="nextTo"/>
        <c:crossAx val="5600879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114589676290464"/>
                  <c:y val="0.486111111111111"/>
                </c:manualLayout>
              </c:layout>
              <c:tx>
                <c:rich>
                  <a:bodyPr/>
                  <a:lstStyle/>
                  <a:p>
                    <a:pPr>
                      <a:defRPr/>
                    </a:pPr>
                    <a:r>
                      <a:rPr lang="en-US" sz="2000" baseline="0"/>
                      <a:t>y = 1010.2e</a:t>
                    </a:r>
                    <a:r>
                      <a:rPr lang="en-US" sz="2000" baseline="30000"/>
                      <a:t>1.4707x</a:t>
                    </a:r>
                    <a:endParaRPr lang="en-US" sz="2000"/>
                  </a:p>
                </c:rich>
              </c:tx>
              <c:numFmt formatCode="General" sourceLinked="0"/>
            </c:trendlineLbl>
          </c:trendline>
          <c:xVal>
            <c:numRef>
              <c:f>'Nunoura 2009, Figure 2'!$N$4:$N$8</c:f>
              <c:numCache>
                <c:formatCode>General</c:formatCode>
                <c:ptCount val="5"/>
                <c:pt idx="0">
                  <c:v>1.6</c:v>
                </c:pt>
                <c:pt idx="1">
                  <c:v>3.05</c:v>
                </c:pt>
                <c:pt idx="2">
                  <c:v>4.7</c:v>
                </c:pt>
                <c:pt idx="3">
                  <c:v>6.3</c:v>
                </c:pt>
                <c:pt idx="4">
                  <c:v>7.8</c:v>
                </c:pt>
              </c:numCache>
            </c:numRef>
          </c:xVal>
          <c:yVal>
            <c:numRef>
              <c:f>'Nunoura 2009, Figure 2'!$O$4:$O$8</c:f>
              <c:numCache>
                <c:formatCode>0.00E+00</c:formatCode>
                <c:ptCount val="5"/>
                <c:pt idx="0">
                  <c:v>10000.0</c:v>
                </c:pt>
                <c:pt idx="1">
                  <c:v>100000.0</c:v>
                </c:pt>
                <c:pt idx="2">
                  <c:v>1.0E6</c:v>
                </c:pt>
                <c:pt idx="3">
                  <c:v>1.0E7</c:v>
                </c:pt>
                <c:pt idx="4">
                  <c:v>1.0E8</c:v>
                </c:pt>
              </c:numCache>
            </c:numRef>
          </c:yVal>
          <c:smooth val="0"/>
        </c:ser>
        <c:dLbls>
          <c:showLegendKey val="0"/>
          <c:showVal val="0"/>
          <c:showCatName val="0"/>
          <c:showSerName val="0"/>
          <c:showPercent val="0"/>
          <c:showBubbleSize val="0"/>
        </c:dLbls>
        <c:axId val="560120680"/>
        <c:axId val="560123512"/>
      </c:scatterChart>
      <c:valAx>
        <c:axId val="560120680"/>
        <c:scaling>
          <c:orientation val="minMax"/>
        </c:scaling>
        <c:delete val="0"/>
        <c:axPos val="b"/>
        <c:numFmt formatCode="General" sourceLinked="1"/>
        <c:majorTickMark val="out"/>
        <c:minorTickMark val="none"/>
        <c:tickLblPos val="nextTo"/>
        <c:crossAx val="560123512"/>
        <c:crosses val="autoZero"/>
        <c:crossBetween val="midCat"/>
      </c:valAx>
      <c:valAx>
        <c:axId val="560123512"/>
        <c:scaling>
          <c:logBase val="10.0"/>
          <c:orientation val="minMax"/>
        </c:scaling>
        <c:delete val="0"/>
        <c:axPos val="l"/>
        <c:numFmt formatCode="0.00E+00" sourceLinked="1"/>
        <c:majorTickMark val="out"/>
        <c:minorTickMark val="none"/>
        <c:tickLblPos val="nextTo"/>
        <c:crossAx val="5601206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107303368328959"/>
                  <c:y val="0.50462962962963"/>
                </c:manualLayout>
              </c:layout>
              <c:tx>
                <c:rich>
                  <a:bodyPr/>
                  <a:lstStyle/>
                  <a:p>
                    <a:pPr>
                      <a:defRPr/>
                    </a:pPr>
                    <a:r>
                      <a:rPr lang="en-US" sz="2000" baseline="0"/>
                      <a:t>y = 974.81e</a:t>
                    </a:r>
                    <a:r>
                      <a:rPr lang="en-US" sz="2000" baseline="30000"/>
                      <a:t>1.2863x</a:t>
                    </a:r>
                    <a:endParaRPr lang="en-US" sz="2000"/>
                  </a:p>
                </c:rich>
              </c:tx>
              <c:numFmt formatCode="General" sourceLinked="0"/>
            </c:trendlineLbl>
          </c:trendline>
          <c:xVal>
            <c:numRef>
              <c:f>'Nunoura 2009, Figure 2'!$L$45:$L$49</c:f>
              <c:numCache>
                <c:formatCode>General</c:formatCode>
                <c:ptCount val="5"/>
                <c:pt idx="0">
                  <c:v>1.8</c:v>
                </c:pt>
                <c:pt idx="1">
                  <c:v>3.6</c:v>
                </c:pt>
                <c:pt idx="2">
                  <c:v>5.4</c:v>
                </c:pt>
                <c:pt idx="3">
                  <c:v>7.2</c:v>
                </c:pt>
                <c:pt idx="4">
                  <c:v>8.95</c:v>
                </c:pt>
              </c:numCache>
            </c:numRef>
          </c:xVal>
          <c:yVal>
            <c:numRef>
              <c:f>'Nunoura 2009, Figure 2'!$M$45:$M$49</c:f>
              <c:numCache>
                <c:formatCode>0.00E+00</c:formatCode>
                <c:ptCount val="5"/>
                <c:pt idx="0">
                  <c:v>10000.0</c:v>
                </c:pt>
                <c:pt idx="1">
                  <c:v>100000.0</c:v>
                </c:pt>
                <c:pt idx="2">
                  <c:v>1.0E6</c:v>
                </c:pt>
                <c:pt idx="3">
                  <c:v>1.0E7</c:v>
                </c:pt>
                <c:pt idx="4">
                  <c:v>1.0E8</c:v>
                </c:pt>
              </c:numCache>
            </c:numRef>
          </c:yVal>
          <c:smooth val="0"/>
        </c:ser>
        <c:dLbls>
          <c:showLegendKey val="0"/>
          <c:showVal val="0"/>
          <c:showCatName val="0"/>
          <c:showSerName val="0"/>
          <c:showPercent val="0"/>
          <c:showBubbleSize val="0"/>
        </c:dLbls>
        <c:axId val="553733544"/>
        <c:axId val="553736376"/>
      </c:scatterChart>
      <c:valAx>
        <c:axId val="553733544"/>
        <c:scaling>
          <c:orientation val="minMax"/>
        </c:scaling>
        <c:delete val="0"/>
        <c:axPos val="b"/>
        <c:numFmt formatCode="General" sourceLinked="1"/>
        <c:majorTickMark val="out"/>
        <c:minorTickMark val="none"/>
        <c:tickLblPos val="nextTo"/>
        <c:crossAx val="553736376"/>
        <c:crosses val="autoZero"/>
        <c:crossBetween val="midCat"/>
      </c:valAx>
      <c:valAx>
        <c:axId val="553736376"/>
        <c:scaling>
          <c:logBase val="10.0"/>
          <c:orientation val="minMax"/>
        </c:scaling>
        <c:delete val="0"/>
        <c:axPos val="l"/>
        <c:numFmt formatCode="0.00E+00" sourceLinked="1"/>
        <c:majorTickMark val="out"/>
        <c:minorTickMark val="none"/>
        <c:tickLblPos val="nextTo"/>
        <c:crossAx val="55373354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000452755905511811"/>
                  <c:y val="0.518518518518518"/>
                </c:manualLayout>
              </c:layout>
              <c:tx>
                <c:rich>
                  <a:bodyPr/>
                  <a:lstStyle/>
                  <a:p>
                    <a:pPr>
                      <a:defRPr/>
                    </a:pPr>
                    <a:r>
                      <a:rPr lang="en-US" sz="2000" baseline="0"/>
                      <a:t>y = 972.75e</a:t>
                    </a:r>
                    <a:r>
                      <a:rPr lang="en-US" sz="2000" baseline="30000"/>
                      <a:t>1.8643x</a:t>
                    </a:r>
                    <a:endParaRPr lang="en-US" sz="2000"/>
                  </a:p>
                </c:rich>
              </c:tx>
              <c:numFmt formatCode="General" sourceLinked="0"/>
            </c:trendlineLbl>
          </c:trendline>
          <c:xVal>
            <c:numRef>
              <c:f>'Nunoura 2009, Figure 2'!$L$61:$L$65</c:f>
              <c:numCache>
                <c:formatCode>General</c:formatCode>
                <c:ptCount val="5"/>
                <c:pt idx="0">
                  <c:v>1.25</c:v>
                </c:pt>
                <c:pt idx="1">
                  <c:v>2.5</c:v>
                </c:pt>
                <c:pt idx="2">
                  <c:v>3.7</c:v>
                </c:pt>
                <c:pt idx="3">
                  <c:v>4.95</c:v>
                </c:pt>
                <c:pt idx="4">
                  <c:v>6.2</c:v>
                </c:pt>
              </c:numCache>
            </c:numRef>
          </c:xVal>
          <c:yVal>
            <c:numRef>
              <c:f>'Nunoura 2009, Figure 2'!$M$61:$M$65</c:f>
              <c:numCache>
                <c:formatCode>0.00E+00</c:formatCode>
                <c:ptCount val="5"/>
                <c:pt idx="0">
                  <c:v>10000.0</c:v>
                </c:pt>
                <c:pt idx="1">
                  <c:v>100000.0</c:v>
                </c:pt>
                <c:pt idx="2">
                  <c:v>1.0E6</c:v>
                </c:pt>
                <c:pt idx="3">
                  <c:v>1.0E7</c:v>
                </c:pt>
                <c:pt idx="4">
                  <c:v>1.0E8</c:v>
                </c:pt>
              </c:numCache>
            </c:numRef>
          </c:yVal>
          <c:smooth val="0"/>
        </c:ser>
        <c:dLbls>
          <c:showLegendKey val="0"/>
          <c:showVal val="0"/>
          <c:showCatName val="0"/>
          <c:showSerName val="0"/>
          <c:showPercent val="0"/>
          <c:showBubbleSize val="0"/>
        </c:dLbls>
        <c:axId val="553769272"/>
        <c:axId val="553772104"/>
      </c:scatterChart>
      <c:valAx>
        <c:axId val="553769272"/>
        <c:scaling>
          <c:orientation val="minMax"/>
        </c:scaling>
        <c:delete val="0"/>
        <c:axPos val="b"/>
        <c:numFmt formatCode="General" sourceLinked="1"/>
        <c:majorTickMark val="out"/>
        <c:minorTickMark val="none"/>
        <c:tickLblPos val="nextTo"/>
        <c:crossAx val="553772104"/>
        <c:crosses val="autoZero"/>
        <c:crossBetween val="midCat"/>
      </c:valAx>
      <c:valAx>
        <c:axId val="553772104"/>
        <c:scaling>
          <c:logBase val="10.0"/>
          <c:orientation val="minMax"/>
        </c:scaling>
        <c:delete val="0"/>
        <c:axPos val="l"/>
        <c:numFmt formatCode="0.00E+00" sourceLinked="1"/>
        <c:majorTickMark val="out"/>
        <c:minorTickMark val="none"/>
        <c:tickLblPos val="nextTo"/>
        <c:crossAx val="55376927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289873140857393"/>
                  <c:y val="0.12037037037037"/>
                </c:manualLayout>
              </c:layout>
              <c:tx>
                <c:rich>
                  <a:bodyPr/>
                  <a:lstStyle/>
                  <a:p>
                    <a:pPr>
                      <a:defRPr/>
                    </a:pPr>
                    <a:r>
                      <a:rPr lang="en-US" sz="2000" baseline="0"/>
                      <a:t>y = 8E+06e</a:t>
                    </a:r>
                    <a:r>
                      <a:rPr lang="en-US" sz="2000" baseline="30000"/>
                      <a:t>1.0111x</a:t>
                    </a:r>
                    <a:endParaRPr lang="en-US" sz="2000"/>
                  </a:p>
                </c:rich>
              </c:tx>
              <c:numFmt formatCode="General" sourceLinked="0"/>
            </c:trendlineLbl>
          </c:trendline>
          <c:xVal>
            <c:numRef>
              <c:f>'EXD Botcher 1999 Figure 7'!$B$22:$B$24</c:f>
              <c:numCache>
                <c:formatCode>General</c:formatCode>
                <c:ptCount val="3"/>
                <c:pt idx="0">
                  <c:v>2.4</c:v>
                </c:pt>
                <c:pt idx="1">
                  <c:v>4.8</c:v>
                </c:pt>
                <c:pt idx="2">
                  <c:v>6.95</c:v>
                </c:pt>
              </c:numCache>
            </c:numRef>
          </c:xVal>
          <c:yVal>
            <c:numRef>
              <c:f>'EXD Botcher 1999 Figure 7'!$C$22:$C$24</c:f>
              <c:numCache>
                <c:formatCode>0.00E+00</c:formatCode>
                <c:ptCount val="3"/>
                <c:pt idx="0">
                  <c:v>1.0E8</c:v>
                </c:pt>
                <c:pt idx="1">
                  <c:v>1.0E9</c:v>
                </c:pt>
                <c:pt idx="2">
                  <c:v>1.0E10</c:v>
                </c:pt>
              </c:numCache>
            </c:numRef>
          </c:yVal>
          <c:smooth val="0"/>
        </c:ser>
        <c:dLbls>
          <c:showLegendKey val="0"/>
          <c:showVal val="0"/>
          <c:showCatName val="0"/>
          <c:showSerName val="0"/>
          <c:showPercent val="0"/>
          <c:showBubbleSize val="0"/>
        </c:dLbls>
        <c:axId val="494744008"/>
        <c:axId val="494746920"/>
      </c:scatterChart>
      <c:valAx>
        <c:axId val="494744008"/>
        <c:scaling>
          <c:orientation val="minMax"/>
        </c:scaling>
        <c:delete val="0"/>
        <c:axPos val="b"/>
        <c:numFmt formatCode="General" sourceLinked="1"/>
        <c:majorTickMark val="out"/>
        <c:minorTickMark val="none"/>
        <c:tickLblPos val="nextTo"/>
        <c:crossAx val="494746920"/>
        <c:crosses val="autoZero"/>
        <c:crossBetween val="midCat"/>
      </c:valAx>
      <c:valAx>
        <c:axId val="494746920"/>
        <c:scaling>
          <c:logBase val="10.0"/>
          <c:orientation val="minMax"/>
        </c:scaling>
        <c:delete val="0"/>
        <c:axPos val="l"/>
        <c:majorGridlines/>
        <c:numFmt formatCode="0.00E+00" sourceLinked="1"/>
        <c:majorTickMark val="out"/>
        <c:minorTickMark val="none"/>
        <c:tickLblPos val="nextTo"/>
        <c:crossAx val="49474400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35913475918485"/>
                  <c:y val="0.0498220640569395"/>
                </c:manualLayout>
              </c:layout>
              <c:tx>
                <c:rich>
                  <a:bodyPr/>
                  <a:lstStyle/>
                  <a:p>
                    <a:pPr>
                      <a:defRPr/>
                    </a:pPr>
                    <a:r>
                      <a:rPr lang="en-US" sz="1800" baseline="0"/>
                      <a:t>y = 933484e</a:t>
                    </a:r>
                    <a:r>
                      <a:rPr lang="en-US" sz="1800" baseline="30000"/>
                      <a:t>1.3829x</a:t>
                    </a:r>
                    <a:endParaRPr lang="en-US" sz="1800"/>
                  </a:p>
                </c:rich>
              </c:tx>
              <c:numFmt formatCode="General" sourceLinked="0"/>
            </c:trendlineLbl>
          </c:trendline>
          <c:xVal>
            <c:numRef>
              <c:f>'EXD Roalkvam 2011'!$L$5:$L$8</c:f>
              <c:numCache>
                <c:formatCode>General</c:formatCode>
                <c:ptCount val="4"/>
                <c:pt idx="0">
                  <c:v>1.7</c:v>
                </c:pt>
                <c:pt idx="1">
                  <c:v>3.4</c:v>
                </c:pt>
                <c:pt idx="2">
                  <c:v>5.05</c:v>
                </c:pt>
                <c:pt idx="3">
                  <c:v>6.7</c:v>
                </c:pt>
              </c:numCache>
            </c:numRef>
          </c:xVal>
          <c:yVal>
            <c:numRef>
              <c:f>'EXD Roalkvam 2011'!$K$5:$K$8</c:f>
              <c:numCache>
                <c:formatCode>0.00E+00</c:formatCode>
                <c:ptCount val="4"/>
                <c:pt idx="0">
                  <c:v>1.0E7</c:v>
                </c:pt>
                <c:pt idx="1">
                  <c:v>1.0E8</c:v>
                </c:pt>
                <c:pt idx="2">
                  <c:v>1.0E9</c:v>
                </c:pt>
                <c:pt idx="3">
                  <c:v>1.0E10</c:v>
                </c:pt>
              </c:numCache>
            </c:numRef>
          </c:yVal>
          <c:smooth val="0"/>
        </c:ser>
        <c:dLbls>
          <c:showLegendKey val="0"/>
          <c:showVal val="0"/>
          <c:showCatName val="0"/>
          <c:showSerName val="0"/>
          <c:showPercent val="0"/>
          <c:showBubbleSize val="0"/>
        </c:dLbls>
        <c:axId val="553885144"/>
        <c:axId val="553887976"/>
      </c:scatterChart>
      <c:valAx>
        <c:axId val="553885144"/>
        <c:scaling>
          <c:orientation val="minMax"/>
        </c:scaling>
        <c:delete val="0"/>
        <c:axPos val="b"/>
        <c:numFmt formatCode="General" sourceLinked="1"/>
        <c:majorTickMark val="out"/>
        <c:minorTickMark val="none"/>
        <c:tickLblPos val="nextTo"/>
        <c:crossAx val="553887976"/>
        <c:crosses val="autoZero"/>
        <c:crossBetween val="midCat"/>
      </c:valAx>
      <c:valAx>
        <c:axId val="553887976"/>
        <c:scaling>
          <c:logBase val="10.0"/>
          <c:orientation val="minMax"/>
        </c:scaling>
        <c:delete val="0"/>
        <c:axPos val="l"/>
        <c:majorGridlines/>
        <c:numFmt formatCode="0.00E+00" sourceLinked="1"/>
        <c:majorTickMark val="out"/>
        <c:minorTickMark val="none"/>
        <c:tickLblPos val="nextTo"/>
        <c:crossAx val="55388514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'Rossello-Mora 1999'!$J$31:$J$42</c:f>
              <c:numCache>
                <c:formatCode>0.00E+00</c:formatCode>
                <c:ptCount val="12"/>
                <c:pt idx="0">
                  <c:v>7.47229102046606E8</c:v>
                </c:pt>
                <c:pt idx="1">
                  <c:v>9.76307780984991E8</c:v>
                </c:pt>
                <c:pt idx="2">
                  <c:v>4.98574454229229E8</c:v>
                </c:pt>
                <c:pt idx="3">
                  <c:v>4.60657462323176E8</c:v>
                </c:pt>
                <c:pt idx="4">
                  <c:v>4.25319883312724E8</c:v>
                </c:pt>
                <c:pt idx="5">
                  <c:v>2.80344038164358E8</c:v>
                </c:pt>
                <c:pt idx="6">
                  <c:v>2.50165284945108E8</c:v>
                </c:pt>
                <c:pt idx="7">
                  <c:v>2.72890932235415E8</c:v>
                </c:pt>
                <c:pt idx="8">
                  <c:v>1.74370955357604E8</c:v>
                </c:pt>
                <c:pt idx="9">
                  <c:v>2.62871631485737E8</c:v>
                </c:pt>
                <c:pt idx="10">
                  <c:v>1.74656088115463E8</c:v>
                </c:pt>
                <c:pt idx="11">
                  <c:v>1.70284681927091E8</c:v>
                </c:pt>
              </c:numCache>
            </c:numRef>
          </c:xVal>
          <c:yVal>
            <c:numRef>
              <c:f>'Rossello-Mora 1999'!$K$31:$K$42</c:f>
              <c:numCache>
                <c:formatCode>0.00E+00</c:formatCode>
                <c:ptCount val="12"/>
                <c:pt idx="0">
                  <c:v>1.36893936515003E8</c:v>
                </c:pt>
                <c:pt idx="1">
                  <c:v>2.3571226422554E8</c:v>
                </c:pt>
                <c:pt idx="2">
                  <c:v>9.07364190771748E7</c:v>
                </c:pt>
                <c:pt idx="3">
                  <c:v>8.89708619341391E7</c:v>
                </c:pt>
                <c:pt idx="4">
                  <c:v>6.26744461331584E7</c:v>
                </c:pt>
                <c:pt idx="5">
                  <c:v>2.08883348837034E7</c:v>
                </c:pt>
                <c:pt idx="6">
                  <c:v>2.16625364116657E7</c:v>
                </c:pt>
                <c:pt idx="7">
                  <c:v>1.73175663730287E7</c:v>
                </c:pt>
                <c:pt idx="8">
                  <c:v>1.29197240349212E7</c:v>
                </c:pt>
                <c:pt idx="9">
                  <c:v>1.112773074215E7</c:v>
                </c:pt>
                <c:pt idx="10">
                  <c:v>4.17691165817687E6</c:v>
                </c:pt>
                <c:pt idx="11">
                  <c:v>8.83345060440826E6</c:v>
                </c:pt>
              </c:numCache>
            </c:numRef>
          </c:yVal>
          <c:smooth val="0"/>
        </c:ser>
        <c:ser>
          <c:idx val="1"/>
          <c:order val="1"/>
          <c:spPr>
            <a:ln w="47625">
              <a:noFill/>
            </a:ln>
          </c:spPr>
          <c:xVal>
            <c:numRef>
              <c:f>'Rossello-Mora 1999'!$L$55:$L$56</c:f>
              <c:numCache>
                <c:formatCode>0.00E+00</c:formatCode>
                <c:ptCount val="2"/>
                <c:pt idx="0">
                  <c:v>1.0E9</c:v>
                </c:pt>
                <c:pt idx="1">
                  <c:v>1.0E6</c:v>
                </c:pt>
              </c:numCache>
            </c:numRef>
          </c:xVal>
          <c:yVal>
            <c:numRef>
              <c:f>'Rossello-Mora 1999'!$L$55:$L$56</c:f>
              <c:numCache>
                <c:formatCode>0.00E+00</c:formatCode>
                <c:ptCount val="2"/>
                <c:pt idx="0">
                  <c:v>1.0E9</c:v>
                </c:pt>
                <c:pt idx="1">
                  <c:v>1.0E6</c:v>
                </c:pt>
              </c:numCache>
            </c:numRef>
          </c:yVal>
          <c:smooth val="0"/>
        </c:ser>
        <c:dLbls>
          <c:showLegendKey val="0"/>
          <c:showVal val="0"/>
          <c:showCatName val="0"/>
          <c:showSerName val="0"/>
          <c:showPercent val="0"/>
          <c:showBubbleSize val="0"/>
        </c:dLbls>
        <c:axId val="560139592"/>
        <c:axId val="560142584"/>
      </c:scatterChart>
      <c:valAx>
        <c:axId val="560139592"/>
        <c:scaling>
          <c:logBase val="10.0"/>
          <c:orientation val="minMax"/>
          <c:min val="1.0E6"/>
        </c:scaling>
        <c:delete val="0"/>
        <c:axPos val="b"/>
        <c:numFmt formatCode="0.00E+00" sourceLinked="1"/>
        <c:majorTickMark val="out"/>
        <c:minorTickMark val="none"/>
        <c:tickLblPos val="nextTo"/>
        <c:crossAx val="560142584"/>
        <c:crosses val="autoZero"/>
        <c:crossBetween val="midCat"/>
      </c:valAx>
      <c:valAx>
        <c:axId val="560142584"/>
        <c:scaling>
          <c:logBase val="10.0"/>
          <c:orientation val="minMax"/>
          <c:min val="1.0E6"/>
        </c:scaling>
        <c:delete val="0"/>
        <c:axPos val="l"/>
        <c:numFmt formatCode="0.00E+00" sourceLinked="1"/>
        <c:majorTickMark val="out"/>
        <c:minorTickMark val="none"/>
        <c:tickLblPos val="nextTo"/>
        <c:crossAx val="560139592"/>
        <c:crosses val="autoZero"/>
        <c:crossBetween val="midCat"/>
      </c:valAx>
    </c:plotArea>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1"/>
            <c:dispEq val="1"/>
            <c:trendlineLbl>
              <c:layout>
                <c:manualLayout>
                  <c:x val="0.311604354087568"/>
                  <c:y val="0.029126213592233"/>
                </c:manualLayout>
              </c:layout>
              <c:tx>
                <c:rich>
                  <a:bodyPr/>
                  <a:lstStyle/>
                  <a:p>
                    <a:pPr>
                      <a:defRPr/>
                    </a:pPr>
                    <a:r>
                      <a:rPr lang="en-US" sz="1600" baseline="0"/>
                      <a:t>y = 9E+06e</a:t>
                    </a:r>
                    <a:r>
                      <a:rPr lang="en-US" sz="1600" baseline="30000"/>
                      <a:t>0.5197x</a:t>
                    </a:r>
                    <a:r>
                      <a:rPr lang="en-US" sz="1600" baseline="0"/>
                      <a:t>
R² = 0.96574</a:t>
                    </a:r>
                    <a:endParaRPr lang="en-US" sz="1600"/>
                  </a:p>
                </c:rich>
              </c:tx>
              <c:numFmt formatCode="General" sourceLinked="0"/>
            </c:trendlineLbl>
          </c:trendline>
          <c:xVal>
            <c:numRef>
              <c:f>'EXD WIlms 2007'!$C$25:$C$27</c:f>
              <c:numCache>
                <c:formatCode>General</c:formatCode>
                <c:ptCount val="3"/>
                <c:pt idx="0">
                  <c:v>1.35</c:v>
                </c:pt>
                <c:pt idx="1">
                  <c:v>4.1</c:v>
                </c:pt>
                <c:pt idx="2">
                  <c:v>5.65</c:v>
                </c:pt>
              </c:numCache>
            </c:numRef>
          </c:xVal>
          <c:yVal>
            <c:numRef>
              <c:f>'EXD WIlms 2007'!$B$25:$B$27</c:f>
              <c:numCache>
                <c:formatCode>0.00E+00</c:formatCode>
                <c:ptCount val="3"/>
                <c:pt idx="0" formatCode="General">
                  <c:v>2.0E7</c:v>
                </c:pt>
                <c:pt idx="1">
                  <c:v>6.0E7</c:v>
                </c:pt>
                <c:pt idx="2">
                  <c:v>2.0E8</c:v>
                </c:pt>
              </c:numCache>
            </c:numRef>
          </c:yVal>
          <c:smooth val="0"/>
        </c:ser>
        <c:dLbls>
          <c:showLegendKey val="0"/>
          <c:showVal val="0"/>
          <c:showCatName val="0"/>
          <c:showSerName val="0"/>
          <c:showPercent val="0"/>
          <c:showBubbleSize val="0"/>
        </c:dLbls>
        <c:axId val="560327704"/>
        <c:axId val="560330536"/>
      </c:scatterChart>
      <c:valAx>
        <c:axId val="560327704"/>
        <c:scaling>
          <c:orientation val="minMax"/>
        </c:scaling>
        <c:delete val="0"/>
        <c:axPos val="b"/>
        <c:numFmt formatCode="General" sourceLinked="1"/>
        <c:majorTickMark val="out"/>
        <c:minorTickMark val="none"/>
        <c:tickLblPos val="nextTo"/>
        <c:crossAx val="560330536"/>
        <c:crosses val="autoZero"/>
        <c:crossBetween val="midCat"/>
      </c:valAx>
      <c:valAx>
        <c:axId val="560330536"/>
        <c:scaling>
          <c:logBase val="10.0"/>
          <c:orientation val="minMax"/>
        </c:scaling>
        <c:delete val="0"/>
        <c:axPos val="l"/>
        <c:majorGridlines/>
        <c:numFmt formatCode="General" sourceLinked="1"/>
        <c:majorTickMark val="out"/>
        <c:minorTickMark val="none"/>
        <c:tickLblPos val="nextTo"/>
        <c:crossAx val="56032770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1"/>
            <c:trendlineLbl>
              <c:layout>
                <c:manualLayout>
                  <c:x val="0.395014154197493"/>
                  <c:y val="0.62554596771294"/>
                </c:manualLayout>
              </c:layout>
              <c:tx>
                <c:rich>
                  <a:bodyPr/>
                  <a:lstStyle/>
                  <a:p>
                    <a:pPr>
                      <a:defRPr/>
                    </a:pPr>
                    <a:r>
                      <a:rPr lang="en-US" sz="1600" baseline="0"/>
                      <a:t>y = 579564x + 15119</a:t>
                    </a:r>
                    <a:endParaRPr lang="en-US" sz="1600"/>
                  </a:p>
                </c:rich>
              </c:tx>
              <c:numFmt formatCode="General" sourceLinked="0"/>
            </c:trendlineLbl>
          </c:trendline>
          <c:xVal>
            <c:numRef>
              <c:f>'EXD WIlms 2007'!$M$25:$M$28</c:f>
              <c:numCache>
                <c:formatCode>General</c:formatCode>
                <c:ptCount val="4"/>
                <c:pt idx="0">
                  <c:v>1.7</c:v>
                </c:pt>
                <c:pt idx="1">
                  <c:v>3.4</c:v>
                </c:pt>
                <c:pt idx="2">
                  <c:v>5.2</c:v>
                </c:pt>
                <c:pt idx="3">
                  <c:v>6.85</c:v>
                </c:pt>
              </c:numCache>
            </c:numRef>
          </c:xVal>
          <c:yVal>
            <c:numRef>
              <c:f>'EXD WIlms 2007'!$N$25:$N$28</c:f>
              <c:numCache>
                <c:formatCode>0.00E+00</c:formatCode>
                <c:ptCount val="4"/>
                <c:pt idx="0">
                  <c:v>1.0E6</c:v>
                </c:pt>
                <c:pt idx="1">
                  <c:v>2.0E6</c:v>
                </c:pt>
                <c:pt idx="2">
                  <c:v>3.0E6</c:v>
                </c:pt>
                <c:pt idx="3">
                  <c:v>4.0E6</c:v>
                </c:pt>
              </c:numCache>
            </c:numRef>
          </c:yVal>
          <c:smooth val="0"/>
        </c:ser>
        <c:dLbls>
          <c:showLegendKey val="0"/>
          <c:showVal val="0"/>
          <c:showCatName val="0"/>
          <c:showSerName val="0"/>
          <c:showPercent val="0"/>
          <c:showBubbleSize val="0"/>
        </c:dLbls>
        <c:axId val="553898792"/>
        <c:axId val="553910856"/>
      </c:scatterChart>
      <c:valAx>
        <c:axId val="553898792"/>
        <c:scaling>
          <c:orientation val="minMax"/>
        </c:scaling>
        <c:delete val="0"/>
        <c:axPos val="b"/>
        <c:numFmt formatCode="General" sourceLinked="1"/>
        <c:majorTickMark val="out"/>
        <c:minorTickMark val="none"/>
        <c:tickLblPos val="nextTo"/>
        <c:crossAx val="553910856"/>
        <c:crosses val="autoZero"/>
        <c:crossBetween val="midCat"/>
      </c:valAx>
      <c:valAx>
        <c:axId val="553910856"/>
        <c:scaling>
          <c:orientation val="minMax"/>
        </c:scaling>
        <c:delete val="0"/>
        <c:axPos val="l"/>
        <c:majorGridlines/>
        <c:numFmt formatCode="0.00E+00" sourceLinked="1"/>
        <c:majorTickMark val="out"/>
        <c:minorTickMark val="none"/>
        <c:tickLblPos val="nextTo"/>
        <c:crossAx val="55389879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'EXD Garcia-Martinez 2008 Fig 2'!$B$16:$B$22</c:f>
              <c:numCache>
                <c:formatCode>General</c:formatCode>
                <c:ptCount val="7"/>
                <c:pt idx="0">
                  <c:v>1.4</c:v>
                </c:pt>
                <c:pt idx="1">
                  <c:v>2.8</c:v>
                </c:pt>
                <c:pt idx="2">
                  <c:v>4.35</c:v>
                </c:pt>
                <c:pt idx="3">
                  <c:v>5.7</c:v>
                </c:pt>
                <c:pt idx="4">
                  <c:v>7.15</c:v>
                </c:pt>
                <c:pt idx="5">
                  <c:v>8.55</c:v>
                </c:pt>
                <c:pt idx="6">
                  <c:v>10.0</c:v>
                </c:pt>
              </c:numCache>
            </c:numRef>
          </c:xVal>
          <c:yVal>
            <c:numRef>
              <c:f>'EXD Garcia-Martinez 2008 Fig 2'!$C$16:$C$22</c:f>
              <c:numCache>
                <c:formatCode>0.00E+00</c:formatCode>
                <c:ptCount val="7"/>
                <c:pt idx="0">
                  <c:v>1.0E9</c:v>
                </c:pt>
                <c:pt idx="1">
                  <c:v>1.5E9</c:v>
                </c:pt>
                <c:pt idx="2">
                  <c:v>2.0E9</c:v>
                </c:pt>
                <c:pt idx="3">
                  <c:v>2.5E9</c:v>
                </c:pt>
                <c:pt idx="4">
                  <c:v>3.0E9</c:v>
                </c:pt>
                <c:pt idx="5">
                  <c:v>3.5E9</c:v>
                </c:pt>
                <c:pt idx="6">
                  <c:v>4.0E9</c:v>
                </c:pt>
              </c:numCache>
            </c:numRef>
          </c:yVal>
          <c:smooth val="0"/>
        </c:ser>
        <c:dLbls>
          <c:showLegendKey val="0"/>
          <c:showVal val="0"/>
          <c:showCatName val="0"/>
          <c:showSerName val="0"/>
          <c:showPercent val="0"/>
          <c:showBubbleSize val="0"/>
        </c:dLbls>
        <c:axId val="494806120"/>
        <c:axId val="494809224"/>
      </c:scatterChart>
      <c:valAx>
        <c:axId val="494806120"/>
        <c:scaling>
          <c:orientation val="minMax"/>
        </c:scaling>
        <c:delete val="0"/>
        <c:axPos val="b"/>
        <c:numFmt formatCode="General" sourceLinked="1"/>
        <c:majorTickMark val="out"/>
        <c:minorTickMark val="none"/>
        <c:tickLblPos val="nextTo"/>
        <c:crossAx val="494809224"/>
        <c:crosses val="autoZero"/>
        <c:crossBetween val="midCat"/>
      </c:valAx>
      <c:valAx>
        <c:axId val="494809224"/>
        <c:scaling>
          <c:orientation val="minMax"/>
        </c:scaling>
        <c:delete val="0"/>
        <c:axPos val="l"/>
        <c:numFmt formatCode="0.00E+00" sourceLinked="1"/>
        <c:majorTickMark val="out"/>
        <c:minorTickMark val="none"/>
        <c:tickLblPos val="nextTo"/>
        <c:crossAx val="49480612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877296587926"/>
          <c:y val="0.157407407407407"/>
          <c:w val="0.649890419947506"/>
          <c:h val="0.693167468649752"/>
        </c:manualLayout>
      </c:layout>
      <c:scatterChart>
        <c:scatterStyle val="lineMarker"/>
        <c:varyColors val="0"/>
        <c:ser>
          <c:idx val="0"/>
          <c:order val="0"/>
          <c:spPr>
            <a:ln w="28575">
              <a:noFill/>
            </a:ln>
          </c:spPr>
          <c:trendline>
            <c:trendlineType val="log"/>
            <c:dispRSqr val="0"/>
            <c:dispEq val="0"/>
          </c:trendline>
          <c:trendline>
            <c:trendlineType val="linear"/>
            <c:intercept val="0.0"/>
            <c:dispRSqr val="0"/>
            <c:dispEq val="1"/>
            <c:trendlineLbl>
              <c:layout>
                <c:manualLayout>
                  <c:x val="0.19048524807893"/>
                  <c:y val="-0.109851633129192"/>
                </c:manualLayout>
              </c:layout>
              <c:numFmt formatCode="General" sourceLinked="0"/>
            </c:trendlineLbl>
          </c:trendline>
          <c:xVal>
            <c:numRef>
              <c:f>'EXD Musat 2005'!$B$24:$B$27</c:f>
              <c:numCache>
                <c:formatCode>General</c:formatCode>
                <c:ptCount val="4"/>
                <c:pt idx="0">
                  <c:v>2.75</c:v>
                </c:pt>
                <c:pt idx="1">
                  <c:v>5.6</c:v>
                </c:pt>
                <c:pt idx="2">
                  <c:v>8.4</c:v>
                </c:pt>
                <c:pt idx="3">
                  <c:v>0.0</c:v>
                </c:pt>
              </c:numCache>
            </c:numRef>
          </c:xVal>
          <c:yVal>
            <c:numRef>
              <c:f>'EXD Musat 2005'!$C$24:$C$27</c:f>
              <c:numCache>
                <c:formatCode>0.00E+00</c:formatCode>
                <c:ptCount val="4"/>
                <c:pt idx="0">
                  <c:v>1.0E9</c:v>
                </c:pt>
                <c:pt idx="1">
                  <c:v>2.0E9</c:v>
                </c:pt>
                <c:pt idx="2">
                  <c:v>3.0E9</c:v>
                </c:pt>
                <c:pt idx="3">
                  <c:v>0.0</c:v>
                </c:pt>
              </c:numCache>
            </c:numRef>
          </c:yVal>
          <c:smooth val="0"/>
        </c:ser>
        <c:dLbls>
          <c:showLegendKey val="0"/>
          <c:showVal val="0"/>
          <c:showCatName val="0"/>
          <c:showSerName val="0"/>
          <c:showPercent val="0"/>
          <c:showBubbleSize val="0"/>
        </c:dLbls>
        <c:axId val="494860488"/>
        <c:axId val="494863304"/>
      </c:scatterChart>
      <c:valAx>
        <c:axId val="494860488"/>
        <c:scaling>
          <c:orientation val="minMax"/>
        </c:scaling>
        <c:delete val="0"/>
        <c:axPos val="b"/>
        <c:numFmt formatCode="General" sourceLinked="1"/>
        <c:majorTickMark val="out"/>
        <c:minorTickMark val="none"/>
        <c:tickLblPos val="nextTo"/>
        <c:crossAx val="494863304"/>
        <c:crosses val="autoZero"/>
        <c:crossBetween val="midCat"/>
      </c:valAx>
      <c:valAx>
        <c:axId val="494863304"/>
        <c:scaling>
          <c:orientation val="minMax"/>
        </c:scaling>
        <c:delete val="0"/>
        <c:axPos val="l"/>
        <c:majorGridlines/>
        <c:numFmt formatCode="0.00E+00" sourceLinked="1"/>
        <c:majorTickMark val="out"/>
        <c:minorTickMark val="none"/>
        <c:tickLblPos val="nextTo"/>
        <c:crossAx val="49486048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0"/>
            <c:dispEq val="1"/>
            <c:trendlineLbl>
              <c:layout>
                <c:manualLayout>
                  <c:x val="-0.0843969816272966"/>
                  <c:y val="0.0462962962962963"/>
                </c:manualLayout>
              </c:layout>
              <c:tx>
                <c:rich>
                  <a:bodyPr/>
                  <a:lstStyle/>
                  <a:p>
                    <a:pPr>
                      <a:defRPr/>
                    </a:pPr>
                    <a:r>
                      <a:rPr lang="en-US" sz="2000" baseline="0"/>
                      <a:t>y = 1E+09e</a:t>
                    </a:r>
                    <a:r>
                      <a:rPr lang="en-US" sz="2000" baseline="30000"/>
                      <a:t>0.7196x</a:t>
                    </a:r>
                    <a:endParaRPr lang="en-US" sz="2000"/>
                  </a:p>
                </c:rich>
              </c:tx>
              <c:numFmt formatCode="General" sourceLinked="0"/>
            </c:trendlineLbl>
          </c:trendline>
          <c:xVal>
            <c:numRef>
              <c:f>'EXD Sahm 1998 Figure 1'!$B$44:$B$45</c:f>
              <c:numCache>
                <c:formatCode>General</c:formatCode>
                <c:ptCount val="2"/>
                <c:pt idx="0">
                  <c:v>3.2</c:v>
                </c:pt>
                <c:pt idx="1">
                  <c:v>6.4</c:v>
                </c:pt>
              </c:numCache>
            </c:numRef>
          </c:xVal>
          <c:yVal>
            <c:numRef>
              <c:f>'EXD Sahm 1998 Figure 1'!$C$44:$C$45</c:f>
              <c:numCache>
                <c:formatCode>0.00E+00</c:formatCode>
                <c:ptCount val="2"/>
                <c:pt idx="0">
                  <c:v>1.0E10</c:v>
                </c:pt>
                <c:pt idx="1">
                  <c:v>1.0E11</c:v>
                </c:pt>
              </c:numCache>
            </c:numRef>
          </c:yVal>
          <c:smooth val="0"/>
        </c:ser>
        <c:dLbls>
          <c:showLegendKey val="0"/>
          <c:showVal val="0"/>
          <c:showCatName val="0"/>
          <c:showSerName val="0"/>
          <c:showPercent val="0"/>
          <c:showBubbleSize val="0"/>
        </c:dLbls>
        <c:axId val="494907480"/>
        <c:axId val="494910312"/>
      </c:scatterChart>
      <c:valAx>
        <c:axId val="494907480"/>
        <c:scaling>
          <c:orientation val="minMax"/>
        </c:scaling>
        <c:delete val="0"/>
        <c:axPos val="b"/>
        <c:numFmt formatCode="General" sourceLinked="1"/>
        <c:majorTickMark val="out"/>
        <c:minorTickMark val="none"/>
        <c:tickLblPos val="nextTo"/>
        <c:crossAx val="494910312"/>
        <c:crosses val="autoZero"/>
        <c:crossBetween val="midCat"/>
      </c:valAx>
      <c:valAx>
        <c:axId val="494910312"/>
        <c:scaling>
          <c:logBase val="10.0"/>
          <c:orientation val="minMax"/>
        </c:scaling>
        <c:delete val="0"/>
        <c:axPos val="l"/>
        <c:numFmt formatCode="0.00E+00" sourceLinked="1"/>
        <c:majorTickMark val="out"/>
        <c:minorTickMark val="none"/>
        <c:tickLblPos val="nextTo"/>
        <c:crossAx val="4949074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Biddle</c:v>
          </c:tx>
          <c:spPr>
            <a:ln w="28575">
              <a:noFill/>
            </a:ln>
          </c:spPr>
          <c:xVal>
            <c:numRef>
              <c:f>'Biddle 2006'!$G$6:$G$23</c:f>
              <c:numCache>
                <c:formatCode>0.00E+00</c:formatCode>
                <c:ptCount val="18"/>
                <c:pt idx="1">
                  <c:v>6.72871539655979E6</c:v>
                </c:pt>
                <c:pt idx="2">
                  <c:v>4.97575550490016E6</c:v>
                </c:pt>
                <c:pt idx="3">
                  <c:v>2.92875304188938E6</c:v>
                </c:pt>
                <c:pt idx="5">
                  <c:v>4.3153471083323E7</c:v>
                </c:pt>
                <c:pt idx="6">
                  <c:v>2.61954002379994E7</c:v>
                </c:pt>
                <c:pt idx="7">
                  <c:v>1.18083205898711E8</c:v>
                </c:pt>
                <c:pt idx="8">
                  <c:v>8.64924801129215E7</c:v>
                </c:pt>
                <c:pt idx="9">
                  <c:v>2.60305756488512E7</c:v>
                </c:pt>
                <c:pt idx="10">
                  <c:v>2.60305756488512E7</c:v>
                </c:pt>
                <c:pt idx="11">
                  <c:v>3.66437574647834E7</c:v>
                </c:pt>
                <c:pt idx="12">
                  <c:v>9.48451327453542E9</c:v>
                </c:pt>
                <c:pt idx="13">
                  <c:v>1.73924654873132E7</c:v>
                </c:pt>
                <c:pt idx="14">
                  <c:v>1.46417044815022E8</c:v>
                </c:pt>
                <c:pt idx="15">
                  <c:v>1.88957995975908E7</c:v>
                </c:pt>
                <c:pt idx="16">
                  <c:v>1.55078420268017E7</c:v>
                </c:pt>
                <c:pt idx="17">
                  <c:v>1.55078420268017E7</c:v>
                </c:pt>
              </c:numCache>
            </c:numRef>
          </c:xVal>
          <c:yVal>
            <c:numRef>
              <c:f>'Biddle 2006'!$K$6:$K$23</c:f>
              <c:numCache>
                <c:formatCode>0.00E+00</c:formatCode>
                <c:ptCount val="18"/>
                <c:pt idx="0">
                  <c:v>2.77142857142857E7</c:v>
                </c:pt>
                <c:pt idx="1">
                  <c:v>1.35416666666667E6</c:v>
                </c:pt>
                <c:pt idx="2">
                  <c:v>1.53061224489796E6</c:v>
                </c:pt>
                <c:pt idx="3">
                  <c:v>1.73469387755102E6</c:v>
                </c:pt>
                <c:pt idx="4">
                  <c:v>6.22222222222222E6</c:v>
                </c:pt>
                <c:pt idx="5">
                  <c:v>7.94117647058824E6</c:v>
                </c:pt>
                <c:pt idx="6">
                  <c:v>1.33333333333333E7</c:v>
                </c:pt>
                <c:pt idx="7">
                  <c:v>7.875E6</c:v>
                </c:pt>
                <c:pt idx="8">
                  <c:v>6.86046511627907E6</c:v>
                </c:pt>
                <c:pt idx="9">
                  <c:v>1.23456790123457E6</c:v>
                </c:pt>
                <c:pt idx="10">
                  <c:v>4.77611940298507E6</c:v>
                </c:pt>
                <c:pt idx="11">
                  <c:v>3.40425531914894E6</c:v>
                </c:pt>
                <c:pt idx="12">
                  <c:v>6.53061224489796E6</c:v>
                </c:pt>
                <c:pt idx="13">
                  <c:v>2.38095238095238E6</c:v>
                </c:pt>
                <c:pt idx="14">
                  <c:v>3.14814814814815E6</c:v>
                </c:pt>
                <c:pt idx="15">
                  <c:v>6.82539682539683E6</c:v>
                </c:pt>
                <c:pt idx="16">
                  <c:v>5.08196721311475E6</c:v>
                </c:pt>
                <c:pt idx="17">
                  <c:v>5.17857142857143E6</c:v>
                </c:pt>
              </c:numCache>
            </c:numRef>
          </c:yVal>
          <c:smooth val="0"/>
        </c:ser>
        <c:ser>
          <c:idx val="1"/>
          <c:order val="1"/>
          <c:spPr>
            <a:ln w="28575">
              <a:noFill/>
            </a:ln>
          </c:spPr>
          <c:trendline>
            <c:trendlineType val="linear"/>
            <c:dispRSqr val="0"/>
            <c:dispEq val="0"/>
          </c:trendline>
          <c:xVal>
            <c:numRef>
              <c:f>'Biddle 2006'!$H$30:$H$31</c:f>
              <c:numCache>
                <c:formatCode>0.00E+00</c:formatCode>
                <c:ptCount val="2"/>
                <c:pt idx="0">
                  <c:v>100000.0</c:v>
                </c:pt>
                <c:pt idx="1">
                  <c:v>1.0E10</c:v>
                </c:pt>
              </c:numCache>
            </c:numRef>
          </c:xVal>
          <c:yVal>
            <c:numRef>
              <c:f>'Biddle 2006'!$H$30:$H$31</c:f>
              <c:numCache>
                <c:formatCode>0.00E+00</c:formatCode>
                <c:ptCount val="2"/>
                <c:pt idx="0">
                  <c:v>100000.0</c:v>
                </c:pt>
                <c:pt idx="1">
                  <c:v>1.0E10</c:v>
                </c:pt>
              </c:numCache>
            </c:numRef>
          </c:yVal>
          <c:smooth val="0"/>
        </c:ser>
        <c:ser>
          <c:idx val="2"/>
          <c:order val="2"/>
          <c:tx>
            <c:v>Mauclaire</c:v>
          </c:tx>
          <c:spPr>
            <a:ln w="28575">
              <a:noFill/>
            </a:ln>
          </c:spPr>
          <c:xVal>
            <c:numRef>
              <c:f>Compilation!$D$661:$D$669</c:f>
              <c:numCache>
                <c:formatCode>0.00E+00</c:formatCode>
                <c:ptCount val="9"/>
                <c:pt idx="0">
                  <c:v>49774.52619908492</c:v>
                </c:pt>
                <c:pt idx="1">
                  <c:v>1.13861760176961E7</c:v>
                </c:pt>
                <c:pt idx="2">
                  <c:v>1.2493893307589E7</c:v>
                </c:pt>
                <c:pt idx="3">
                  <c:v>4.17692318999526E7</c:v>
                </c:pt>
                <c:pt idx="4">
                  <c:v>6.52316696960102E6</c:v>
                </c:pt>
                <c:pt idx="5">
                  <c:v>4.49965168093203E6</c:v>
                </c:pt>
                <c:pt idx="6">
                  <c:v>4.49965168093203E6</c:v>
                </c:pt>
                <c:pt idx="7">
                  <c:v>2.14101494409414E6</c:v>
                </c:pt>
                <c:pt idx="8">
                  <c:v>846098.0646286454</c:v>
                </c:pt>
              </c:numCache>
            </c:numRef>
          </c:xVal>
          <c:yVal>
            <c:numRef>
              <c:f>Compilation!$G$661:$G$669</c:f>
              <c:numCache>
                <c:formatCode>0.00E+00</c:formatCode>
                <c:ptCount val="9"/>
              </c:numCache>
            </c:numRef>
          </c:yVal>
          <c:smooth val="0"/>
        </c:ser>
        <c:ser>
          <c:idx val="3"/>
          <c:order val="3"/>
          <c:tx>
            <c:v>Kevorkian</c:v>
          </c:tx>
          <c:spPr>
            <a:ln w="28575">
              <a:noFill/>
            </a:ln>
          </c:spPr>
          <c:xVal>
            <c:numRef>
              <c:f>'This study'!$C$6:$C$28</c:f>
              <c:numCache>
                <c:formatCode>0.00E+00</c:formatCode>
                <c:ptCount val="23"/>
                <c:pt idx="0">
                  <c:v>5.63154121863799E9</c:v>
                </c:pt>
                <c:pt idx="1">
                  <c:v>2.28621875E9</c:v>
                </c:pt>
                <c:pt idx="2">
                  <c:v>1.27864583333333E9</c:v>
                </c:pt>
                <c:pt idx="3">
                  <c:v>1.46277083333333E9</c:v>
                </c:pt>
                <c:pt idx="4">
                  <c:v>1.24284375E9</c:v>
                </c:pt>
                <c:pt idx="5">
                  <c:v>1.00245833333333E9</c:v>
                </c:pt>
                <c:pt idx="6">
                  <c:v>1.04848958333333E9</c:v>
                </c:pt>
                <c:pt idx="7">
                  <c:v>1.0126875E9</c:v>
                </c:pt>
                <c:pt idx="8">
                  <c:v>8.5925E8</c:v>
                </c:pt>
                <c:pt idx="9">
                  <c:v>7.16041666666667E8</c:v>
                </c:pt>
                <c:pt idx="10">
                  <c:v>7.16041666666667E8</c:v>
                </c:pt>
                <c:pt idx="11">
                  <c:v>9.6665625E8</c:v>
                </c:pt>
                <c:pt idx="12">
                  <c:v>6.9046875E8</c:v>
                </c:pt>
                <c:pt idx="13">
                  <c:v>6.49552083333333E8</c:v>
                </c:pt>
                <c:pt idx="14">
                  <c:v>5.6771875E8</c:v>
                </c:pt>
                <c:pt idx="15">
                  <c:v>5.52375E8</c:v>
                </c:pt>
                <c:pt idx="16">
                  <c:v>5.42145833333333E8</c:v>
                </c:pt>
                <c:pt idx="17">
                  <c:v>6.5978125E8</c:v>
                </c:pt>
                <c:pt idx="18">
                  <c:v>6.2909375E8</c:v>
                </c:pt>
                <c:pt idx="19">
                  <c:v>6.03520833333333E8</c:v>
                </c:pt>
                <c:pt idx="20">
                  <c:v>6.49552083333333E8</c:v>
                </c:pt>
                <c:pt idx="21">
                  <c:v>6.03520833333333E8</c:v>
                </c:pt>
                <c:pt idx="22">
                  <c:v>4.7565625E8</c:v>
                </c:pt>
              </c:numCache>
            </c:numRef>
          </c:xVal>
          <c:yVal>
            <c:numRef>
              <c:f>'This study'!$G$6:$G$28</c:f>
              <c:numCache>
                <c:formatCode>0.00E+00</c:formatCode>
                <c:ptCount val="23"/>
                <c:pt idx="0">
                  <c:v>2.25553125E9</c:v>
                </c:pt>
                <c:pt idx="1">
                  <c:v>1.36047916666667E9</c:v>
                </c:pt>
                <c:pt idx="2">
                  <c:v>1.5036875E9</c:v>
                </c:pt>
                <c:pt idx="3">
                  <c:v>1.19169791666667E9</c:v>
                </c:pt>
                <c:pt idx="4">
                  <c:v>8.18333333333333E8</c:v>
                </c:pt>
                <c:pt idx="5">
                  <c:v>1.22238541666667E9</c:v>
                </c:pt>
                <c:pt idx="6">
                  <c:v>9.00166666666667E8</c:v>
                </c:pt>
                <c:pt idx="7">
                  <c:v>9.25739583333333E8</c:v>
                </c:pt>
                <c:pt idx="8">
                  <c:v>7.92760416666667E8</c:v>
                </c:pt>
                <c:pt idx="9">
                  <c:v>7.77416666666667E8</c:v>
                </c:pt>
                <c:pt idx="10">
                  <c:v>1.043375E9</c:v>
                </c:pt>
                <c:pt idx="11">
                  <c:v>1.12009375E9</c:v>
                </c:pt>
                <c:pt idx="12">
                  <c:v>9.61541666666667E8</c:v>
                </c:pt>
                <c:pt idx="13">
                  <c:v>6.85354166666666E8</c:v>
                </c:pt>
                <c:pt idx="14">
                  <c:v>8.49020833333334E8</c:v>
                </c:pt>
                <c:pt idx="15">
                  <c:v>7.26270833333333E8</c:v>
                </c:pt>
                <c:pt idx="16">
                  <c:v>8.08104166666667E8</c:v>
                </c:pt>
                <c:pt idx="17">
                  <c:v>5.11458333333333E8</c:v>
                </c:pt>
                <c:pt idx="18">
                  <c:v>5.31916666666667E8</c:v>
                </c:pt>
                <c:pt idx="19">
                  <c:v>4.85885416666667E8</c:v>
                </c:pt>
                <c:pt idx="20">
                  <c:v>4.19395833333333E8</c:v>
                </c:pt>
                <c:pt idx="21">
                  <c:v>2.50614583333334E8</c:v>
                </c:pt>
                <c:pt idx="22">
                  <c:v>2.6084375E8</c:v>
                </c:pt>
              </c:numCache>
            </c:numRef>
          </c:yVal>
          <c:smooth val="0"/>
        </c:ser>
        <c:dLbls>
          <c:showLegendKey val="0"/>
          <c:showVal val="0"/>
          <c:showCatName val="0"/>
          <c:showSerName val="0"/>
          <c:showPercent val="0"/>
          <c:showBubbleSize val="0"/>
        </c:dLbls>
        <c:axId val="553033064"/>
        <c:axId val="553036280"/>
      </c:scatterChart>
      <c:valAx>
        <c:axId val="553033064"/>
        <c:scaling>
          <c:logBase val="10.0"/>
          <c:orientation val="minMax"/>
          <c:max val="1.0E11"/>
          <c:min val="10000.0"/>
        </c:scaling>
        <c:delete val="0"/>
        <c:axPos val="b"/>
        <c:numFmt formatCode="0.00E+00" sourceLinked="1"/>
        <c:majorTickMark val="out"/>
        <c:minorTickMark val="none"/>
        <c:tickLblPos val="nextTo"/>
        <c:crossAx val="553036280"/>
        <c:crosses val="autoZero"/>
        <c:crossBetween val="midCat"/>
      </c:valAx>
      <c:valAx>
        <c:axId val="553036280"/>
        <c:scaling>
          <c:logBase val="10.0"/>
          <c:orientation val="minMax"/>
          <c:max val="1.0E11"/>
          <c:min val="1000.0"/>
        </c:scaling>
        <c:delete val="0"/>
        <c:axPos val="l"/>
        <c:numFmt formatCode="0.00E+00" sourceLinked="1"/>
        <c:majorTickMark val="out"/>
        <c:minorTickMark val="none"/>
        <c:tickLblPos val="nextTo"/>
        <c:crossAx val="553033064"/>
        <c:crosses val="autoZero"/>
        <c:crossBetween val="midCat"/>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'Breuker in press NP'!$C$3:$C$58</c:f>
              <c:numCache>
                <c:formatCode>0.00E+00</c:formatCode>
                <c:ptCount val="56"/>
                <c:pt idx="0">
                  <c:v>1.53084601091644E6</c:v>
                </c:pt>
                <c:pt idx="1">
                  <c:v>2.70088970407348E6</c:v>
                </c:pt>
                <c:pt idx="2">
                  <c:v>480293.654954</c:v>
                </c:pt>
                <c:pt idx="3">
                  <c:v>230681.994989073</c:v>
                </c:pt>
                <c:pt idx="4">
                  <c:v>265862.775468573</c:v>
                </c:pt>
                <c:pt idx="5">
                  <c:v>527962.090396895</c:v>
                </c:pt>
                <c:pt idx="6">
                  <c:v>103204.499049278</c:v>
                </c:pt>
                <c:pt idx="7">
                  <c:v>808228.659999192</c:v>
                </c:pt>
                <c:pt idx="8">
                  <c:v>1.07354911390519E6</c:v>
                </c:pt>
                <c:pt idx="9">
                  <c:v>143725.638467991</c:v>
                </c:pt>
                <c:pt idx="10">
                  <c:v>344882.559468426</c:v>
                </c:pt>
                <c:pt idx="11">
                  <c:v>140365.466695108</c:v>
                </c:pt>
                <c:pt idx="12">
                  <c:v>93886.4114633905</c:v>
                </c:pt>
                <c:pt idx="13">
                  <c:v>143725.638467991</c:v>
                </c:pt>
                <c:pt idx="14">
                  <c:v>220021.820315143</c:v>
                </c:pt>
                <c:pt idx="15">
                  <c:v>285416.747024664</c:v>
                </c:pt>
                <c:pt idx="16">
                  <c:v>103204.499049278</c:v>
                </c:pt>
                <c:pt idx="17">
                  <c:v>1.39262958293479E6</c:v>
                </c:pt>
                <c:pt idx="18">
                  <c:v>306408.895862033</c:v>
                </c:pt>
                <c:pt idx="19">
                  <c:v>186443.799695959</c:v>
                </c:pt>
                <c:pt idx="20">
                  <c:v>306408.895862033</c:v>
                </c:pt>
                <c:pt idx="22">
                  <c:v>2.11515630271759E7</c:v>
                </c:pt>
                <c:pt idx="23">
                  <c:v>3.67340229637925E6</c:v>
                </c:pt>
                <c:pt idx="24">
                  <c:v>580361.547609774</c:v>
                </c:pt>
                <c:pt idx="25">
                  <c:v>515618.827690158</c:v>
                </c:pt>
                <c:pt idx="26">
                  <c:v>3.85138059903546E6</c:v>
                </c:pt>
                <c:pt idx="27">
                  <c:v>225288.864463881</c:v>
                </c:pt>
                <c:pt idx="28">
                  <c:v>247648.451314404</c:v>
                </c:pt>
                <c:pt idx="29">
                  <c:v>397479.805371565</c:v>
                </c:pt>
                <c:pt idx="30">
                  <c:v>1.49505625475781E6</c:v>
                </c:pt>
                <c:pt idx="31">
                  <c:v>253576.842073879</c:v>
                </c:pt>
                <c:pt idx="32">
                  <c:v>182084.917038382</c:v>
                </c:pt>
                <c:pt idx="34">
                  <c:v>623046.625181122</c:v>
                </c:pt>
                <c:pt idx="35">
                  <c:v>165644.905016981</c:v>
                </c:pt>
                <c:pt idx="36">
                  <c:v>220021.820315143</c:v>
                </c:pt>
                <c:pt idx="37">
                  <c:v>1.15250769996664E6</c:v>
                </c:pt>
                <c:pt idx="38">
                  <c:v>379111.64380429</c:v>
                </c:pt>
                <c:pt idx="39">
                  <c:v>9.68950006261366E6</c:v>
                </c:pt>
                <c:pt idx="40">
                  <c:v>113447.393057149</c:v>
                </c:pt>
                <c:pt idx="42">
                  <c:v>83412.83397248641</c:v>
                </c:pt>
                <c:pt idx="43">
                  <c:v>55792.4383828606</c:v>
                </c:pt>
                <c:pt idx="44">
                  <c:v>195477.101342057</c:v>
                </c:pt>
                <c:pt idx="45">
                  <c:v>2.67967541497001E7</c:v>
                </c:pt>
                <c:pt idx="46">
                  <c:v>1.18009727689491E6</c:v>
                </c:pt>
                <c:pt idx="47">
                  <c:v>225288.86446388</c:v>
                </c:pt>
                <c:pt idx="48">
                  <c:v>225288.86446388</c:v>
                </c:pt>
                <c:pt idx="50">
                  <c:v>150689.222393423</c:v>
                </c:pt>
                <c:pt idx="51">
                  <c:v>96133.9334293295</c:v>
                </c:pt>
              </c:numCache>
            </c:numRef>
          </c:xVal>
          <c:yVal>
            <c:numRef>
              <c:f>'Breuker in press NP'!$H$3:$H$58</c:f>
              <c:numCache>
                <c:formatCode>0.00E+00</c:formatCode>
                <c:ptCount val="56"/>
                <c:pt idx="0">
                  <c:v>3.79522134502943E6</c:v>
                </c:pt>
                <c:pt idx="1">
                  <c:v>697967.2756766382</c:v>
                </c:pt>
                <c:pt idx="2">
                  <c:v>389640.6748086304</c:v>
                </c:pt>
                <c:pt idx="5">
                  <c:v>285105.3895246409</c:v>
                </c:pt>
                <c:pt idx="9">
                  <c:v>78513.43172472628</c:v>
                </c:pt>
                <c:pt idx="23">
                  <c:v>1.62478014813589E6</c:v>
                </c:pt>
                <c:pt idx="24">
                  <c:v>971516.380998305</c:v>
                </c:pt>
                <c:pt idx="25">
                  <c:v>254224.9698352244</c:v>
                </c:pt>
                <c:pt idx="26">
                  <c:v>230125.0735044827</c:v>
                </c:pt>
                <c:pt idx="28">
                  <c:v>1.07777166766862E6</c:v>
                </c:pt>
                <c:pt idx="30">
                  <c:v>86707.91494260976</c:v>
                </c:pt>
                <c:pt idx="31">
                  <c:v>99468.23979676967</c:v>
                </c:pt>
                <c:pt idx="32">
                  <c:v>90512.35857814291</c:v>
                </c:pt>
                <c:pt idx="39">
                  <c:v>3.58796741648363E7</c:v>
                </c:pt>
                <c:pt idx="40">
                  <c:v>1.04344063423942E7</c:v>
                </c:pt>
                <c:pt idx="41">
                  <c:v>1.12338436828375E7</c:v>
                </c:pt>
                <c:pt idx="42">
                  <c:v>1.27241984510174E7</c:v>
                </c:pt>
                <c:pt idx="43">
                  <c:v>1.95707078641587E6</c:v>
                </c:pt>
                <c:pt idx="44">
                  <c:v>1.08219545570384E6</c:v>
                </c:pt>
                <c:pt idx="47">
                  <c:v>4.49606231684969E6</c:v>
                </c:pt>
                <c:pt idx="49">
                  <c:v>915130.079867558</c:v>
                </c:pt>
                <c:pt idx="50">
                  <c:v>4.33846144596579E6</c:v>
                </c:pt>
                <c:pt idx="51">
                  <c:v>502997.7339822226</c:v>
                </c:pt>
                <c:pt idx="52">
                  <c:v>487074.1794322315</c:v>
                </c:pt>
                <c:pt idx="54">
                  <c:v>841785.4129115726</c:v>
                </c:pt>
              </c:numCache>
            </c:numRef>
          </c:yVal>
          <c:smooth val="0"/>
        </c:ser>
        <c:dLbls>
          <c:showLegendKey val="0"/>
          <c:showVal val="0"/>
          <c:showCatName val="0"/>
          <c:showSerName val="0"/>
          <c:showPercent val="0"/>
          <c:showBubbleSize val="0"/>
        </c:dLbls>
        <c:axId val="553120664"/>
        <c:axId val="553123624"/>
      </c:scatterChart>
      <c:valAx>
        <c:axId val="553120664"/>
        <c:scaling>
          <c:logBase val="10.0"/>
          <c:orientation val="minMax"/>
          <c:min val="10000.0"/>
        </c:scaling>
        <c:delete val="0"/>
        <c:axPos val="b"/>
        <c:numFmt formatCode="0.00E+00" sourceLinked="1"/>
        <c:majorTickMark val="out"/>
        <c:minorTickMark val="none"/>
        <c:tickLblPos val="nextTo"/>
        <c:crossAx val="553123624"/>
        <c:crosses val="autoZero"/>
        <c:crossBetween val="midCat"/>
      </c:valAx>
      <c:valAx>
        <c:axId val="553123624"/>
        <c:scaling>
          <c:logBase val="10.0"/>
          <c:orientation val="minMax"/>
          <c:max val="1.0E8"/>
          <c:min val="10000.0"/>
        </c:scaling>
        <c:delete val="0"/>
        <c:axPos val="l"/>
        <c:numFmt formatCode="0.00E+00" sourceLinked="1"/>
        <c:majorTickMark val="out"/>
        <c:minorTickMark val="none"/>
        <c:tickLblPos val="nextTo"/>
        <c:crossAx val="553120664"/>
        <c:crosses val="autoZero"/>
        <c:crossBetween val="midCat"/>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13501</c:v>
          </c:tx>
          <c:spPr>
            <a:ln w="47625">
              <a:noFill/>
            </a:ln>
          </c:spPr>
          <c:xVal>
            <c:numRef>
              <c:f>'Breuker in press NP'!$I$3:$I$24</c:f>
              <c:numCache>
                <c:formatCode>General</c:formatCode>
                <c:ptCount val="22"/>
                <c:pt idx="0">
                  <c:v>0.990906049997143</c:v>
                </c:pt>
                <c:pt idx="1">
                  <c:v>0.982459098801846</c:v>
                </c:pt>
                <c:pt idx="2">
                  <c:v>0.981518326249665</c:v>
                </c:pt>
                <c:pt idx="5">
                  <c:v>0.952001655863111</c:v>
                </c:pt>
                <c:pt idx="9">
                  <c:v>0.914915658536556</c:v>
                </c:pt>
              </c:numCache>
            </c:numRef>
          </c:xVal>
          <c:yVal>
            <c:numRef>
              <c:f>'Breuker in press NP'!$B$3:$B$24</c:f>
              <c:numCache>
                <c:formatCode>General</c:formatCode>
                <c:ptCount val="22"/>
                <c:pt idx="0">
                  <c:v>25.2384611060098</c:v>
                </c:pt>
                <c:pt idx="1">
                  <c:v>77.8591908251036</c:v>
                </c:pt>
                <c:pt idx="2">
                  <c:v>154.192980154788</c:v>
                </c:pt>
                <c:pt idx="3">
                  <c:v>173.775837190562</c:v>
                </c:pt>
                <c:pt idx="4">
                  <c:v>189.119802110076</c:v>
                </c:pt>
                <c:pt idx="5">
                  <c:v>224.24901148736</c:v>
                </c:pt>
                <c:pt idx="6">
                  <c:v>241.500665254951</c:v>
                </c:pt>
                <c:pt idx="7">
                  <c:v>252.77064632798</c:v>
                </c:pt>
                <c:pt idx="8">
                  <c:v>261.570751269606</c:v>
                </c:pt>
                <c:pt idx="9">
                  <c:v>272.196090924423</c:v>
                </c:pt>
                <c:pt idx="10">
                  <c:v>279.995502501733</c:v>
                </c:pt>
                <c:pt idx="11">
                  <c:v>323.628731518093</c:v>
                </c:pt>
                <c:pt idx="12">
                  <c:v>373.907014223338</c:v>
                </c:pt>
                <c:pt idx="13">
                  <c:v>424.316473961359</c:v>
                </c:pt>
                <c:pt idx="14">
                  <c:v>474.725933699379</c:v>
                </c:pt>
                <c:pt idx="15">
                  <c:v>526.203549275715</c:v>
                </c:pt>
                <c:pt idx="16">
                  <c:v>574.195603695444</c:v>
                </c:pt>
                <c:pt idx="17">
                  <c:v>626.044262878773</c:v>
                </c:pt>
                <c:pt idx="18">
                  <c:v>669.580046099357</c:v>
                </c:pt>
                <c:pt idx="19">
                  <c:v>714.371380919363</c:v>
                </c:pt>
                <c:pt idx="20">
                  <c:v>721.016434608249</c:v>
                </c:pt>
                <c:pt idx="21">
                  <c:v>762.534435261708</c:v>
                </c:pt>
              </c:numCache>
            </c:numRef>
          </c:yVal>
          <c:smooth val="0"/>
        </c:ser>
        <c:ser>
          <c:idx val="1"/>
          <c:order val="1"/>
          <c:tx>
            <c:v>13502</c:v>
          </c:tx>
          <c:spPr>
            <a:ln w="47625">
              <a:noFill/>
            </a:ln>
          </c:spPr>
          <c:xVal>
            <c:numRef>
              <c:f>'Breuker in press NP'!$I$25:$I$41</c:f>
              <c:numCache>
                <c:formatCode>General</c:formatCode>
                <c:ptCount val="17"/>
                <c:pt idx="1">
                  <c:v>0.936704243752617</c:v>
                </c:pt>
                <c:pt idx="2">
                  <c:v>0.764450987082285</c:v>
                </c:pt>
                <c:pt idx="3">
                  <c:v>0.956641039570185</c:v>
                </c:pt>
                <c:pt idx="4">
                  <c:v>0.729266152403225</c:v>
                </c:pt>
                <c:pt idx="6">
                  <c:v>0.16922725384137</c:v>
                </c:pt>
                <c:pt idx="8">
                  <c:v>0.514819167033059</c:v>
                </c:pt>
                <c:pt idx="9">
                  <c:v>0.461659957439255</c:v>
                </c:pt>
                <c:pt idx="10">
                  <c:v>0.508158747593614</c:v>
                </c:pt>
              </c:numCache>
            </c:numRef>
          </c:xVal>
          <c:yVal>
            <c:numRef>
              <c:f>'Breuker in press NP'!$B$25:$B$41</c:f>
              <c:numCache>
                <c:formatCode>General</c:formatCode>
                <c:ptCount val="17"/>
                <c:pt idx="0">
                  <c:v>8.144219777748731</c:v>
                </c:pt>
                <c:pt idx="1">
                  <c:v>39.6042201525402</c:v>
                </c:pt>
                <c:pt idx="2">
                  <c:v>76.5211850907932</c:v>
                </c:pt>
                <c:pt idx="3">
                  <c:v>126.844442778704</c:v>
                </c:pt>
                <c:pt idx="4">
                  <c:v>176.410621591739</c:v>
                </c:pt>
                <c:pt idx="5">
                  <c:v>226.302869029102</c:v>
                </c:pt>
                <c:pt idx="6">
                  <c:v>275.565466709143</c:v>
                </c:pt>
                <c:pt idx="7">
                  <c:v>327.076813522478</c:v>
                </c:pt>
                <c:pt idx="8">
                  <c:v>377.62869403894</c:v>
                </c:pt>
                <c:pt idx="9">
                  <c:v>426.59520641643</c:v>
                </c:pt>
                <c:pt idx="10">
                  <c:v>476.884732867342</c:v>
                </c:pt>
                <c:pt idx="11">
                  <c:v>523.415977961432</c:v>
                </c:pt>
                <c:pt idx="12">
                  <c:v>577.763618986938</c:v>
                </c:pt>
                <c:pt idx="13">
                  <c:v>627.895732998519</c:v>
                </c:pt>
                <c:pt idx="14">
                  <c:v>678.282705245207</c:v>
                </c:pt>
                <c:pt idx="15">
                  <c:v>726.69827408504</c:v>
                </c:pt>
                <c:pt idx="16">
                  <c:v>776.86411933362</c:v>
                </c:pt>
              </c:numCache>
            </c:numRef>
          </c:yVal>
          <c:smooth val="0"/>
        </c:ser>
        <c:ser>
          <c:idx val="2"/>
          <c:order val="2"/>
          <c:tx>
            <c:v>13504</c:v>
          </c:tx>
          <c:spPr>
            <a:ln w="47625">
              <a:noFill/>
            </a:ln>
          </c:spPr>
          <c:xVal>
            <c:numRef>
              <c:f>'Breuker in press NP'!$I$42:$I$47</c:f>
              <c:numCache>
                <c:formatCode>General</c:formatCode>
                <c:ptCount val="6"/>
                <c:pt idx="0">
                  <c:v>0.954376670232961</c:v>
                </c:pt>
                <c:pt idx="1">
                  <c:v>0.914909949841133</c:v>
                </c:pt>
                <c:pt idx="2">
                  <c:v>0.920921758019272</c:v>
                </c:pt>
                <c:pt idx="3">
                  <c:v>0.881068687490931</c:v>
                </c:pt>
                <c:pt idx="4">
                  <c:v>0.580643483649349</c:v>
                </c:pt>
                <c:pt idx="5">
                  <c:v>0.554534919680385</c:v>
                </c:pt>
              </c:numCache>
            </c:numRef>
          </c:xVal>
          <c:yVal>
            <c:numRef>
              <c:f>'Breuker in press NP'!$B$42:$B$47</c:f>
              <c:numCache>
                <c:formatCode>General</c:formatCode>
                <c:ptCount val="6"/>
                <c:pt idx="0">
                  <c:v>9.11492982028755</c:v>
                </c:pt>
                <c:pt idx="1">
                  <c:v>22.6374079418324</c:v>
                </c:pt>
                <c:pt idx="2">
                  <c:v>36.3636363636363</c:v>
                </c:pt>
                <c:pt idx="3">
                  <c:v>46.6652924310852</c:v>
                </c:pt>
                <c:pt idx="4">
                  <c:v>57.545490321009</c:v>
                </c:pt>
                <c:pt idx="5">
                  <c:v>67.5936510316137</c:v>
                </c:pt>
              </c:numCache>
            </c:numRef>
          </c:yVal>
          <c:smooth val="0"/>
        </c:ser>
        <c:ser>
          <c:idx val="3"/>
          <c:order val="3"/>
          <c:tx>
            <c:v>13512</c:v>
          </c:tx>
          <c:spPr>
            <a:ln w="47625">
              <a:noFill/>
            </a:ln>
          </c:spPr>
          <c:xVal>
            <c:numRef>
              <c:f>'Breuker in press NP'!$I$48:$I$58</c:f>
              <c:numCache>
                <c:formatCode>General</c:formatCode>
                <c:ptCount val="11"/>
                <c:pt idx="2">
                  <c:v>0.957731863997261</c:v>
                </c:pt>
                <c:pt idx="4">
                  <c:v>0.906249212993215</c:v>
                </c:pt>
                <c:pt idx="5">
                  <c:v>0.971246660430243</c:v>
                </c:pt>
                <c:pt idx="6">
                  <c:v>0.764457589297602</c:v>
                </c:pt>
                <c:pt idx="7">
                  <c:v>0.749782718033881</c:v>
                </c:pt>
                <c:pt idx="9">
                  <c:v>0.846797608347718</c:v>
                </c:pt>
              </c:numCache>
            </c:numRef>
          </c:xVal>
          <c:yVal>
            <c:numRef>
              <c:f>'Breuker in press NP'!$B$48:$B$58</c:f>
              <c:numCache>
                <c:formatCode>General</c:formatCode>
                <c:ptCount val="11"/>
                <c:pt idx="0">
                  <c:v>7.08730768510031</c:v>
                </c:pt>
                <c:pt idx="1">
                  <c:v>44.8962764462268</c:v>
                </c:pt>
                <c:pt idx="2">
                  <c:v>94.9759196446976</c:v>
                </c:pt>
                <c:pt idx="3">
                  <c:v>142.034743174109</c:v>
                </c:pt>
                <c:pt idx="4">
                  <c:v>189.531680440771</c:v>
                </c:pt>
                <c:pt idx="5">
                  <c:v>242.655023143376</c:v>
                </c:pt>
                <c:pt idx="6">
                  <c:v>292.925810018177</c:v>
                </c:pt>
                <c:pt idx="7">
                  <c:v>339.393939393939</c:v>
                </c:pt>
                <c:pt idx="8">
                  <c:v>390.082644628099</c:v>
                </c:pt>
                <c:pt idx="9">
                  <c:v>438.567493112947</c:v>
                </c:pt>
                <c:pt idx="10">
                  <c:v>489.256198347107</c:v>
                </c:pt>
              </c:numCache>
            </c:numRef>
          </c:yVal>
          <c:smooth val="0"/>
        </c:ser>
        <c:dLbls>
          <c:showLegendKey val="0"/>
          <c:showVal val="0"/>
          <c:showCatName val="0"/>
          <c:showSerName val="0"/>
          <c:showPercent val="0"/>
          <c:showBubbleSize val="0"/>
        </c:dLbls>
        <c:axId val="553165576"/>
        <c:axId val="553171160"/>
      </c:scatterChart>
      <c:valAx>
        <c:axId val="553165576"/>
        <c:scaling>
          <c:orientation val="minMax"/>
        </c:scaling>
        <c:delete val="0"/>
        <c:axPos val="t"/>
        <c:title>
          <c:tx>
            <c:rich>
              <a:bodyPr/>
              <a:lstStyle/>
              <a:p>
                <a:pPr>
                  <a:defRPr/>
                </a:pPr>
                <a:r>
                  <a:rPr lang="en-US"/>
                  <a:t>Fraction archaea</a:t>
                </a:r>
              </a:p>
            </c:rich>
          </c:tx>
          <c:layout/>
          <c:overlay val="0"/>
        </c:title>
        <c:numFmt formatCode="General" sourceLinked="1"/>
        <c:majorTickMark val="out"/>
        <c:minorTickMark val="none"/>
        <c:tickLblPos val="nextTo"/>
        <c:crossAx val="553171160"/>
        <c:crosses val="autoZero"/>
        <c:crossBetween val="midCat"/>
      </c:valAx>
      <c:valAx>
        <c:axId val="553171160"/>
        <c:scaling>
          <c:orientation val="maxMin"/>
          <c:max val="800.0"/>
        </c:scaling>
        <c:delete val="0"/>
        <c:axPos val="l"/>
        <c:title>
          <c:tx>
            <c:rich>
              <a:bodyPr rot="-5400000" vert="horz"/>
              <a:lstStyle/>
              <a:p>
                <a:pPr>
                  <a:defRPr/>
                </a:pPr>
                <a:r>
                  <a:rPr lang="en-US"/>
                  <a:t>Depth (m)</a:t>
                </a:r>
              </a:p>
            </c:rich>
          </c:tx>
          <c:layout/>
          <c:overlay val="0"/>
        </c:title>
        <c:numFmt formatCode="General" sourceLinked="1"/>
        <c:majorTickMark val="out"/>
        <c:minorTickMark val="none"/>
        <c:tickLblPos val="nextTo"/>
        <c:crossAx val="553165576"/>
        <c:crosses val="autoZero"/>
        <c:crossBetween val="midCat"/>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13501</c:v>
          </c:tx>
          <c:spPr>
            <a:ln w="47625">
              <a:noFill/>
            </a:ln>
          </c:spPr>
          <c:xVal>
            <c:numRef>
              <c:f>'Breuker in press NP'!$D$3:$D$24</c:f>
              <c:numCache>
                <c:formatCode>0.00E+00</c:formatCode>
                <c:ptCount val="22"/>
                <c:pt idx="0">
                  <c:v>8417.93979548089</c:v>
                </c:pt>
                <c:pt idx="1">
                  <c:v>2986.09146882652</c:v>
                </c:pt>
                <c:pt idx="2">
                  <c:v>1756.39312967644</c:v>
                </c:pt>
                <c:pt idx="5">
                  <c:v>3337.70404919155</c:v>
                </c:pt>
                <c:pt idx="9">
                  <c:v>1629.33259373985</c:v>
                </c:pt>
              </c:numCache>
            </c:numRef>
          </c:xVal>
          <c:yVal>
            <c:numRef>
              <c:f>'Breuker in press NP'!$B$3:$B$24</c:f>
              <c:numCache>
                <c:formatCode>General</c:formatCode>
                <c:ptCount val="22"/>
                <c:pt idx="0">
                  <c:v>25.2384611060098</c:v>
                </c:pt>
                <c:pt idx="1">
                  <c:v>77.8591908251036</c:v>
                </c:pt>
                <c:pt idx="2">
                  <c:v>154.192980154788</c:v>
                </c:pt>
                <c:pt idx="3">
                  <c:v>173.775837190562</c:v>
                </c:pt>
                <c:pt idx="4">
                  <c:v>189.119802110076</c:v>
                </c:pt>
                <c:pt idx="5">
                  <c:v>224.24901148736</c:v>
                </c:pt>
                <c:pt idx="6">
                  <c:v>241.500665254951</c:v>
                </c:pt>
                <c:pt idx="7">
                  <c:v>252.77064632798</c:v>
                </c:pt>
                <c:pt idx="8">
                  <c:v>261.570751269606</c:v>
                </c:pt>
                <c:pt idx="9">
                  <c:v>272.196090924423</c:v>
                </c:pt>
                <c:pt idx="10">
                  <c:v>279.995502501733</c:v>
                </c:pt>
                <c:pt idx="11">
                  <c:v>323.628731518093</c:v>
                </c:pt>
                <c:pt idx="12">
                  <c:v>373.907014223338</c:v>
                </c:pt>
                <c:pt idx="13">
                  <c:v>424.316473961359</c:v>
                </c:pt>
                <c:pt idx="14">
                  <c:v>474.725933699379</c:v>
                </c:pt>
                <c:pt idx="15">
                  <c:v>526.203549275715</c:v>
                </c:pt>
                <c:pt idx="16">
                  <c:v>574.195603695444</c:v>
                </c:pt>
                <c:pt idx="17">
                  <c:v>626.044262878773</c:v>
                </c:pt>
                <c:pt idx="18">
                  <c:v>669.580046099357</c:v>
                </c:pt>
                <c:pt idx="19">
                  <c:v>714.371380919363</c:v>
                </c:pt>
                <c:pt idx="20">
                  <c:v>721.016434608249</c:v>
                </c:pt>
                <c:pt idx="21">
                  <c:v>762.534435261708</c:v>
                </c:pt>
              </c:numCache>
            </c:numRef>
          </c:yVal>
          <c:smooth val="0"/>
        </c:ser>
        <c:ser>
          <c:idx val="1"/>
          <c:order val="1"/>
          <c:tx>
            <c:v>13502</c:v>
          </c:tx>
          <c:spPr>
            <a:ln w="47625">
              <a:noFill/>
            </a:ln>
          </c:spPr>
          <c:xVal>
            <c:numRef>
              <c:f>'Breuker in press NP'!$D$25:$D$41</c:f>
              <c:numCache>
                <c:formatCode>0.00E+00</c:formatCode>
                <c:ptCount val="17"/>
                <c:pt idx="1">
                  <c:v>25083.3385882915</c:v>
                </c:pt>
                <c:pt idx="2">
                  <c:v>55814.566970132</c:v>
                </c:pt>
                <c:pt idx="3">
                  <c:v>2688.51961155033</c:v>
                </c:pt>
                <c:pt idx="4">
                  <c:v>15195.7674581364</c:v>
                </c:pt>
                <c:pt idx="6">
                  <c:v>218386.177580737</c:v>
                </c:pt>
                <c:pt idx="8">
                  <c:v>10260.7361943127</c:v>
                </c:pt>
                <c:pt idx="9">
                  <c:v>13060.4235233257</c:v>
                </c:pt>
                <c:pt idx="10">
                  <c:v>10857.9784881292</c:v>
                </c:pt>
                <c:pt idx="13">
                  <c:v>9553.0707888658</c:v>
                </c:pt>
                <c:pt idx="14">
                  <c:v>12487.2413074357</c:v>
                </c:pt>
                <c:pt idx="15">
                  <c:v>12507.8618607114</c:v>
                </c:pt>
                <c:pt idx="16">
                  <c:v>14312.0919018479</c:v>
                </c:pt>
              </c:numCache>
            </c:numRef>
          </c:xVal>
          <c:yVal>
            <c:numRef>
              <c:f>'Breuker in press NP'!$B$25:$B$41</c:f>
              <c:numCache>
                <c:formatCode>General</c:formatCode>
                <c:ptCount val="17"/>
                <c:pt idx="0">
                  <c:v>8.144219777748731</c:v>
                </c:pt>
                <c:pt idx="1">
                  <c:v>39.6042201525402</c:v>
                </c:pt>
                <c:pt idx="2">
                  <c:v>76.5211850907932</c:v>
                </c:pt>
                <c:pt idx="3">
                  <c:v>126.844442778704</c:v>
                </c:pt>
                <c:pt idx="4">
                  <c:v>176.410621591739</c:v>
                </c:pt>
                <c:pt idx="5">
                  <c:v>226.302869029102</c:v>
                </c:pt>
                <c:pt idx="6">
                  <c:v>275.565466709143</c:v>
                </c:pt>
                <c:pt idx="7">
                  <c:v>327.076813522478</c:v>
                </c:pt>
                <c:pt idx="8">
                  <c:v>377.62869403894</c:v>
                </c:pt>
                <c:pt idx="9">
                  <c:v>426.59520641643</c:v>
                </c:pt>
                <c:pt idx="10">
                  <c:v>476.884732867342</c:v>
                </c:pt>
                <c:pt idx="11">
                  <c:v>523.415977961432</c:v>
                </c:pt>
                <c:pt idx="12">
                  <c:v>577.763618986938</c:v>
                </c:pt>
                <c:pt idx="13">
                  <c:v>627.895732998519</c:v>
                </c:pt>
                <c:pt idx="14">
                  <c:v>678.282705245207</c:v>
                </c:pt>
                <c:pt idx="15">
                  <c:v>726.69827408504</c:v>
                </c:pt>
                <c:pt idx="16">
                  <c:v>776.86411933362</c:v>
                </c:pt>
              </c:numCache>
            </c:numRef>
          </c:yVal>
          <c:smooth val="0"/>
        </c:ser>
        <c:ser>
          <c:idx val="2"/>
          <c:order val="2"/>
          <c:tx>
            <c:v>13504</c:v>
          </c:tx>
          <c:spPr>
            <a:ln w="47625">
              <a:noFill/>
            </a:ln>
          </c:spPr>
          <c:xVal>
            <c:numRef>
              <c:f>'Breuker in press NP'!$D$42:$D$47</c:f>
              <c:numCache>
                <c:formatCode>0.00E+00</c:formatCode>
                <c:ptCount val="6"/>
                <c:pt idx="0">
                  <c:v>399256.147891764</c:v>
                </c:pt>
                <c:pt idx="1">
                  <c:v>216552.233915201</c:v>
                </c:pt>
                <c:pt idx="2">
                  <c:v>216671.36807929</c:v>
                </c:pt>
                <c:pt idx="3">
                  <c:v>369098.932293992</c:v>
                </c:pt>
                <c:pt idx="4">
                  <c:v>200173.265181217</c:v>
                </c:pt>
                <c:pt idx="5">
                  <c:v>117580.557462594</c:v>
                </c:pt>
              </c:numCache>
            </c:numRef>
          </c:xVal>
          <c:yVal>
            <c:numRef>
              <c:f>'Breuker in press NP'!$B$42:$B$47</c:f>
              <c:numCache>
                <c:formatCode>General</c:formatCode>
                <c:ptCount val="6"/>
                <c:pt idx="0">
                  <c:v>9.11492982028755</c:v>
                </c:pt>
                <c:pt idx="1">
                  <c:v>22.6374079418324</c:v>
                </c:pt>
                <c:pt idx="2">
                  <c:v>36.3636363636363</c:v>
                </c:pt>
                <c:pt idx="3">
                  <c:v>46.6652924310852</c:v>
                </c:pt>
                <c:pt idx="4">
                  <c:v>57.545490321009</c:v>
                </c:pt>
                <c:pt idx="5">
                  <c:v>67.5936510316137</c:v>
                </c:pt>
              </c:numCache>
            </c:numRef>
          </c:yVal>
          <c:smooth val="0"/>
        </c:ser>
        <c:ser>
          <c:idx val="3"/>
          <c:order val="3"/>
          <c:tx>
            <c:v>13512</c:v>
          </c:tx>
          <c:spPr>
            <a:ln w="47625">
              <a:noFill/>
            </a:ln>
          </c:spPr>
          <c:xVal>
            <c:numRef>
              <c:f>'Breuker in press NP'!$D$48:$D$58</c:f>
              <c:numCache>
                <c:formatCode>0.00E+00</c:formatCode>
                <c:ptCount val="11"/>
                <c:pt idx="1">
                  <c:v>39443.9888824227</c:v>
                </c:pt>
                <c:pt idx="2">
                  <c:v>46351.2618257054</c:v>
                </c:pt>
                <c:pt idx="3">
                  <c:v>35575.8490057859</c:v>
                </c:pt>
                <c:pt idx="4">
                  <c:v>20925.4061466257</c:v>
                </c:pt>
                <c:pt idx="5">
                  <c:v>30425.6719917449</c:v>
                </c:pt>
                <c:pt idx="6">
                  <c:v>28896.9021561015</c:v>
                </c:pt>
                <c:pt idx="7">
                  <c:v>29725.4578764416</c:v>
                </c:pt>
                <c:pt idx="9">
                  <c:v>31454.5215892821</c:v>
                </c:pt>
              </c:numCache>
            </c:numRef>
          </c:xVal>
          <c:yVal>
            <c:numRef>
              <c:f>'Breuker in press NP'!$B$48:$B$58</c:f>
              <c:numCache>
                <c:formatCode>General</c:formatCode>
                <c:ptCount val="11"/>
                <c:pt idx="0">
                  <c:v>7.08730768510031</c:v>
                </c:pt>
                <c:pt idx="1">
                  <c:v>44.8962764462268</c:v>
                </c:pt>
                <c:pt idx="2">
                  <c:v>94.9759196446976</c:v>
                </c:pt>
                <c:pt idx="3">
                  <c:v>142.034743174109</c:v>
                </c:pt>
                <c:pt idx="4">
                  <c:v>189.531680440771</c:v>
                </c:pt>
                <c:pt idx="5">
                  <c:v>242.655023143376</c:v>
                </c:pt>
                <c:pt idx="6">
                  <c:v>292.925810018177</c:v>
                </c:pt>
                <c:pt idx="7">
                  <c:v>339.393939393939</c:v>
                </c:pt>
                <c:pt idx="8">
                  <c:v>390.082644628099</c:v>
                </c:pt>
                <c:pt idx="9">
                  <c:v>438.567493112947</c:v>
                </c:pt>
                <c:pt idx="10">
                  <c:v>489.256198347107</c:v>
                </c:pt>
              </c:numCache>
            </c:numRef>
          </c:yVal>
          <c:smooth val="0"/>
        </c:ser>
        <c:dLbls>
          <c:showLegendKey val="0"/>
          <c:showVal val="0"/>
          <c:showCatName val="0"/>
          <c:showSerName val="0"/>
          <c:showPercent val="0"/>
          <c:showBubbleSize val="0"/>
        </c:dLbls>
        <c:axId val="553208936"/>
        <c:axId val="553214520"/>
      </c:scatterChart>
      <c:valAx>
        <c:axId val="553208936"/>
        <c:scaling>
          <c:logBase val="10.0"/>
          <c:orientation val="minMax"/>
          <c:min val="1000.0"/>
        </c:scaling>
        <c:delete val="0"/>
        <c:axPos val="t"/>
        <c:title>
          <c:tx>
            <c:rich>
              <a:bodyPr/>
              <a:lstStyle/>
              <a:p>
                <a:pPr>
                  <a:defRPr/>
                </a:pPr>
                <a:r>
                  <a:rPr lang="en-US"/>
                  <a:t>Total Bacteria</a:t>
                </a:r>
              </a:p>
            </c:rich>
          </c:tx>
          <c:overlay val="0"/>
        </c:title>
        <c:numFmt formatCode="0.00E+00" sourceLinked="1"/>
        <c:majorTickMark val="out"/>
        <c:minorTickMark val="none"/>
        <c:tickLblPos val="nextTo"/>
        <c:crossAx val="553214520"/>
        <c:crosses val="autoZero"/>
        <c:crossBetween val="midCat"/>
      </c:valAx>
      <c:valAx>
        <c:axId val="553214520"/>
        <c:scaling>
          <c:orientation val="maxMin"/>
          <c:max val="800.0"/>
        </c:scaling>
        <c:delete val="0"/>
        <c:axPos val="l"/>
        <c:title>
          <c:tx>
            <c:rich>
              <a:bodyPr rot="-5400000" vert="horz"/>
              <a:lstStyle/>
              <a:p>
                <a:pPr>
                  <a:defRPr/>
                </a:pPr>
                <a:r>
                  <a:rPr lang="en-US"/>
                  <a:t>Depth (m)</a:t>
                </a:r>
              </a:p>
            </c:rich>
          </c:tx>
          <c:overlay val="0"/>
        </c:title>
        <c:numFmt formatCode="General" sourceLinked="1"/>
        <c:majorTickMark val="out"/>
        <c:minorTickMark val="none"/>
        <c:tickLblPos val="nextTo"/>
        <c:crossAx val="553208936"/>
        <c:crosses val="autoZero"/>
        <c:crossBetween val="midCat"/>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4" Type="http://schemas.openxmlformats.org/officeDocument/2006/relationships/chart" Target="../charts/chart19.xml"/><Relationship Id="rId1" Type="http://schemas.openxmlformats.org/officeDocument/2006/relationships/chart" Target="../charts/chart16.xml"/><Relationship Id="rId2"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1" Type="http://schemas.openxmlformats.org/officeDocument/2006/relationships/chart" Target="../charts/chart7.xml"/><Relationship Id="rId2"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381000</xdr:colOff>
      <xdr:row>1</xdr:row>
      <xdr:rowOff>0</xdr:rowOff>
    </xdr:from>
    <xdr:to>
      <xdr:col>15</xdr:col>
      <xdr:colOff>355600</xdr:colOff>
      <xdr:row>15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304800</xdr:colOff>
      <xdr:row>17</xdr:row>
      <xdr:rowOff>63500</xdr:rowOff>
    </xdr:from>
    <xdr:to>
      <xdr:col>7</xdr:col>
      <xdr:colOff>838200</xdr:colOff>
      <xdr:row>35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177800</xdr:colOff>
      <xdr:row>23</xdr:row>
      <xdr:rowOff>50800</xdr:rowOff>
    </xdr:from>
    <xdr:to>
      <xdr:col>7</xdr:col>
      <xdr:colOff>635000</xdr:colOff>
      <xdr:row>38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622300</xdr:colOff>
      <xdr:row>23</xdr:row>
      <xdr:rowOff>63500</xdr:rowOff>
    </xdr:from>
    <xdr:to>
      <xdr:col>19</xdr:col>
      <xdr:colOff>431800</xdr:colOff>
      <xdr:row>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101600</xdr:colOff>
      <xdr:row>23</xdr:row>
      <xdr:rowOff>38100</xdr:rowOff>
    </xdr:from>
    <xdr:to>
      <xdr:col>15</xdr:col>
      <xdr:colOff>863600</xdr:colOff>
      <xdr:row>39</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431800</xdr:colOff>
      <xdr:row>1</xdr:row>
      <xdr:rowOff>76200</xdr:rowOff>
    </xdr:from>
    <xdr:to>
      <xdr:col>16</xdr:col>
      <xdr:colOff>241300</xdr:colOff>
      <xdr:row>18</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101600</xdr:colOff>
      <xdr:row>43</xdr:row>
      <xdr:rowOff>76200</xdr:rowOff>
    </xdr:from>
    <xdr:to>
      <xdr:col>18</xdr:col>
      <xdr:colOff>863600</xdr:colOff>
      <xdr:row>60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774700</xdr:colOff>
      <xdr:row>59</xdr:row>
      <xdr:rowOff>38100</xdr:rowOff>
    </xdr:from>
    <xdr:to>
      <xdr:col>16</xdr:col>
      <xdr:colOff>584200</xdr:colOff>
      <xdr:row>75</xdr:row>
      <xdr:rowOff>139700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88900</xdr:colOff>
      <xdr:row>22</xdr:row>
      <xdr:rowOff>63500</xdr:rowOff>
    </xdr:from>
    <xdr:to>
      <xdr:col>7</xdr:col>
      <xdr:colOff>279400</xdr:colOff>
      <xdr:row>39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876300</xdr:colOff>
      <xdr:row>42</xdr:row>
      <xdr:rowOff>50800</xdr:rowOff>
    </xdr:from>
    <xdr:to>
      <xdr:col>11</xdr:col>
      <xdr:colOff>749300</xdr:colOff>
      <xdr:row>63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38100</xdr:colOff>
      <xdr:row>27</xdr:row>
      <xdr:rowOff>63500</xdr:rowOff>
    </xdr:from>
    <xdr:to>
      <xdr:col>7</xdr:col>
      <xdr:colOff>1066800</xdr:colOff>
      <xdr:row>43</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88900</xdr:colOff>
      <xdr:row>28</xdr:row>
      <xdr:rowOff>63500</xdr:rowOff>
    </xdr:from>
    <xdr:to>
      <xdr:col>17</xdr:col>
      <xdr:colOff>622300</xdr:colOff>
      <xdr:row>45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393700</xdr:colOff>
      <xdr:row>25</xdr:row>
      <xdr:rowOff>0</xdr:rowOff>
    </xdr:from>
    <xdr:to>
      <xdr:col>5</xdr:col>
      <xdr:colOff>203200</xdr:colOff>
      <xdr:row>41</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13</xdr:row>
      <xdr:rowOff>38100</xdr:rowOff>
    </xdr:from>
    <xdr:to>
      <xdr:col>8</xdr:col>
      <xdr:colOff>88900</xdr:colOff>
      <xdr:row>29</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28</xdr:row>
      <xdr:rowOff>38100</xdr:rowOff>
    </xdr:from>
    <xdr:to>
      <xdr:col>5</xdr:col>
      <xdr:colOff>355600</xdr:colOff>
      <xdr:row>41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330200</xdr:colOff>
      <xdr:row>37</xdr:row>
      <xdr:rowOff>152400</xdr:rowOff>
    </xdr:from>
    <xdr:to>
      <xdr:col>6</xdr:col>
      <xdr:colOff>1524000</xdr:colOff>
      <xdr:row>54</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330200</xdr:colOff>
      <xdr:row>24</xdr:row>
      <xdr:rowOff>0</xdr:rowOff>
    </xdr:from>
    <xdr:to>
      <xdr:col>6</xdr:col>
      <xdr:colOff>939800</xdr:colOff>
      <xdr:row>52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615950</xdr:colOff>
      <xdr:row>7</xdr:row>
      <xdr:rowOff>133350</xdr:rowOff>
    </xdr:from>
    <xdr:to>
      <xdr:col>15</xdr:col>
      <xdr:colOff>425450</xdr:colOff>
      <xdr:row>24</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26</xdr:row>
      <xdr:rowOff>0</xdr:rowOff>
    </xdr:from>
    <xdr:to>
      <xdr:col>16</xdr:col>
      <xdr:colOff>38100</xdr:colOff>
      <xdr:row>55</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22</xdr:col>
      <xdr:colOff>38100</xdr:colOff>
      <xdr:row>55</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26</xdr:row>
      <xdr:rowOff>0</xdr:rowOff>
    </xdr:from>
    <xdr:to>
      <xdr:col>28</xdr:col>
      <xdr:colOff>38100</xdr:colOff>
      <xdr:row>55</xdr:row>
      <xdr:rowOff>88900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25400</xdr:colOff>
      <xdr:row>36</xdr:row>
      <xdr:rowOff>50800</xdr:rowOff>
    </xdr:from>
    <xdr:to>
      <xdr:col>6</xdr:col>
      <xdr:colOff>139700</xdr:colOff>
      <xdr:row>50</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800100</xdr:colOff>
      <xdr:row>5</xdr:row>
      <xdr:rowOff>50800</xdr:rowOff>
    </xdr:from>
    <xdr:to>
      <xdr:col>14</xdr:col>
      <xdr:colOff>266700</xdr:colOff>
      <xdr:row>39</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may/Documents/Microsoft%20User%20Data/Office%202008%20AutoRecovery/Quantification%20meta_analysis/Data%20Spreadsheets/Datasheets%20from%20others/Aarhus_Bay_qPCR_al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p"/>
      <sheetName val="BAC"/>
      <sheetName val="ARC"/>
      <sheetName val="both"/>
      <sheetName val="MBGD, prep"/>
      <sheetName val="MBGD, calc"/>
      <sheetName val="mcg, prep"/>
      <sheetName val="mcg, calc"/>
      <sheetName val="compiled data"/>
      <sheetName val="MCG-MBGD-Arc"/>
      <sheetName val="Arc vs. Bac"/>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C6">
            <v>5</v>
          </cell>
          <cell r="D6">
            <v>73750000</v>
          </cell>
        </row>
        <row r="7">
          <cell r="C7">
            <v>80</v>
          </cell>
          <cell r="D7">
            <v>200871666.66666666</v>
          </cell>
        </row>
        <row r="8">
          <cell r="C8">
            <v>160</v>
          </cell>
          <cell r="D8">
            <v>125866666.66666667</v>
          </cell>
        </row>
        <row r="9">
          <cell r="C9">
            <v>310</v>
          </cell>
          <cell r="D9">
            <v>250140000</v>
          </cell>
        </row>
        <row r="10">
          <cell r="C10">
            <v>1055</v>
          </cell>
          <cell r="D10">
            <v>69286666.666666672</v>
          </cell>
        </row>
      </sheetData>
      <sheetData sheetId="11">
        <row r="6">
          <cell r="C6">
            <v>5</v>
          </cell>
          <cell r="D6">
            <v>4692708.333333333</v>
          </cell>
          <cell r="E6">
            <v>116270.719479721</v>
          </cell>
        </row>
        <row r="7">
          <cell r="C7">
            <v>80</v>
          </cell>
          <cell r="D7">
            <v>17621250</v>
          </cell>
          <cell r="E7">
            <v>4077372.5301963761</v>
          </cell>
        </row>
        <row r="8">
          <cell r="C8">
            <v>160</v>
          </cell>
          <cell r="D8">
            <v>7061333.333333333</v>
          </cell>
          <cell r="E8">
            <v>342165.65189002844</v>
          </cell>
        </row>
        <row r="9">
          <cell r="C9">
            <v>310</v>
          </cell>
          <cell r="D9">
            <v>12012000</v>
          </cell>
          <cell r="E9">
            <v>1428179.6105532385</v>
          </cell>
        </row>
        <row r="10">
          <cell r="C10">
            <v>1055</v>
          </cell>
          <cell r="D10">
            <v>12438666.666666666</v>
          </cell>
          <cell r="E10">
            <v>1881799.4933927853</v>
          </cell>
        </row>
        <row r="16">
          <cell r="E16">
            <v>2724311.8397129211</v>
          </cell>
        </row>
        <row r="17">
          <cell r="E17">
            <v>42645974.702582844</v>
          </cell>
        </row>
        <row r="18">
          <cell r="E18">
            <v>10753777.630829643</v>
          </cell>
        </row>
        <row r="19">
          <cell r="E19">
            <v>24580016.273387615</v>
          </cell>
        </row>
        <row r="20">
          <cell r="E20">
            <v>6472208.0724690091</v>
          </cell>
        </row>
        <row r="26">
          <cell r="C26">
            <v>5</v>
          </cell>
          <cell r="D26">
            <v>2693750000</v>
          </cell>
          <cell r="E26">
            <v>260783075.5628148</v>
          </cell>
        </row>
        <row r="27">
          <cell r="C27">
            <v>80</v>
          </cell>
          <cell r="D27">
            <v>103716666.66666667</v>
          </cell>
          <cell r="E27">
            <v>28329351.533936214</v>
          </cell>
        </row>
        <row r="28">
          <cell r="C28">
            <v>160</v>
          </cell>
          <cell r="D28">
            <v>59626666.666666664</v>
          </cell>
          <cell r="E28">
            <v>4281945.9750600541</v>
          </cell>
        </row>
        <row r="29">
          <cell r="C29">
            <v>310</v>
          </cell>
          <cell r="D29">
            <v>34342000</v>
          </cell>
          <cell r="E29">
            <v>1629188.7551784783</v>
          </cell>
        </row>
        <row r="30">
          <cell r="C30">
            <v>1055</v>
          </cell>
          <cell r="D30">
            <v>25206666.666666668</v>
          </cell>
          <cell r="E30">
            <v>4958866.5371567905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18" sqref="A18"/>
    </sheetView>
  </sheetViews>
  <sheetFormatPr baseColWidth="10" defaultRowHeight="13" x14ac:dyDescent="0"/>
  <cols>
    <col min="1" max="1" width="52.28515625" customWidth="1"/>
  </cols>
  <sheetData>
    <row r="1" spans="1:1">
      <c r="A1" s="50" t="s">
        <v>1161</v>
      </c>
    </row>
    <row r="2" spans="1:1">
      <c r="A2" s="50" t="s">
        <v>786</v>
      </c>
    </row>
    <row r="3" spans="1:1" s="50" customFormat="1"/>
    <row r="4" spans="1:1" s="50" customFormat="1">
      <c r="A4" s="5" t="s">
        <v>958</v>
      </c>
    </row>
    <row r="5" spans="1:1" s="50" customFormat="1">
      <c r="A5" s="5" t="s">
        <v>956</v>
      </c>
    </row>
    <row r="6" spans="1:1">
      <c r="A6" s="5" t="s">
        <v>928</v>
      </c>
    </row>
    <row r="9" spans="1:1">
      <c r="A9" s="122" t="s">
        <v>957</v>
      </c>
    </row>
    <row r="10" spans="1:1">
      <c r="A10" s="5" t="s">
        <v>955</v>
      </c>
    </row>
    <row r="11" spans="1:1">
      <c r="A11" s="24" t="s">
        <v>1186</v>
      </c>
    </row>
    <row r="12" spans="1:1">
      <c r="A12" s="36" t="s">
        <v>1042</v>
      </c>
    </row>
    <row r="13" spans="1:1">
      <c r="A13" s="41" t="s">
        <v>912</v>
      </c>
    </row>
    <row r="14" spans="1:1">
      <c r="A14" s="31" t="s">
        <v>953</v>
      </c>
    </row>
    <row r="15" spans="1:1">
      <c r="A15" s="48" t="s">
        <v>919</v>
      </c>
    </row>
    <row r="16" spans="1:1">
      <c r="A16" s="49" t="s">
        <v>1185</v>
      </c>
    </row>
    <row r="17" spans="1:1">
      <c r="A17" s="125" t="s">
        <v>1125</v>
      </c>
    </row>
    <row r="19" spans="1:1">
      <c r="A19" s="122" t="s">
        <v>1091</v>
      </c>
    </row>
    <row r="20" spans="1:1">
      <c r="A20" s="22" t="s">
        <v>1090</v>
      </c>
    </row>
    <row r="21" spans="1:1" s="30" customFormat="1">
      <c r="A21" s="39" t="s">
        <v>1116</v>
      </c>
    </row>
    <row r="22" spans="1:1" s="30" customFormat="1">
      <c r="A22" s="119" t="s">
        <v>1117</v>
      </c>
    </row>
    <row r="23" spans="1:1" s="30" customFormat="1">
      <c r="A23" s="120" t="s">
        <v>1118</v>
      </c>
    </row>
    <row r="24" spans="1:1" s="30" customFormat="1">
      <c r="A24" s="37" t="s">
        <v>840</v>
      </c>
    </row>
    <row r="25" spans="1:1" s="30" customFormat="1">
      <c r="A25" s="121" t="s">
        <v>987</v>
      </c>
    </row>
    <row r="26" spans="1:1" s="30" customFormat="1">
      <c r="A26" s="38" t="s">
        <v>988</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5" sqref="D5"/>
    </sheetView>
  </sheetViews>
  <sheetFormatPr baseColWidth="10" defaultRowHeight="13" x14ac:dyDescent="0"/>
  <cols>
    <col min="3" max="3" width="17.140625" customWidth="1"/>
    <col min="4" max="4" width="10.28515625" customWidth="1"/>
    <col min="5" max="5" width="12.85546875" customWidth="1"/>
    <col min="6" max="6" width="16.42578125" customWidth="1"/>
  </cols>
  <sheetData>
    <row r="1" spans="1:7">
      <c r="A1" s="192" t="s">
        <v>596</v>
      </c>
    </row>
    <row r="2" spans="1:7">
      <c r="A2" s="149" t="s">
        <v>760</v>
      </c>
    </row>
    <row r="3" spans="1:7">
      <c r="A3" s="250" t="s">
        <v>1281</v>
      </c>
    </row>
    <row r="5" spans="1:7">
      <c r="A5" s="149" t="s">
        <v>932</v>
      </c>
      <c r="B5" s="151" t="s">
        <v>821</v>
      </c>
      <c r="C5" s="149" t="s">
        <v>822</v>
      </c>
      <c r="D5" s="149" t="s">
        <v>837</v>
      </c>
      <c r="E5" s="149" t="s">
        <v>823</v>
      </c>
      <c r="F5" s="149" t="s">
        <v>682</v>
      </c>
      <c r="G5" s="149" t="s">
        <v>582</v>
      </c>
    </row>
    <row r="6" spans="1:7">
      <c r="A6">
        <v>0.5</v>
      </c>
      <c r="B6" s="151">
        <f>A6/100</f>
        <v>5.0000000000000001E-3</v>
      </c>
      <c r="C6" s="148">
        <v>2400000000</v>
      </c>
      <c r="D6">
        <v>11380</v>
      </c>
      <c r="E6">
        <v>1.4</v>
      </c>
      <c r="F6">
        <f t="shared" ref="F6:F14" si="0">(E6/100)*D6</f>
        <v>159.32</v>
      </c>
      <c r="G6">
        <f t="shared" ref="G6:G14" si="1">D6-F6</f>
        <v>11220.68</v>
      </c>
    </row>
    <row r="7" spans="1:7">
      <c r="A7">
        <v>1.5</v>
      </c>
      <c r="B7" s="151">
        <f t="shared" ref="B7:B14" si="2">A7/100</f>
        <v>1.4999999999999999E-2</v>
      </c>
      <c r="C7" s="148">
        <v>2900000000</v>
      </c>
      <c r="D7">
        <v>13610</v>
      </c>
      <c r="E7">
        <v>1.8</v>
      </c>
      <c r="F7" s="149">
        <f t="shared" si="0"/>
        <v>244.98000000000002</v>
      </c>
      <c r="G7" s="149">
        <f t="shared" si="1"/>
        <v>13365.02</v>
      </c>
    </row>
    <row r="8" spans="1:7">
      <c r="A8">
        <v>2.5</v>
      </c>
      <c r="B8" s="151">
        <f t="shared" si="2"/>
        <v>2.5000000000000001E-2</v>
      </c>
      <c r="C8" s="148">
        <v>2700000000</v>
      </c>
      <c r="D8">
        <v>10753</v>
      </c>
      <c r="E8">
        <v>1.4</v>
      </c>
      <c r="F8" s="149">
        <f t="shared" si="0"/>
        <v>150.54199999999997</v>
      </c>
      <c r="G8" s="149">
        <f t="shared" si="1"/>
        <v>10602.458000000001</v>
      </c>
    </row>
    <row r="9" spans="1:7">
      <c r="A9">
        <v>3.5</v>
      </c>
      <c r="B9" s="151">
        <f t="shared" si="2"/>
        <v>3.5000000000000003E-2</v>
      </c>
      <c r="C9" s="148">
        <v>2300000000</v>
      </c>
      <c r="D9">
        <v>7283</v>
      </c>
      <c r="E9">
        <v>1.1000000000000001</v>
      </c>
      <c r="F9" s="149">
        <f t="shared" si="0"/>
        <v>80.113000000000014</v>
      </c>
      <c r="G9" s="149">
        <f t="shared" si="1"/>
        <v>7202.8869999999997</v>
      </c>
    </row>
    <row r="10" spans="1:7">
      <c r="A10">
        <v>4.5</v>
      </c>
      <c r="B10" s="151">
        <f t="shared" si="2"/>
        <v>4.4999999999999998E-2</v>
      </c>
      <c r="C10" s="148">
        <v>1700000000</v>
      </c>
      <c r="D10">
        <v>11041</v>
      </c>
      <c r="E10">
        <v>0.8</v>
      </c>
      <c r="F10" s="149">
        <f t="shared" si="0"/>
        <v>88.328000000000003</v>
      </c>
      <c r="G10" s="149">
        <f t="shared" si="1"/>
        <v>10952.672</v>
      </c>
    </row>
    <row r="11" spans="1:7">
      <c r="A11">
        <v>5.5</v>
      </c>
      <c r="B11" s="151">
        <f t="shared" si="2"/>
        <v>5.5E-2</v>
      </c>
      <c r="C11" s="148">
        <v>2400000000</v>
      </c>
      <c r="D11">
        <v>5503</v>
      </c>
      <c r="E11">
        <v>1.9</v>
      </c>
      <c r="F11" s="149">
        <f t="shared" si="0"/>
        <v>104.557</v>
      </c>
      <c r="G11" s="149">
        <f t="shared" si="1"/>
        <v>5398.4430000000002</v>
      </c>
    </row>
    <row r="12" spans="1:7">
      <c r="A12">
        <v>6.5</v>
      </c>
      <c r="B12" s="151">
        <f t="shared" si="2"/>
        <v>6.5000000000000002E-2</v>
      </c>
      <c r="C12" s="148">
        <v>2000000000</v>
      </c>
      <c r="D12">
        <v>5750</v>
      </c>
      <c r="E12">
        <v>2.7</v>
      </c>
      <c r="F12" s="149">
        <f t="shared" si="0"/>
        <v>155.25000000000003</v>
      </c>
      <c r="G12" s="149">
        <f t="shared" si="1"/>
        <v>5594.75</v>
      </c>
    </row>
    <row r="13" spans="1:7">
      <c r="A13">
        <v>8.5</v>
      </c>
      <c r="B13" s="151">
        <f t="shared" si="2"/>
        <v>8.5000000000000006E-2</v>
      </c>
      <c r="C13" s="148">
        <v>1700000000</v>
      </c>
      <c r="D13">
        <v>7568</v>
      </c>
      <c r="E13">
        <v>3</v>
      </c>
      <c r="F13" s="149">
        <f t="shared" si="0"/>
        <v>227.04</v>
      </c>
      <c r="G13" s="149">
        <f t="shared" si="1"/>
        <v>7340.96</v>
      </c>
    </row>
    <row r="14" spans="1:7">
      <c r="A14">
        <v>10.5</v>
      </c>
      <c r="B14" s="151">
        <f t="shared" si="2"/>
        <v>0.105</v>
      </c>
      <c r="C14" s="148">
        <v>1000000000</v>
      </c>
      <c r="D14">
        <v>1300</v>
      </c>
      <c r="E14">
        <v>3.4</v>
      </c>
      <c r="F14" s="149">
        <f t="shared" si="0"/>
        <v>44.2</v>
      </c>
      <c r="G14" s="149">
        <f t="shared" si="1"/>
        <v>1255.8</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G20" sqref="G20"/>
    </sheetView>
  </sheetViews>
  <sheetFormatPr baseColWidth="10" defaultRowHeight="13" x14ac:dyDescent="0"/>
  <cols>
    <col min="2" max="2" width="24.7109375" customWidth="1"/>
    <col min="7" max="7" width="20" customWidth="1"/>
  </cols>
  <sheetData>
    <row r="1" spans="1:9">
      <c r="A1" t="s">
        <v>1455</v>
      </c>
    </row>
    <row r="2" spans="1:9">
      <c r="A2" t="s">
        <v>1471</v>
      </c>
    </row>
    <row r="4" spans="1:9" s="43" customFormat="1" ht="39">
      <c r="B4" s="43" t="s">
        <v>376</v>
      </c>
      <c r="C4" s="43" t="s">
        <v>1456</v>
      </c>
      <c r="D4" s="43" t="s">
        <v>864</v>
      </c>
      <c r="E4" s="43" t="s">
        <v>1345</v>
      </c>
      <c r="F4" s="43" t="s">
        <v>1457</v>
      </c>
      <c r="G4" s="43" t="s">
        <v>1458</v>
      </c>
      <c r="H4" s="43" t="s">
        <v>1459</v>
      </c>
      <c r="I4" s="43" t="s">
        <v>1352</v>
      </c>
    </row>
    <row r="5" spans="1:9">
      <c r="B5" t="s">
        <v>1340</v>
      </c>
      <c r="C5">
        <v>85</v>
      </c>
      <c r="E5">
        <v>800</v>
      </c>
      <c r="F5" s="301">
        <v>1000000</v>
      </c>
      <c r="G5">
        <v>69.400000000000006</v>
      </c>
      <c r="H5">
        <v>73.400000000000006</v>
      </c>
      <c r="I5" t="s">
        <v>1470</v>
      </c>
    </row>
    <row r="6" spans="1:9">
      <c r="B6" t="s">
        <v>1341</v>
      </c>
      <c r="C6">
        <v>85</v>
      </c>
      <c r="E6">
        <v>900</v>
      </c>
      <c r="F6" s="301">
        <v>1000000</v>
      </c>
      <c r="G6">
        <v>44.8</v>
      </c>
      <c r="H6">
        <v>43.8</v>
      </c>
    </row>
    <row r="7" spans="1:9">
      <c r="B7" t="s">
        <v>1342</v>
      </c>
      <c r="C7" t="s">
        <v>1344</v>
      </c>
      <c r="D7">
        <v>0.15</v>
      </c>
      <c r="E7">
        <v>5</v>
      </c>
      <c r="F7" s="301">
        <v>1000000000</v>
      </c>
      <c r="G7">
        <v>4460</v>
      </c>
      <c r="H7">
        <v>42</v>
      </c>
      <c r="I7" t="s">
        <v>1353</v>
      </c>
    </row>
    <row r="8" spans="1:9">
      <c r="B8" t="s">
        <v>1343</v>
      </c>
      <c r="C8" t="s">
        <v>1344</v>
      </c>
      <c r="D8">
        <v>0.15</v>
      </c>
      <c r="E8">
        <v>5</v>
      </c>
      <c r="F8" s="301">
        <v>1000000000</v>
      </c>
      <c r="G8">
        <v>1160</v>
      </c>
      <c r="H8">
        <v>152</v>
      </c>
      <c r="I8" s="304" t="s">
        <v>1353</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workbookViewId="0"/>
  </sheetViews>
  <sheetFormatPr baseColWidth="10" defaultRowHeight="13" x14ac:dyDescent="0"/>
  <cols>
    <col min="3" max="3" width="10.7109375" style="286"/>
  </cols>
  <sheetData>
    <row r="1" spans="1:12" s="286" customFormat="1">
      <c r="A1" s="286" t="s">
        <v>1644</v>
      </c>
      <c r="D1" t="s">
        <v>437</v>
      </c>
    </row>
    <row r="2" spans="1:12" s="286" customFormat="1">
      <c r="D2">
        <f>2.5*0.2+1*0.45</f>
        <v>0.95</v>
      </c>
      <c r="F2" s="286">
        <f>AVERAGE(36,54)</f>
        <v>45</v>
      </c>
    </row>
    <row r="3" spans="1:12" s="286" customFormat="1">
      <c r="A3" s="286" t="s">
        <v>431</v>
      </c>
    </row>
    <row r="4" spans="1:12" s="43" customFormat="1" ht="52">
      <c r="A4" s="43" t="s">
        <v>1013</v>
      </c>
      <c r="B4" s="43" t="s">
        <v>426</v>
      </c>
      <c r="C4" s="43" t="s">
        <v>438</v>
      </c>
      <c r="D4" s="43" t="s">
        <v>427</v>
      </c>
      <c r="E4" s="43" t="s">
        <v>428</v>
      </c>
      <c r="F4" s="43" t="s">
        <v>429</v>
      </c>
      <c r="G4" s="43" t="s">
        <v>430</v>
      </c>
      <c r="H4" s="43" t="s">
        <v>432</v>
      </c>
      <c r="I4" s="43" t="s">
        <v>433</v>
      </c>
      <c r="J4" s="43" t="s">
        <v>434</v>
      </c>
      <c r="K4" s="43" t="s">
        <v>435</v>
      </c>
      <c r="L4" s="43" t="s">
        <v>436</v>
      </c>
    </row>
    <row r="5" spans="1:12">
      <c r="A5">
        <v>0.23</v>
      </c>
      <c r="B5" s="291">
        <v>5340000000</v>
      </c>
      <c r="C5" s="292">
        <f>A7-A5</f>
        <v>0.15</v>
      </c>
      <c r="F5" s="262">
        <v>119000000</v>
      </c>
      <c r="G5" s="262">
        <v>2000000</v>
      </c>
      <c r="H5" s="300">
        <f t="shared" ref="H5:H12" si="0">B5*$D$2</f>
        <v>5073000000</v>
      </c>
      <c r="I5" s="262"/>
      <c r="J5" s="262"/>
      <c r="K5" s="262">
        <f>F5*$D$2</f>
        <v>113050000</v>
      </c>
      <c r="L5" s="262">
        <f>G5*$D$2</f>
        <v>1900000</v>
      </c>
    </row>
    <row r="6" spans="1:12">
      <c r="A6">
        <v>0.33</v>
      </c>
      <c r="B6" s="291">
        <v>5340000000</v>
      </c>
      <c r="C6" s="292">
        <f>A7-A6</f>
        <v>4.9999999999999989E-2</v>
      </c>
      <c r="F6" s="282">
        <v>1020000000</v>
      </c>
      <c r="G6" s="282">
        <v>200000000</v>
      </c>
      <c r="H6" s="300">
        <f t="shared" si="0"/>
        <v>5073000000</v>
      </c>
      <c r="I6" s="262"/>
      <c r="J6" s="262"/>
      <c r="K6" s="262">
        <f>F6*$D$2</f>
        <v>969000000</v>
      </c>
      <c r="L6" s="262">
        <f>G6*$D$2</f>
        <v>190000000</v>
      </c>
    </row>
    <row r="7" spans="1:12">
      <c r="A7">
        <v>0.38</v>
      </c>
      <c r="B7" s="282">
        <v>5340000000</v>
      </c>
      <c r="C7" s="282"/>
      <c r="D7" s="282">
        <v>2660000</v>
      </c>
      <c r="E7" s="282">
        <v>213000</v>
      </c>
      <c r="H7" s="262">
        <f t="shared" si="0"/>
        <v>5073000000</v>
      </c>
      <c r="I7" s="262">
        <f>D7*$D$2</f>
        <v>2527000</v>
      </c>
      <c r="J7" s="262">
        <f>E7*$D$2</f>
        <v>202350</v>
      </c>
      <c r="K7" s="262"/>
      <c r="L7" s="262"/>
    </row>
    <row r="8" spans="1:12">
      <c r="A8">
        <v>0.43</v>
      </c>
      <c r="B8" s="291">
        <v>118000000</v>
      </c>
      <c r="C8" s="292">
        <f>A9-A8</f>
        <v>4.9999999999999989E-2</v>
      </c>
      <c r="F8" s="282">
        <v>900000000</v>
      </c>
      <c r="G8" s="282">
        <v>50000000</v>
      </c>
      <c r="H8" s="300">
        <f t="shared" si="0"/>
        <v>112100000</v>
      </c>
      <c r="I8" s="262"/>
      <c r="J8" s="262"/>
      <c r="K8" s="262">
        <f>F8*$D$2</f>
        <v>855000000</v>
      </c>
      <c r="L8" s="262">
        <f>G8*$D$2</f>
        <v>47500000</v>
      </c>
    </row>
    <row r="9" spans="1:12">
      <c r="A9">
        <v>0.48</v>
      </c>
      <c r="B9" s="282">
        <v>118000000</v>
      </c>
      <c r="C9" s="282"/>
      <c r="D9" s="282">
        <v>2660000</v>
      </c>
      <c r="H9" s="262">
        <f t="shared" si="0"/>
        <v>112100000</v>
      </c>
      <c r="I9" s="262">
        <f>D9*$D$2</f>
        <v>2527000</v>
      </c>
      <c r="J9" s="262"/>
      <c r="K9" s="262"/>
      <c r="L9" s="262"/>
    </row>
    <row r="10" spans="1:12">
      <c r="A10">
        <v>0.53</v>
      </c>
      <c r="B10" s="291">
        <v>102000000</v>
      </c>
      <c r="C10" s="292">
        <f>A11-A10</f>
        <v>4.9999999999999933E-2</v>
      </c>
      <c r="F10" s="282">
        <v>800000000</v>
      </c>
      <c r="G10" s="282">
        <v>10000000</v>
      </c>
      <c r="H10" s="300">
        <f t="shared" si="0"/>
        <v>96900000</v>
      </c>
      <c r="I10" s="262"/>
      <c r="J10" s="262"/>
      <c r="K10" s="262">
        <f>F10*$D$2</f>
        <v>760000000</v>
      </c>
      <c r="L10" s="262">
        <f>G10*$D$2</f>
        <v>9500000</v>
      </c>
    </row>
    <row r="11" spans="1:12">
      <c r="A11">
        <v>0.57999999999999996</v>
      </c>
      <c r="B11" s="282">
        <v>102000000</v>
      </c>
      <c r="C11" s="282"/>
      <c r="H11" s="262">
        <f t="shared" si="0"/>
        <v>96900000</v>
      </c>
      <c r="I11" s="262"/>
      <c r="J11" s="262"/>
      <c r="K11" s="262"/>
      <c r="L11" s="262"/>
    </row>
    <row r="12" spans="1:12">
      <c r="A12">
        <v>0.63</v>
      </c>
      <c r="B12" s="291">
        <v>102000000</v>
      </c>
      <c r="C12" s="292">
        <f>A12-A11</f>
        <v>5.0000000000000044E-2</v>
      </c>
      <c r="F12" s="282">
        <v>600000000</v>
      </c>
      <c r="G12" s="282">
        <v>20000000</v>
      </c>
      <c r="H12" s="300">
        <f t="shared" si="0"/>
        <v>96900000</v>
      </c>
      <c r="I12" s="262"/>
      <c r="J12" s="262"/>
      <c r="K12" s="262">
        <f>F12*$D$2</f>
        <v>570000000</v>
      </c>
      <c r="L12" s="262">
        <f>G12*$D$2</f>
        <v>19000000</v>
      </c>
    </row>
    <row r="13" spans="1:12">
      <c r="A13">
        <v>0.68</v>
      </c>
      <c r="B13" s="282">
        <v>84500000</v>
      </c>
      <c r="C13" s="282"/>
      <c r="D13" s="282">
        <v>1790000</v>
      </c>
      <c r="E13" s="282">
        <v>128000</v>
      </c>
      <c r="H13" s="262">
        <f t="shared" ref="H13:H26" si="1">B13*$D$2</f>
        <v>80275000</v>
      </c>
      <c r="I13" s="262">
        <f t="shared" ref="I13:J15" si="2">D13*$D$2</f>
        <v>1700500</v>
      </c>
      <c r="J13" s="262">
        <f t="shared" si="2"/>
        <v>121600</v>
      </c>
      <c r="K13" s="262"/>
      <c r="L13" s="262"/>
    </row>
    <row r="14" spans="1:12">
      <c r="A14">
        <v>0.75</v>
      </c>
      <c r="B14" s="282">
        <v>31600000</v>
      </c>
      <c r="C14" s="282"/>
      <c r="D14" s="282">
        <v>1750000</v>
      </c>
      <c r="E14" s="282">
        <v>582000</v>
      </c>
      <c r="F14" s="282">
        <v>40000000</v>
      </c>
      <c r="G14" s="282">
        <v>400000</v>
      </c>
      <c r="H14" s="262">
        <f t="shared" si="1"/>
        <v>30020000</v>
      </c>
      <c r="I14" s="262">
        <f t="shared" si="2"/>
        <v>1662500</v>
      </c>
      <c r="J14" s="262">
        <f t="shared" si="2"/>
        <v>552900</v>
      </c>
      <c r="K14" s="262">
        <f t="shared" ref="K14:K25" si="3">F14*$D$2</f>
        <v>38000000</v>
      </c>
      <c r="L14" s="262">
        <f t="shared" ref="L14:L25" si="4">G14*$D$2</f>
        <v>380000</v>
      </c>
    </row>
    <row r="15" spans="1:12">
      <c r="A15">
        <v>0.8</v>
      </c>
      <c r="B15" s="282">
        <v>10500000</v>
      </c>
      <c r="C15" s="282"/>
      <c r="D15" s="282">
        <v>998000</v>
      </c>
      <c r="E15" s="282">
        <v>333000</v>
      </c>
      <c r="F15" s="282">
        <v>90000000</v>
      </c>
      <c r="G15" s="282">
        <v>10000000</v>
      </c>
      <c r="H15" s="262">
        <f t="shared" si="1"/>
        <v>9975000</v>
      </c>
      <c r="I15" s="262">
        <f t="shared" si="2"/>
        <v>948100</v>
      </c>
      <c r="J15" s="262">
        <f t="shared" si="2"/>
        <v>316350</v>
      </c>
      <c r="K15" s="262">
        <f t="shared" si="3"/>
        <v>85500000</v>
      </c>
      <c r="L15" s="262">
        <f t="shared" si="4"/>
        <v>9500000</v>
      </c>
    </row>
    <row r="16" spans="1:12">
      <c r="A16">
        <v>2.5</v>
      </c>
      <c r="B16" s="282">
        <v>12300000</v>
      </c>
      <c r="C16" s="282"/>
      <c r="D16" s="282">
        <v>990000</v>
      </c>
      <c r="F16" s="282">
        <v>50000000</v>
      </c>
      <c r="G16" s="282">
        <v>3000000</v>
      </c>
      <c r="H16" s="262">
        <f t="shared" si="1"/>
        <v>11685000</v>
      </c>
      <c r="I16" s="262">
        <f t="shared" ref="I16:I24" si="5">D16*$D$2</f>
        <v>940500</v>
      </c>
      <c r="J16" s="262"/>
      <c r="K16" s="262">
        <f t="shared" si="3"/>
        <v>47500000</v>
      </c>
      <c r="L16" s="262">
        <f t="shared" si="4"/>
        <v>2850000</v>
      </c>
    </row>
    <row r="17" spans="1:12">
      <c r="A17">
        <v>3</v>
      </c>
      <c r="B17" s="282">
        <v>8590000</v>
      </c>
      <c r="C17" s="282"/>
      <c r="D17" s="282">
        <v>1180000</v>
      </c>
      <c r="F17" s="282">
        <v>90000000</v>
      </c>
      <c r="G17" s="282">
        <v>3000000</v>
      </c>
      <c r="H17" s="262">
        <f t="shared" si="1"/>
        <v>8160500</v>
      </c>
      <c r="I17" s="262">
        <f t="shared" si="5"/>
        <v>1121000</v>
      </c>
      <c r="J17" s="262"/>
      <c r="K17" s="262">
        <f t="shared" si="3"/>
        <v>85500000</v>
      </c>
      <c r="L17" s="262">
        <f t="shared" si="4"/>
        <v>2850000</v>
      </c>
    </row>
    <row r="18" spans="1:12">
      <c r="A18">
        <v>3.5</v>
      </c>
      <c r="B18" s="282">
        <v>7710000</v>
      </c>
      <c r="C18" s="282"/>
      <c r="D18" s="282">
        <v>1060000</v>
      </c>
      <c r="F18" s="282">
        <v>20000000</v>
      </c>
      <c r="G18">
        <v>50000</v>
      </c>
      <c r="H18" s="262">
        <f t="shared" si="1"/>
        <v>7324500</v>
      </c>
      <c r="I18" s="262">
        <f t="shared" si="5"/>
        <v>1007000</v>
      </c>
      <c r="J18" s="262"/>
      <c r="K18" s="262">
        <f t="shared" si="3"/>
        <v>19000000</v>
      </c>
      <c r="L18" s="262">
        <f t="shared" si="4"/>
        <v>47500</v>
      </c>
    </row>
    <row r="19" spans="1:12">
      <c r="A19">
        <v>4</v>
      </c>
      <c r="B19" s="282">
        <v>10000000</v>
      </c>
      <c r="C19" s="282"/>
      <c r="D19" s="282">
        <v>1090000</v>
      </c>
      <c r="F19" s="282">
        <v>80000000</v>
      </c>
      <c r="G19" s="282">
        <v>1000000</v>
      </c>
      <c r="H19" s="262">
        <f t="shared" si="1"/>
        <v>9500000</v>
      </c>
      <c r="I19" s="262">
        <f t="shared" si="5"/>
        <v>1035500</v>
      </c>
      <c r="J19" s="262"/>
      <c r="K19" s="262">
        <f t="shared" si="3"/>
        <v>76000000</v>
      </c>
      <c r="L19" s="262">
        <f t="shared" si="4"/>
        <v>950000</v>
      </c>
    </row>
    <row r="20" spans="1:12">
      <c r="A20">
        <v>4.5</v>
      </c>
      <c r="B20" s="282">
        <v>9930000</v>
      </c>
      <c r="C20" s="282"/>
      <c r="D20" s="282">
        <v>1060000</v>
      </c>
      <c r="E20" s="282">
        <v>106000</v>
      </c>
      <c r="F20" s="282">
        <v>30000000</v>
      </c>
      <c r="G20" s="282">
        <v>1000000</v>
      </c>
      <c r="H20" s="262">
        <f t="shared" si="1"/>
        <v>9433500</v>
      </c>
      <c r="I20" s="262">
        <f t="shared" si="5"/>
        <v>1007000</v>
      </c>
      <c r="J20" s="262">
        <f>E20*$D$2</f>
        <v>100700</v>
      </c>
      <c r="K20" s="262">
        <f t="shared" si="3"/>
        <v>28500000</v>
      </c>
      <c r="L20" s="262">
        <f t="shared" si="4"/>
        <v>950000</v>
      </c>
    </row>
    <row r="21" spans="1:12">
      <c r="A21">
        <v>5</v>
      </c>
      <c r="B21" s="282">
        <v>6110000</v>
      </c>
      <c r="C21" s="282"/>
      <c r="D21" s="282">
        <v>873000</v>
      </c>
      <c r="E21" s="282">
        <v>109000</v>
      </c>
      <c r="F21" s="282">
        <v>20000000</v>
      </c>
      <c r="G21">
        <v>40000</v>
      </c>
      <c r="H21" s="262">
        <f t="shared" si="1"/>
        <v>5804500</v>
      </c>
      <c r="I21" s="262">
        <f t="shared" si="5"/>
        <v>829350</v>
      </c>
      <c r="J21" s="262">
        <f>E21*$D$2</f>
        <v>103550</v>
      </c>
      <c r="K21" s="262">
        <f t="shared" si="3"/>
        <v>19000000</v>
      </c>
      <c r="L21" s="262">
        <f t="shared" si="4"/>
        <v>38000</v>
      </c>
    </row>
    <row r="22" spans="1:12">
      <c r="A22">
        <v>5.5</v>
      </c>
      <c r="B22" s="282">
        <v>2530000</v>
      </c>
      <c r="C22" s="282"/>
      <c r="D22" s="282">
        <v>422000</v>
      </c>
      <c r="E22" s="282">
        <v>211000</v>
      </c>
      <c r="F22" s="282">
        <v>10000000</v>
      </c>
      <c r="G22">
        <v>40000</v>
      </c>
      <c r="H22" s="262">
        <f t="shared" si="1"/>
        <v>2403500</v>
      </c>
      <c r="I22" s="262">
        <f t="shared" si="5"/>
        <v>400900</v>
      </c>
      <c r="J22" s="262">
        <f>E22*$D$2</f>
        <v>200450</v>
      </c>
      <c r="K22" s="262">
        <f t="shared" si="3"/>
        <v>9500000</v>
      </c>
      <c r="L22" s="262">
        <f t="shared" si="4"/>
        <v>38000</v>
      </c>
    </row>
    <row r="23" spans="1:12">
      <c r="A23">
        <v>6</v>
      </c>
      <c r="B23" s="282">
        <v>5280000</v>
      </c>
      <c r="C23" s="282"/>
      <c r="D23" s="282">
        <v>660000</v>
      </c>
      <c r="F23" s="282">
        <v>20000000</v>
      </c>
      <c r="G23" s="282">
        <v>5000000</v>
      </c>
      <c r="H23" s="262">
        <f t="shared" si="1"/>
        <v>5016000</v>
      </c>
      <c r="I23" s="262">
        <f t="shared" si="5"/>
        <v>627000</v>
      </c>
      <c r="J23" s="262"/>
      <c r="K23" s="262">
        <f t="shared" si="3"/>
        <v>19000000</v>
      </c>
      <c r="L23" s="262">
        <f t="shared" si="4"/>
        <v>4750000</v>
      </c>
    </row>
    <row r="24" spans="1:12">
      <c r="A24">
        <v>7</v>
      </c>
      <c r="B24" s="282">
        <v>4370000</v>
      </c>
      <c r="C24" s="282"/>
      <c r="D24" s="282">
        <v>412000</v>
      </c>
      <c r="F24" s="282">
        <v>20000000</v>
      </c>
      <c r="G24" s="282">
        <v>7000000</v>
      </c>
      <c r="H24" s="262">
        <f t="shared" si="1"/>
        <v>4151500</v>
      </c>
      <c r="I24" s="262">
        <f t="shared" si="5"/>
        <v>391400</v>
      </c>
      <c r="J24" s="262"/>
      <c r="K24" s="262">
        <f t="shared" si="3"/>
        <v>19000000</v>
      </c>
      <c r="L24" s="262">
        <f t="shared" si="4"/>
        <v>6650000</v>
      </c>
    </row>
    <row r="25" spans="1:12">
      <c r="A25">
        <v>8</v>
      </c>
      <c r="B25" s="282">
        <v>363000</v>
      </c>
      <c r="C25" s="282"/>
      <c r="F25" s="282">
        <v>30000000</v>
      </c>
      <c r="G25" s="282">
        <v>10000000</v>
      </c>
      <c r="H25" s="262">
        <f t="shared" si="1"/>
        <v>344850</v>
      </c>
      <c r="I25" s="262"/>
      <c r="J25" s="262"/>
      <c r="K25" s="262">
        <f t="shared" si="3"/>
        <v>28500000</v>
      </c>
      <c r="L25" s="262">
        <f t="shared" si="4"/>
        <v>9500000</v>
      </c>
    </row>
    <row r="26" spans="1:12">
      <c r="A26">
        <v>9</v>
      </c>
      <c r="B26" s="282">
        <v>245000</v>
      </c>
      <c r="C26" s="282"/>
      <c r="F26" s="282">
        <v>20000000</v>
      </c>
      <c r="H26" s="262">
        <f t="shared" si="1"/>
        <v>232750</v>
      </c>
      <c r="I26" s="262"/>
      <c r="J26" s="262"/>
      <c r="K26" s="262">
        <f>F26*$D$2</f>
        <v>19000000</v>
      </c>
      <c r="L26" s="262"/>
    </row>
    <row r="27" spans="1:12">
      <c r="A27">
        <v>14.1</v>
      </c>
      <c r="B27" s="282">
        <v>7050000</v>
      </c>
      <c r="C27" s="282"/>
    </row>
    <row r="28" spans="1:12">
      <c r="A28">
        <v>19.29</v>
      </c>
      <c r="B28" s="282">
        <v>1020000</v>
      </c>
      <c r="C28" s="282"/>
    </row>
    <row r="29" spans="1:12">
      <c r="A29">
        <v>25.07</v>
      </c>
      <c r="B29" s="282">
        <v>349000</v>
      </c>
      <c r="C29" s="282"/>
    </row>
    <row r="30" spans="1:12">
      <c r="A30">
        <v>30.69</v>
      </c>
      <c r="B30" s="282">
        <v>909000</v>
      </c>
      <c r="C30" s="282"/>
    </row>
    <row r="31" spans="1:12">
      <c r="A31">
        <v>34.32</v>
      </c>
      <c r="B31" s="282">
        <v>341000</v>
      </c>
      <c r="C31" s="282"/>
    </row>
    <row r="32" spans="1:12">
      <c r="A32">
        <v>44.32</v>
      </c>
      <c r="B32" s="282">
        <v>1420000</v>
      </c>
      <c r="C32" s="282"/>
    </row>
    <row r="33" spans="1:3">
      <c r="A33">
        <v>50.05</v>
      </c>
      <c r="B33" s="282">
        <v>243000</v>
      </c>
      <c r="C33" s="282"/>
    </row>
    <row r="34" spans="1:3">
      <c r="A34">
        <v>57.64</v>
      </c>
      <c r="B34" s="282">
        <v>605000</v>
      </c>
      <c r="C34" s="282"/>
    </row>
    <row r="35" spans="1:3">
      <c r="A35">
        <v>74.709999999999994</v>
      </c>
      <c r="B35" s="282">
        <v>327000</v>
      </c>
      <c r="C35" s="282"/>
    </row>
    <row r="36" spans="1:3">
      <c r="A36">
        <v>79.97</v>
      </c>
      <c r="B36" s="282">
        <v>472000</v>
      </c>
      <c r="C36" s="282"/>
    </row>
    <row r="37" spans="1:3">
      <c r="A37">
        <v>88.93</v>
      </c>
      <c r="B37" s="282">
        <v>1420000</v>
      </c>
      <c r="C37" s="282"/>
    </row>
    <row r="38" spans="1:3">
      <c r="A38">
        <v>90.56</v>
      </c>
      <c r="B38">
        <v>26200</v>
      </c>
    </row>
    <row r="39" spans="1:3">
      <c r="A39">
        <v>95.18</v>
      </c>
      <c r="B39">
        <v>25000</v>
      </c>
    </row>
    <row r="40" spans="1:3">
      <c r="A40">
        <v>101</v>
      </c>
      <c r="B40">
        <v>28000</v>
      </c>
    </row>
    <row r="41" spans="1:3">
      <c r="A41">
        <v>105.87</v>
      </c>
      <c r="B41" s="282">
        <v>185000</v>
      </c>
      <c r="C41" s="282"/>
    </row>
    <row r="42" spans="1:3">
      <c r="A42">
        <v>108.86</v>
      </c>
      <c r="B42" s="282">
        <v>2500000</v>
      </c>
      <c r="C42" s="282"/>
    </row>
    <row r="43" spans="1:3">
      <c r="A43">
        <v>109.93</v>
      </c>
      <c r="B43" s="282">
        <v>2320000</v>
      </c>
      <c r="C43" s="282"/>
    </row>
    <row r="44" spans="1:3">
      <c r="A44">
        <v>113.28</v>
      </c>
      <c r="B44" s="282">
        <v>2720000</v>
      </c>
      <c r="C44" s="282"/>
    </row>
    <row r="45" spans="1:3">
      <c r="A45">
        <v>115.06</v>
      </c>
      <c r="B45" s="282">
        <v>3330000</v>
      </c>
      <c r="C45" s="282"/>
    </row>
    <row r="46" spans="1:3">
      <c r="A46">
        <v>118.16</v>
      </c>
      <c r="B46" s="282">
        <v>3160000</v>
      </c>
      <c r="C46" s="282"/>
    </row>
    <row r="47" spans="1:3">
      <c r="A47">
        <v>119.96</v>
      </c>
      <c r="B47" s="282">
        <v>222000</v>
      </c>
      <c r="C47" s="282"/>
    </row>
    <row r="48" spans="1:3">
      <c r="A48">
        <v>124.5</v>
      </c>
      <c r="B48" s="282">
        <v>317000</v>
      </c>
      <c r="C48" s="282"/>
    </row>
    <row r="49" spans="1:3">
      <c r="A49">
        <v>125.18</v>
      </c>
      <c r="B49" s="282">
        <v>106000</v>
      </c>
      <c r="C49" s="282"/>
    </row>
    <row r="50" spans="1:3">
      <c r="A50">
        <v>128.5</v>
      </c>
      <c r="B50" s="282">
        <v>2600000</v>
      </c>
      <c r="C50" s="282"/>
    </row>
    <row r="51" spans="1:3">
      <c r="A51">
        <v>132.36000000000001</v>
      </c>
      <c r="B51" s="282">
        <v>1130000</v>
      </c>
      <c r="C51" s="282"/>
    </row>
    <row r="52" spans="1:3">
      <c r="A52">
        <v>134.78</v>
      </c>
      <c r="B52" s="282">
        <v>2220000</v>
      </c>
      <c r="C52" s="282"/>
    </row>
    <row r="53" spans="1:3">
      <c r="A53">
        <v>139.37</v>
      </c>
      <c r="B53" s="282">
        <v>465000</v>
      </c>
      <c r="C53" s="282"/>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11"/>
  <sheetViews>
    <sheetView tabSelected="1" workbookViewId="0">
      <pane xSplit="3" ySplit="1" topLeftCell="D2" activePane="bottomRight" state="frozenSplit"/>
      <selection pane="topRight" activeCell="D1" sqref="D1"/>
      <selection pane="bottomLeft" activeCell="A3" sqref="A3"/>
      <selection pane="bottomRight" activeCell="C11" sqref="C11"/>
    </sheetView>
  </sheetViews>
  <sheetFormatPr baseColWidth="10" defaultRowHeight="13" x14ac:dyDescent="0"/>
  <cols>
    <col min="1" max="1" width="21.140625" customWidth="1"/>
    <col min="2" max="2" width="33.42578125" customWidth="1"/>
    <col min="3" max="3" width="12" bestFit="1" customWidth="1"/>
    <col min="4" max="4" width="12" style="301" bestFit="1" customWidth="1"/>
    <col min="5" max="5" width="11" style="301" bestFit="1" customWidth="1"/>
    <col min="6" max="6" width="10.7109375" style="301"/>
    <col min="7" max="7" width="11" style="301" bestFit="1" customWidth="1"/>
    <col min="8" max="8" width="10.7109375" style="27"/>
    <col min="9" max="9" width="11" style="301" bestFit="1" customWidth="1"/>
    <col min="10" max="12" width="10.7109375" style="301"/>
    <col min="13" max="14" width="10.7109375" style="27"/>
    <col min="17" max="17" width="10.7109375" style="301"/>
    <col min="18" max="18" width="15.140625" customWidth="1"/>
    <col min="19" max="19" width="16" customWidth="1"/>
    <col min="22" max="26" width="10.7109375" style="311"/>
    <col min="27" max="27" width="10.7109375" style="326"/>
    <col min="28" max="28" width="32.5703125" style="334" customWidth="1"/>
    <col min="29" max="29" width="10.7109375" style="334"/>
    <col min="30" max="32" width="10.7109375" style="326"/>
    <col min="33" max="33" width="8.42578125" style="326" customWidth="1"/>
    <col min="34" max="34" width="7" style="326" customWidth="1"/>
    <col min="35" max="35" width="7.28515625" style="326" customWidth="1"/>
    <col min="36" max="36" width="8" style="326" customWidth="1"/>
    <col min="37" max="37" width="10.140625" style="326" customWidth="1"/>
    <col min="38" max="38" width="8.140625" style="326" customWidth="1"/>
    <col min="39" max="39" width="8.85546875" style="326" customWidth="1"/>
    <col min="40" max="40" width="7.7109375" style="326" customWidth="1"/>
    <col min="41" max="41" width="10.5703125" style="326" customWidth="1"/>
    <col min="46" max="46" width="11.140625" style="326" customWidth="1"/>
    <col min="47" max="47" width="8.42578125" style="326" customWidth="1"/>
    <col min="48" max="48" width="5.7109375" style="326" customWidth="1"/>
  </cols>
  <sheetData>
    <row r="1" spans="1:53" s="43" customFormat="1" ht="104">
      <c r="A1" s="43" t="s">
        <v>1359</v>
      </c>
      <c r="B1" s="43" t="s">
        <v>1360</v>
      </c>
      <c r="C1" s="43" t="s">
        <v>1152</v>
      </c>
      <c r="D1" s="300" t="s">
        <v>1268</v>
      </c>
      <c r="E1" s="300" t="s">
        <v>1148</v>
      </c>
      <c r="F1" s="300" t="s">
        <v>1147</v>
      </c>
      <c r="G1" s="300" t="s">
        <v>1269</v>
      </c>
      <c r="H1" s="310" t="s">
        <v>67</v>
      </c>
      <c r="I1" s="300" t="s">
        <v>1149</v>
      </c>
      <c r="J1" s="300" t="s">
        <v>1150</v>
      </c>
      <c r="K1" s="300" t="s">
        <v>1151</v>
      </c>
      <c r="L1" s="300" t="s">
        <v>749</v>
      </c>
      <c r="M1" s="310" t="s">
        <v>1635</v>
      </c>
      <c r="N1" s="310" t="s">
        <v>1636</v>
      </c>
      <c r="O1" s="43" t="s">
        <v>1375</v>
      </c>
      <c r="P1" s="43" t="s">
        <v>439</v>
      </c>
      <c r="Q1" s="300" t="s">
        <v>359</v>
      </c>
      <c r="R1" s="43" t="s">
        <v>137</v>
      </c>
      <c r="S1" s="43" t="s">
        <v>139</v>
      </c>
      <c r="T1" s="43" t="s">
        <v>144</v>
      </c>
      <c r="U1" s="43" t="s">
        <v>146</v>
      </c>
      <c r="V1" s="43" t="s">
        <v>88</v>
      </c>
      <c r="W1" s="43" t="s">
        <v>89</v>
      </c>
      <c r="X1" s="43" t="s">
        <v>90</v>
      </c>
      <c r="Y1" s="43" t="s">
        <v>92</v>
      </c>
      <c r="Z1" s="43" t="s">
        <v>94</v>
      </c>
      <c r="AA1" s="43" t="s">
        <v>1410</v>
      </c>
      <c r="AB1" s="43" t="s">
        <v>1700</v>
      </c>
      <c r="AC1" s="43" t="s">
        <v>1701</v>
      </c>
      <c r="AD1" s="43" t="s">
        <v>1412</v>
      </c>
      <c r="AE1" s="43" t="s">
        <v>1413</v>
      </c>
      <c r="AF1" s="43" t="s">
        <v>1346</v>
      </c>
      <c r="AG1" s="43" t="s">
        <v>1414</v>
      </c>
      <c r="AH1" s="43" t="s">
        <v>1415</v>
      </c>
      <c r="AI1" s="43" t="s">
        <v>1347</v>
      </c>
      <c r="AJ1" s="43" t="s">
        <v>1637</v>
      </c>
      <c r="AK1" s="43" t="s">
        <v>1638</v>
      </c>
      <c r="AL1" s="43" t="s">
        <v>1348</v>
      </c>
      <c r="AM1" s="43" t="s">
        <v>1437</v>
      </c>
      <c r="AN1" s="43" t="s">
        <v>1439</v>
      </c>
      <c r="AO1" s="43" t="s">
        <v>1447</v>
      </c>
      <c r="AP1" s="43" t="s">
        <v>17</v>
      </c>
      <c r="AQ1" s="43" t="s">
        <v>23</v>
      </c>
      <c r="AR1" s="43" t="s">
        <v>1639</v>
      </c>
      <c r="AS1" s="43" t="s">
        <v>5</v>
      </c>
      <c r="AT1" s="43" t="s">
        <v>1559</v>
      </c>
      <c r="AU1" s="43" t="s">
        <v>1560</v>
      </c>
      <c r="AV1" s="43" t="s">
        <v>1561</v>
      </c>
      <c r="AW1" s="43" t="s">
        <v>1731</v>
      </c>
      <c r="AX1" s="43" t="s">
        <v>1730</v>
      </c>
      <c r="AY1" s="43" t="s">
        <v>1732</v>
      </c>
      <c r="AZ1" s="43" t="s">
        <v>1733</v>
      </c>
      <c r="BA1" s="43" t="s">
        <v>1734</v>
      </c>
    </row>
    <row r="2" spans="1:53">
      <c r="A2" s="277" t="s">
        <v>275</v>
      </c>
      <c r="B2" s="326" t="s">
        <v>286</v>
      </c>
      <c r="C2" s="334">
        <f>'Amaro 2012'!C8</f>
        <v>4.4805168223103296E-3</v>
      </c>
      <c r="D2" s="301">
        <f>'Amaro 2012'!E8</f>
        <v>104838803.00331615</v>
      </c>
      <c r="E2" s="301">
        <f>'Amaro 2012'!I8</f>
        <v>59624053.143994443</v>
      </c>
      <c r="F2" s="301">
        <f>'Amaro 2012'!J8</f>
        <v>19366315.29723784</v>
      </c>
      <c r="G2" s="301">
        <f>E2+F2</f>
        <v>78990368.441232279</v>
      </c>
      <c r="H2" s="27">
        <f>G2/D2</f>
        <v>0.75344592057898396</v>
      </c>
      <c r="I2" s="336"/>
      <c r="M2" s="27">
        <f>F2/G2</f>
        <v>0.245173122741491</v>
      </c>
      <c r="O2" t="s">
        <v>440</v>
      </c>
      <c r="P2" s="327"/>
      <c r="R2" t="s">
        <v>138</v>
      </c>
      <c r="S2" t="s">
        <v>140</v>
      </c>
      <c r="T2" t="s">
        <v>145</v>
      </c>
      <c r="U2" t="s">
        <v>147</v>
      </c>
      <c r="V2" s="313">
        <v>0.55000000000000004</v>
      </c>
      <c r="W2" s="313">
        <v>0.55000000000000004</v>
      </c>
      <c r="X2" s="306" t="s">
        <v>91</v>
      </c>
      <c r="Y2" s="306" t="s">
        <v>93</v>
      </c>
      <c r="Z2" s="306" t="s">
        <v>249</v>
      </c>
      <c r="AP2" s="323"/>
      <c r="AQ2">
        <v>3500</v>
      </c>
      <c r="AR2" s="326" t="s">
        <v>1463</v>
      </c>
      <c r="AS2" t="b">
        <v>1</v>
      </c>
      <c r="AW2" s="334"/>
    </row>
    <row r="3" spans="1:53">
      <c r="A3" s="277" t="s">
        <v>275</v>
      </c>
      <c r="B3" s="326" t="s">
        <v>286</v>
      </c>
      <c r="C3" s="334">
        <f>'Amaro 2012'!C9</f>
        <v>3.4703876167327605E-2</v>
      </c>
      <c r="D3" s="301">
        <f>'Amaro 2012'!E9</f>
        <v>7762804.9320514612</v>
      </c>
      <c r="E3" s="301">
        <f>'Amaro 2012'!I9</f>
        <v>5247557.0935197724</v>
      </c>
      <c r="F3" s="301">
        <f>'Amaro 2012'!J9</f>
        <v>1254880.9565395508</v>
      </c>
      <c r="G3" s="301">
        <f>E3+F3</f>
        <v>6502438.0500593232</v>
      </c>
      <c r="H3" s="27">
        <f>G3/D3</f>
        <v>0.83764027397000906</v>
      </c>
      <c r="M3" s="27">
        <f>F3/G3</f>
        <v>0.19298622253357758</v>
      </c>
      <c r="O3" t="s">
        <v>440</v>
      </c>
      <c r="P3" s="334"/>
      <c r="R3" s="304" t="s">
        <v>138</v>
      </c>
      <c r="S3" s="303" t="s">
        <v>140</v>
      </c>
      <c r="T3" s="304" t="s">
        <v>145</v>
      </c>
      <c r="U3" s="304" t="s">
        <v>147</v>
      </c>
      <c r="V3" s="313">
        <v>0.55000000000000004</v>
      </c>
      <c r="W3" s="313">
        <v>0.55000000000000004</v>
      </c>
      <c r="X3" s="306" t="s">
        <v>91</v>
      </c>
      <c r="Y3" s="306" t="s">
        <v>93</v>
      </c>
      <c r="Z3" s="306" t="s">
        <v>249</v>
      </c>
      <c r="AP3" s="323"/>
      <c r="AQ3" s="322">
        <v>3500</v>
      </c>
      <c r="AR3" s="326" t="s">
        <v>1463</v>
      </c>
      <c r="AS3" s="322" t="b">
        <v>1</v>
      </c>
      <c r="AW3" s="334"/>
      <c r="AY3" s="334"/>
    </row>
    <row r="4" spans="1:53">
      <c r="A4" s="277" t="s">
        <v>275</v>
      </c>
      <c r="B4" s="326" t="s">
        <v>286</v>
      </c>
      <c r="C4" s="334">
        <f>'Amaro 2012'!C10</f>
        <v>6.4599334783164805E-2</v>
      </c>
      <c r="D4" s="301">
        <f>'Amaro 2012'!E10</f>
        <v>3460072.2291652155</v>
      </c>
      <c r="E4" s="301">
        <f>'Amaro 2012'!I10</f>
        <v>1486775.797041042</v>
      </c>
      <c r="F4" s="301">
        <f>'Amaro 2012'!J10</f>
        <v>1807120.3090819116</v>
      </c>
      <c r="G4" s="301">
        <f>E4+F4</f>
        <v>3293896.1061229538</v>
      </c>
      <c r="H4" s="27">
        <f>G4/D4</f>
        <v>0.95197322135603113</v>
      </c>
      <c r="M4" s="27">
        <f>F4/G4</f>
        <v>0.54862699091288702</v>
      </c>
      <c r="O4" t="s">
        <v>440</v>
      </c>
      <c r="P4" s="327"/>
      <c r="R4" s="304" t="s">
        <v>138</v>
      </c>
      <c r="S4" s="303" t="s">
        <v>140</v>
      </c>
      <c r="T4" s="304" t="s">
        <v>145</v>
      </c>
      <c r="U4" s="304" t="s">
        <v>147</v>
      </c>
      <c r="V4" s="313">
        <v>0.55000000000000004</v>
      </c>
      <c r="W4" s="313">
        <v>0.55000000000000004</v>
      </c>
      <c r="X4" s="306" t="s">
        <v>91</v>
      </c>
      <c r="Y4" s="306" t="s">
        <v>93</v>
      </c>
      <c r="Z4" s="306" t="s">
        <v>249</v>
      </c>
      <c r="AP4" s="323"/>
      <c r="AQ4" s="322">
        <v>3500</v>
      </c>
      <c r="AR4" s="326" t="s">
        <v>1463</v>
      </c>
      <c r="AS4" s="322" t="b">
        <v>1</v>
      </c>
      <c r="AW4" s="334"/>
      <c r="AY4" s="334"/>
      <c r="BA4" s="334"/>
    </row>
    <row r="5" spans="1:53">
      <c r="A5" s="277" t="s">
        <v>275</v>
      </c>
      <c r="B5" s="334" t="s">
        <v>286</v>
      </c>
      <c r="C5" s="334">
        <f>'Amaro 2012'!C11</f>
        <v>9.5310246897786804E-2</v>
      </c>
      <c r="D5" s="301">
        <f>'Amaro 2012'!E11</f>
        <v>8140679.5839442471</v>
      </c>
      <c r="E5" s="301">
        <f>'Amaro 2012'!I11</f>
        <v>3663176.1141864043</v>
      </c>
      <c r="F5" s="301">
        <f>'Amaro 2012'!J11</f>
        <v>3224461.0074947933</v>
      </c>
      <c r="G5" s="301">
        <f>E5+F5</f>
        <v>6887637.1216811975</v>
      </c>
      <c r="H5" s="27">
        <f>G5/D5</f>
        <v>0.84607643018717893</v>
      </c>
      <c r="M5" s="27">
        <f>F5/G5</f>
        <v>0.46815198747110204</v>
      </c>
      <c r="O5" t="s">
        <v>440</v>
      </c>
      <c r="P5" s="327"/>
      <c r="R5" s="304" t="s">
        <v>138</v>
      </c>
      <c r="S5" s="303" t="s">
        <v>140</v>
      </c>
      <c r="T5" s="304" t="s">
        <v>145</v>
      </c>
      <c r="U5" s="304" t="s">
        <v>147</v>
      </c>
      <c r="V5" s="313">
        <v>0.55000000000000004</v>
      </c>
      <c r="W5" s="313">
        <v>0.55000000000000004</v>
      </c>
      <c r="X5" s="306" t="s">
        <v>91</v>
      </c>
      <c r="Y5" s="306" t="s">
        <v>93</v>
      </c>
      <c r="Z5" s="306" t="s">
        <v>249</v>
      </c>
      <c r="AP5" s="323"/>
      <c r="AQ5" s="322">
        <v>3500</v>
      </c>
      <c r="AR5" s="326" t="s">
        <v>1463</v>
      </c>
      <c r="AS5" s="322" t="b">
        <v>1</v>
      </c>
      <c r="AW5" s="334"/>
      <c r="AY5" s="334"/>
      <c r="BA5" s="334"/>
    </row>
    <row r="6" spans="1:53">
      <c r="A6" s="277" t="s">
        <v>275</v>
      </c>
      <c r="B6" s="326" t="s">
        <v>286</v>
      </c>
      <c r="C6" s="334">
        <f>'Amaro 2012'!C12</f>
        <v>0.125005526416783</v>
      </c>
      <c r="D6" s="301">
        <f>'Amaro 2012'!E12</f>
        <v>6081262.7311283695</v>
      </c>
      <c r="E6" s="301">
        <f>'Amaro 2012'!I12</f>
        <v>3043135.0955390777</v>
      </c>
      <c r="F6" s="301">
        <f>'Amaro 2012'!J12</f>
        <v>1858093.7977667188</v>
      </c>
      <c r="G6" s="301">
        <f>E6+F6</f>
        <v>4901228.8933057962</v>
      </c>
      <c r="H6" s="336">
        <f>G6/D6</f>
        <v>0.80595578747448404</v>
      </c>
      <c r="M6" s="27">
        <f>F6/G6</f>
        <v>0.37910773771544176</v>
      </c>
      <c r="O6" t="s">
        <v>440</v>
      </c>
      <c r="P6" s="327"/>
      <c r="R6" s="304" t="s">
        <v>138</v>
      </c>
      <c r="S6" s="303" t="s">
        <v>140</v>
      </c>
      <c r="T6" s="304" t="s">
        <v>145</v>
      </c>
      <c r="U6" s="304" t="s">
        <v>147</v>
      </c>
      <c r="V6" s="313">
        <v>0.55000000000000004</v>
      </c>
      <c r="W6" s="313">
        <v>0.55000000000000004</v>
      </c>
      <c r="X6" s="306" t="s">
        <v>91</v>
      </c>
      <c r="Y6" s="306" t="s">
        <v>93</v>
      </c>
      <c r="Z6" s="306" t="s">
        <v>249</v>
      </c>
      <c r="AP6" s="323"/>
      <c r="AQ6" s="322">
        <v>3500</v>
      </c>
      <c r="AR6" s="326" t="s">
        <v>1463</v>
      </c>
      <c r="AS6" s="322" t="b">
        <v>1</v>
      </c>
      <c r="AW6" s="334"/>
      <c r="AY6" s="334"/>
      <c r="BA6" s="334"/>
    </row>
    <row r="7" spans="1:53">
      <c r="A7" s="277" t="s">
        <v>1472</v>
      </c>
      <c r="B7" s="326" t="s">
        <v>1666</v>
      </c>
      <c r="C7" s="334">
        <f>'Biddle 2006'!$C7</f>
        <v>34.5</v>
      </c>
      <c r="D7" s="301">
        <f>'Biddle 2006'!$G7</f>
        <v>6728715.3965597898</v>
      </c>
      <c r="E7" s="301">
        <f>'Biddle 2006'!$J7</f>
        <v>54166.666666666744</v>
      </c>
      <c r="F7" s="301">
        <f>'Biddle 2006'!$I7</f>
        <v>1300000</v>
      </c>
      <c r="G7" s="301">
        <f>E7+F7</f>
        <v>1354166.6666666667</v>
      </c>
      <c r="H7" s="27">
        <f>G7/D7</f>
        <v>0.20125188640895936</v>
      </c>
      <c r="M7" s="27">
        <f>F7/G7</f>
        <v>0.96</v>
      </c>
      <c r="O7" t="s">
        <v>1431</v>
      </c>
      <c r="P7" s="327"/>
      <c r="R7" s="304" t="s">
        <v>1432</v>
      </c>
      <c r="S7" s="303" t="s">
        <v>1435</v>
      </c>
      <c r="T7" s="304" t="s">
        <v>1433</v>
      </c>
      <c r="U7" s="304" t="s">
        <v>1434</v>
      </c>
      <c r="V7" s="313">
        <v>0.2</v>
      </c>
      <c r="W7" s="313">
        <v>0.2</v>
      </c>
      <c r="X7" s="306" t="s">
        <v>95</v>
      </c>
      <c r="Y7" s="306" t="s">
        <v>96</v>
      </c>
      <c r="Z7" s="306" t="s">
        <v>113</v>
      </c>
      <c r="AB7" s="306" t="s">
        <v>311</v>
      </c>
      <c r="AC7" s="306" t="s">
        <v>1702</v>
      </c>
      <c r="AP7" s="323"/>
      <c r="AQ7" s="322">
        <v>427</v>
      </c>
      <c r="AR7" s="326" t="s">
        <v>1463</v>
      </c>
      <c r="AS7" s="322" t="b">
        <v>1</v>
      </c>
      <c r="AW7" s="334"/>
      <c r="AY7" s="334"/>
      <c r="BA7" s="334"/>
    </row>
    <row r="8" spans="1:53">
      <c r="A8" s="277" t="s">
        <v>592</v>
      </c>
      <c r="B8" s="326" t="s">
        <v>1665</v>
      </c>
      <c r="C8" s="334">
        <f>'Biddle 2006'!$C8</f>
        <v>38</v>
      </c>
      <c r="D8" s="301">
        <f>'Biddle 2006'!$G8</f>
        <v>4975755.5049001593</v>
      </c>
      <c r="E8" s="301">
        <f>'Biddle 2006'!$J8</f>
        <v>30612.244897959288</v>
      </c>
      <c r="F8" s="301">
        <f>'Biddle 2006'!$I8</f>
        <v>1500000</v>
      </c>
      <c r="G8" s="301">
        <f>E8+F8</f>
        <v>1530612.2448979593</v>
      </c>
      <c r="H8" s="27">
        <f>G8/D8</f>
        <v>0.30761403838886409</v>
      </c>
      <c r="M8" s="27">
        <f>F8/G8</f>
        <v>0.98</v>
      </c>
      <c r="O8" t="s">
        <v>1431</v>
      </c>
      <c r="P8" s="327"/>
      <c r="R8" s="304" t="s">
        <v>1432</v>
      </c>
      <c r="S8" s="303" t="s">
        <v>1435</v>
      </c>
      <c r="T8" s="304" t="s">
        <v>1433</v>
      </c>
      <c r="U8" s="304" t="s">
        <v>1434</v>
      </c>
      <c r="V8" s="313">
        <v>0.2</v>
      </c>
      <c r="W8" s="313">
        <v>0.2</v>
      </c>
      <c r="X8" s="306" t="s">
        <v>95</v>
      </c>
      <c r="Y8" s="306" t="s">
        <v>96</v>
      </c>
      <c r="Z8" s="306" t="s">
        <v>113</v>
      </c>
      <c r="AB8" s="306" t="s">
        <v>311</v>
      </c>
      <c r="AC8" s="306" t="s">
        <v>1702</v>
      </c>
      <c r="AP8" s="323"/>
      <c r="AQ8" s="322">
        <v>427</v>
      </c>
      <c r="AR8" s="326" t="s">
        <v>1463</v>
      </c>
      <c r="AS8" s="322" t="b">
        <v>1</v>
      </c>
      <c r="AW8" s="334"/>
      <c r="AY8" s="334"/>
      <c r="BA8" s="334"/>
    </row>
    <row r="9" spans="1:53">
      <c r="A9" s="277" t="s">
        <v>592</v>
      </c>
      <c r="B9" s="326" t="s">
        <v>1665</v>
      </c>
      <c r="C9" s="334">
        <f>'Biddle 2006'!$C9</f>
        <v>40.5</v>
      </c>
      <c r="D9" s="301">
        <f>'Biddle 2006'!$G9</f>
        <v>2928753.0418893769</v>
      </c>
      <c r="E9" s="301">
        <f>'Biddle 2006'!$J9</f>
        <v>34693.877551020356</v>
      </c>
      <c r="F9" s="301">
        <f>'Biddle 2006'!$I9</f>
        <v>1700000</v>
      </c>
      <c r="G9" s="301">
        <f>E9+F9</f>
        <v>1734693.8775510204</v>
      </c>
      <c r="H9" s="27">
        <f>G9/D9</f>
        <v>0.59229776384011767</v>
      </c>
      <c r="M9" s="27">
        <f>F9/G9</f>
        <v>0.98</v>
      </c>
      <c r="O9" t="s">
        <v>1431</v>
      </c>
      <c r="P9" s="327"/>
      <c r="R9" s="304" t="s">
        <v>1432</v>
      </c>
      <c r="S9" s="303" t="s">
        <v>1435</v>
      </c>
      <c r="T9" s="304" t="s">
        <v>1433</v>
      </c>
      <c r="U9" s="304" t="s">
        <v>1434</v>
      </c>
      <c r="V9" s="313">
        <v>0.2</v>
      </c>
      <c r="W9" s="313">
        <v>0.2</v>
      </c>
      <c r="X9" s="306" t="s">
        <v>95</v>
      </c>
      <c r="Y9" s="306" t="s">
        <v>96</v>
      </c>
      <c r="Z9" s="306" t="s">
        <v>113</v>
      </c>
      <c r="AB9" s="306" t="s">
        <v>311</v>
      </c>
      <c r="AC9" s="306" t="s">
        <v>1702</v>
      </c>
      <c r="AP9" s="323"/>
      <c r="AQ9" s="322">
        <v>427</v>
      </c>
      <c r="AR9" s="326" t="s">
        <v>1463</v>
      </c>
      <c r="AS9" s="322" t="b">
        <v>1</v>
      </c>
      <c r="AW9" s="334"/>
      <c r="AY9" s="334"/>
      <c r="BA9" s="334"/>
    </row>
    <row r="10" spans="1:53">
      <c r="A10" s="277" t="s">
        <v>592</v>
      </c>
      <c r="B10" s="334" t="s">
        <v>1670</v>
      </c>
      <c r="C10" s="334">
        <f>'Biddle 2006'!$C10</f>
        <v>0.7</v>
      </c>
      <c r="E10" s="301">
        <f>'Biddle 2006'!$J10</f>
        <v>3422222.222222222</v>
      </c>
      <c r="F10" s="301">
        <f>'Biddle 2006'!$I10</f>
        <v>2800000</v>
      </c>
      <c r="G10" s="301">
        <f>E10+F10</f>
        <v>6222222.222222222</v>
      </c>
      <c r="M10" s="27">
        <f>F10/G10</f>
        <v>0.45</v>
      </c>
      <c r="O10" t="s">
        <v>1431</v>
      </c>
      <c r="P10" s="327"/>
      <c r="R10" s="304" t="s">
        <v>1432</v>
      </c>
      <c r="S10" s="303" t="s">
        <v>1435</v>
      </c>
      <c r="T10" s="304" t="s">
        <v>1433</v>
      </c>
      <c r="U10" s="304" t="s">
        <v>1434</v>
      </c>
      <c r="V10" s="313">
        <v>0.2</v>
      </c>
      <c r="W10" s="313">
        <v>0.2</v>
      </c>
      <c r="X10" s="306" t="s">
        <v>95</v>
      </c>
      <c r="Y10" s="306" t="s">
        <v>96</v>
      </c>
      <c r="Z10" s="306" t="s">
        <v>113</v>
      </c>
      <c r="AB10" s="306" t="s">
        <v>311</v>
      </c>
      <c r="AC10" s="306" t="s">
        <v>1702</v>
      </c>
      <c r="AP10" s="323"/>
      <c r="AQ10">
        <v>153</v>
      </c>
      <c r="AR10" s="326"/>
      <c r="AS10" s="322" t="b">
        <v>1</v>
      </c>
      <c r="AW10" s="334"/>
      <c r="AY10" s="334"/>
      <c r="BA10" s="334"/>
    </row>
    <row r="11" spans="1:53">
      <c r="A11" s="277" t="s">
        <v>592</v>
      </c>
      <c r="B11" s="326" t="s">
        <v>1670</v>
      </c>
      <c r="C11" s="334">
        <f>'Biddle 2006'!$C11</f>
        <v>4.3</v>
      </c>
      <c r="D11" s="301">
        <f>'Biddle 2006'!$G11</f>
        <v>43153471.083323047</v>
      </c>
      <c r="E11" s="301">
        <f>'Biddle 2006'!$J11</f>
        <v>2541176.4705882352</v>
      </c>
      <c r="F11" s="301">
        <f>'Biddle 2006'!$I11</f>
        <v>5400000</v>
      </c>
      <c r="G11" s="301">
        <f>E11+F11</f>
        <v>7941176.4705882352</v>
      </c>
      <c r="H11" s="27">
        <f>G11/D11</f>
        <v>0.18402173153707574</v>
      </c>
      <c r="M11" s="27">
        <f>F11/G11</f>
        <v>0.68</v>
      </c>
      <c r="O11" t="s">
        <v>1431</v>
      </c>
      <c r="P11" s="334"/>
      <c r="R11" s="304" t="s">
        <v>1432</v>
      </c>
      <c r="S11" s="303" t="s">
        <v>1435</v>
      </c>
      <c r="T11" s="304" t="s">
        <v>1433</v>
      </c>
      <c r="U11" s="304" t="s">
        <v>1434</v>
      </c>
      <c r="V11" s="313">
        <v>0.2</v>
      </c>
      <c r="W11" s="313">
        <v>0.2</v>
      </c>
      <c r="X11" s="306" t="s">
        <v>95</v>
      </c>
      <c r="Y11" s="306" t="s">
        <v>96</v>
      </c>
      <c r="Z11" s="306" t="s">
        <v>113</v>
      </c>
      <c r="AB11" s="306" t="s">
        <v>311</v>
      </c>
      <c r="AC11" s="306" t="s">
        <v>1702</v>
      </c>
      <c r="AP11" s="323"/>
      <c r="AQ11">
        <v>153</v>
      </c>
      <c r="AR11" s="326"/>
      <c r="AS11" s="322" t="b">
        <v>1</v>
      </c>
      <c r="AW11" s="334"/>
      <c r="AY11" s="334"/>
      <c r="BA11" s="334"/>
    </row>
    <row r="12" spans="1:53">
      <c r="A12" s="277" t="s">
        <v>592</v>
      </c>
      <c r="B12" s="326" t="s">
        <v>1669</v>
      </c>
      <c r="C12" s="334">
        <f>'Biddle 2006'!$C12</f>
        <v>12.9</v>
      </c>
      <c r="D12" s="301">
        <f>'Biddle 2006'!$G12</f>
        <v>26195400.237999383</v>
      </c>
      <c r="E12" s="301">
        <f>'Biddle 2006'!$J12</f>
        <v>4133333.333333334</v>
      </c>
      <c r="F12" s="301">
        <f>'Biddle 2006'!$I12</f>
        <v>9200000</v>
      </c>
      <c r="G12" s="301">
        <f>E12+F12</f>
        <v>13333333.333333334</v>
      </c>
      <c r="H12" s="27">
        <f>G12/D12</f>
        <v>0.50899521336543008</v>
      </c>
      <c r="M12" s="27">
        <f>F12/G12</f>
        <v>0.69</v>
      </c>
      <c r="O12" t="s">
        <v>1431</v>
      </c>
      <c r="P12" s="327"/>
      <c r="R12" s="304" t="s">
        <v>1432</v>
      </c>
      <c r="S12" s="303" t="s">
        <v>1435</v>
      </c>
      <c r="T12" s="304" t="s">
        <v>1433</v>
      </c>
      <c r="U12" s="304" t="s">
        <v>1434</v>
      </c>
      <c r="V12" s="313">
        <v>0.2</v>
      </c>
      <c r="W12" s="313">
        <v>0.2</v>
      </c>
      <c r="X12" s="306" t="s">
        <v>95</v>
      </c>
      <c r="Y12" s="306" t="s">
        <v>96</v>
      </c>
      <c r="Z12" s="306" t="s">
        <v>113</v>
      </c>
      <c r="AB12" s="306" t="s">
        <v>311</v>
      </c>
      <c r="AC12" s="306" t="s">
        <v>1702</v>
      </c>
      <c r="AP12" s="323"/>
      <c r="AQ12" s="322">
        <v>153</v>
      </c>
      <c r="AR12" s="326"/>
      <c r="AS12" s="322" t="b">
        <v>1</v>
      </c>
      <c r="AW12" s="334"/>
      <c r="AY12" s="334"/>
      <c r="BA12" s="334"/>
    </row>
    <row r="13" spans="1:53">
      <c r="A13" s="277" t="s">
        <v>592</v>
      </c>
      <c r="B13" s="326" t="s">
        <v>1669</v>
      </c>
      <c r="C13" s="334">
        <f>'Biddle 2006'!$C13</f>
        <v>29.8</v>
      </c>
      <c r="D13" s="301">
        <f>'Biddle 2006'!$G13</f>
        <v>118083205.89871101</v>
      </c>
      <c r="E13" s="301">
        <f>'Biddle 2006'!$J13</f>
        <v>1575000</v>
      </c>
      <c r="F13" s="301">
        <f>'Biddle 2006'!$I13</f>
        <v>6300000</v>
      </c>
      <c r="G13" s="301">
        <f>E13+F13</f>
        <v>7875000</v>
      </c>
      <c r="H13" s="27">
        <f>G13/D13</f>
        <v>6.6690262515018348E-2</v>
      </c>
      <c r="M13" s="27">
        <f>F13/G13</f>
        <v>0.8</v>
      </c>
      <c r="O13" t="s">
        <v>1431</v>
      </c>
      <c r="P13" s="327"/>
      <c r="R13" s="304" t="s">
        <v>1432</v>
      </c>
      <c r="S13" s="303" t="s">
        <v>1435</v>
      </c>
      <c r="T13" s="304" t="s">
        <v>1433</v>
      </c>
      <c r="U13" s="304" t="s">
        <v>1434</v>
      </c>
      <c r="V13" s="313">
        <v>0.2</v>
      </c>
      <c r="W13" s="313">
        <v>0.2</v>
      </c>
      <c r="X13" s="306" t="s">
        <v>95</v>
      </c>
      <c r="Y13" s="306" t="s">
        <v>96</v>
      </c>
      <c r="Z13" s="306" t="s">
        <v>113</v>
      </c>
      <c r="AB13" s="306" t="s">
        <v>311</v>
      </c>
      <c r="AC13" s="306" t="s">
        <v>1702</v>
      </c>
      <c r="AP13" s="323"/>
      <c r="AQ13" s="322">
        <v>153</v>
      </c>
      <c r="AR13" s="326"/>
      <c r="AS13" s="322" t="b">
        <v>1</v>
      </c>
      <c r="AW13" s="334"/>
      <c r="AY13" s="334"/>
      <c r="BA13" s="334"/>
    </row>
    <row r="14" spans="1:53">
      <c r="A14" s="277" t="s">
        <v>592</v>
      </c>
      <c r="B14" s="334" t="s">
        <v>1669</v>
      </c>
      <c r="C14" s="334">
        <f>'Biddle 2006'!$C14</f>
        <v>30.4</v>
      </c>
      <c r="D14" s="301">
        <f>'Biddle 2006'!$G14</f>
        <v>86492480.112921551</v>
      </c>
      <c r="E14" s="301">
        <f>'Biddle 2006'!$J14</f>
        <v>960465.11627906933</v>
      </c>
      <c r="F14" s="301">
        <f>'Biddle 2006'!$I14</f>
        <v>5900000</v>
      </c>
      <c r="G14" s="301">
        <f>E14+F14</f>
        <v>6860465.1162790693</v>
      </c>
      <c r="H14" s="27">
        <f>G14/D14</f>
        <v>7.9318631022284092E-2</v>
      </c>
      <c r="M14" s="27">
        <f>F14/G14</f>
        <v>0.8600000000000001</v>
      </c>
      <c r="O14" t="s">
        <v>1431</v>
      </c>
      <c r="P14" s="327"/>
      <c r="R14" s="304" t="s">
        <v>1432</v>
      </c>
      <c r="S14" s="303" t="s">
        <v>1435</v>
      </c>
      <c r="T14" s="304" t="s">
        <v>1433</v>
      </c>
      <c r="U14" s="304" t="s">
        <v>1434</v>
      </c>
      <c r="V14" s="313">
        <v>0.2</v>
      </c>
      <c r="W14" s="313">
        <v>0.2</v>
      </c>
      <c r="X14" s="306" t="s">
        <v>95</v>
      </c>
      <c r="Y14" s="306" t="s">
        <v>96</v>
      </c>
      <c r="Z14" s="306" t="s">
        <v>113</v>
      </c>
      <c r="AB14" s="306" t="s">
        <v>311</v>
      </c>
      <c r="AC14" s="306" t="s">
        <v>1702</v>
      </c>
      <c r="AP14" s="323"/>
      <c r="AQ14" s="322">
        <v>153</v>
      </c>
      <c r="AR14" s="326"/>
      <c r="AS14" s="322" t="b">
        <v>1</v>
      </c>
      <c r="AW14" s="334"/>
      <c r="AY14" s="334"/>
      <c r="BA14" s="334"/>
    </row>
    <row r="15" spans="1:53">
      <c r="A15" s="277" t="s">
        <v>592</v>
      </c>
      <c r="B15" s="326" t="s">
        <v>1669</v>
      </c>
      <c r="C15" s="334">
        <f>'Biddle 2006'!$C15</f>
        <v>49.8</v>
      </c>
      <c r="D15" s="301">
        <f>'Biddle 2006'!$G15</f>
        <v>26030575.648851238</v>
      </c>
      <c r="E15" s="301">
        <f>'Biddle 2006'!$J15</f>
        <v>234567.90123456786</v>
      </c>
      <c r="F15" s="301">
        <f>'Biddle 2006'!$I15</f>
        <v>1000000</v>
      </c>
      <c r="G15" s="301">
        <f>E15+F15</f>
        <v>1234567.9012345679</v>
      </c>
      <c r="H15" s="27">
        <f>G15/D15</f>
        <v>4.7427606591906118E-2</v>
      </c>
      <c r="M15" s="27">
        <f>F15/G15</f>
        <v>0.81</v>
      </c>
      <c r="O15" t="s">
        <v>1431</v>
      </c>
      <c r="P15" s="327"/>
      <c r="R15" s="304" t="s">
        <v>1432</v>
      </c>
      <c r="S15" s="303" t="s">
        <v>1435</v>
      </c>
      <c r="T15" s="304" t="s">
        <v>1433</v>
      </c>
      <c r="U15" s="304" t="s">
        <v>1434</v>
      </c>
      <c r="V15" s="313">
        <v>0.2</v>
      </c>
      <c r="W15" s="313">
        <v>0.2</v>
      </c>
      <c r="X15" s="306" t="s">
        <v>95</v>
      </c>
      <c r="Y15" s="306" t="s">
        <v>96</v>
      </c>
      <c r="Z15" s="306" t="s">
        <v>113</v>
      </c>
      <c r="AB15" s="306" t="s">
        <v>311</v>
      </c>
      <c r="AC15" s="306" t="s">
        <v>1702</v>
      </c>
      <c r="AP15" s="323"/>
      <c r="AQ15" s="322">
        <v>153</v>
      </c>
      <c r="AR15" s="326"/>
      <c r="AS15" s="322" t="b">
        <v>1</v>
      </c>
      <c r="AW15" s="334"/>
      <c r="AY15" s="334"/>
      <c r="BA15" s="334"/>
    </row>
    <row r="16" spans="1:53">
      <c r="A16" s="277" t="s">
        <v>592</v>
      </c>
      <c r="B16" s="326" t="s">
        <v>1669</v>
      </c>
      <c r="C16" s="334">
        <f>'Biddle 2006'!$C16</f>
        <v>54.3</v>
      </c>
      <c r="D16" s="301">
        <f>'Biddle 2006'!$G16</f>
        <v>26030575.648851238</v>
      </c>
      <c r="E16" s="301">
        <f>'Biddle 2006'!$J16</f>
        <v>1576119.4029850746</v>
      </c>
      <c r="F16" s="301">
        <f>'Biddle 2006'!$I16</f>
        <v>3200000</v>
      </c>
      <c r="G16" s="301">
        <f>E16+F16</f>
        <v>4776119.4029850746</v>
      </c>
      <c r="H16" s="336">
        <f>G16/D16</f>
        <v>0.18348112878540396</v>
      </c>
      <c r="M16" s="27">
        <f>F16/G16</f>
        <v>0.67</v>
      </c>
      <c r="O16" t="s">
        <v>1431</v>
      </c>
      <c r="P16" s="327"/>
      <c r="R16" s="304" t="s">
        <v>1432</v>
      </c>
      <c r="S16" s="303" t="s">
        <v>1435</v>
      </c>
      <c r="T16" s="304" t="s">
        <v>1433</v>
      </c>
      <c r="U16" s="304" t="s">
        <v>1434</v>
      </c>
      <c r="V16" s="313">
        <v>0.2</v>
      </c>
      <c r="W16" s="313">
        <v>0.2</v>
      </c>
      <c r="X16" s="306" t="s">
        <v>95</v>
      </c>
      <c r="Y16" s="306" t="s">
        <v>96</v>
      </c>
      <c r="Z16" s="306" t="s">
        <v>113</v>
      </c>
      <c r="AB16" s="306" t="s">
        <v>311</v>
      </c>
      <c r="AC16" s="306" t="s">
        <v>1702</v>
      </c>
      <c r="AP16" s="323"/>
      <c r="AQ16" s="322">
        <v>153</v>
      </c>
      <c r="AR16" s="326"/>
      <c r="AS16" s="322" t="b">
        <v>1</v>
      </c>
      <c r="AW16" s="334"/>
      <c r="AY16" s="334"/>
      <c r="BA16" s="334"/>
    </row>
    <row r="17" spans="1:53">
      <c r="A17" s="277" t="s">
        <v>592</v>
      </c>
      <c r="B17" s="326" t="s">
        <v>1669</v>
      </c>
      <c r="C17" s="334">
        <f>'Biddle 2006'!$C17</f>
        <v>86.8</v>
      </c>
      <c r="D17" s="301">
        <f>'Biddle 2006'!$G17</f>
        <v>36643757.464783385</v>
      </c>
      <c r="E17" s="301">
        <f>'Biddle 2006'!$J17</f>
        <v>204255.31914893631</v>
      </c>
      <c r="F17" s="301">
        <f>'Biddle 2006'!$I17</f>
        <v>3200000</v>
      </c>
      <c r="G17" s="301">
        <f>E17+F17</f>
        <v>3404255.3191489363</v>
      </c>
      <c r="H17" s="27">
        <f>G17/D17</f>
        <v>9.2901371329635288E-2</v>
      </c>
      <c r="M17" s="27">
        <f>F17/G17</f>
        <v>0.94</v>
      </c>
      <c r="O17" t="s">
        <v>1431</v>
      </c>
      <c r="P17" s="327"/>
      <c r="R17" s="304" t="s">
        <v>1432</v>
      </c>
      <c r="S17" s="303" t="s">
        <v>1435</v>
      </c>
      <c r="T17" s="304" t="s">
        <v>1433</v>
      </c>
      <c r="U17" s="304" t="s">
        <v>1434</v>
      </c>
      <c r="V17" s="313">
        <v>0.2</v>
      </c>
      <c r="W17" s="313">
        <v>0.2</v>
      </c>
      <c r="X17" s="306" t="s">
        <v>95</v>
      </c>
      <c r="Y17" s="306" t="s">
        <v>96</v>
      </c>
      <c r="Z17" s="306" t="s">
        <v>113</v>
      </c>
      <c r="AB17" s="306" t="s">
        <v>311</v>
      </c>
      <c r="AC17" s="306" t="s">
        <v>1702</v>
      </c>
      <c r="AP17" s="323"/>
      <c r="AQ17" s="322">
        <v>153</v>
      </c>
      <c r="AR17" s="326"/>
      <c r="AS17" s="322" t="b">
        <v>1</v>
      </c>
      <c r="AW17" s="334"/>
      <c r="AY17" s="334"/>
      <c r="BA17" s="334"/>
    </row>
    <row r="18" spans="1:53">
      <c r="A18" s="277" t="s">
        <v>592</v>
      </c>
      <c r="B18" s="334" t="s">
        <v>1669</v>
      </c>
      <c r="C18" s="334">
        <f>'Biddle 2006'!$C18</f>
        <v>89.1</v>
      </c>
      <c r="D18" s="301">
        <f>'Biddle 2006'!$G18</f>
        <v>9484513274.5354176</v>
      </c>
      <c r="E18" s="301">
        <f>'Biddle 2006'!$J18</f>
        <v>130612.24489795882</v>
      </c>
      <c r="F18" s="301">
        <f>'Biddle 2006'!$I18</f>
        <v>6400000</v>
      </c>
      <c r="G18" s="301">
        <f>E18+F18</f>
        <v>6530612.2448979588</v>
      </c>
      <c r="H18" s="27">
        <f>G18/D18</f>
        <v>6.885553381459999E-4</v>
      </c>
      <c r="M18" s="27">
        <f>F18/G18</f>
        <v>0.98000000000000009</v>
      </c>
      <c r="O18" t="s">
        <v>1431</v>
      </c>
      <c r="P18" s="327"/>
      <c r="R18" s="304" t="s">
        <v>1432</v>
      </c>
      <c r="S18" s="303" t="s">
        <v>1435</v>
      </c>
      <c r="T18" s="304" t="s">
        <v>1433</v>
      </c>
      <c r="U18" s="304" t="s">
        <v>1434</v>
      </c>
      <c r="V18" s="313">
        <v>0.2</v>
      </c>
      <c r="W18" s="313">
        <v>0.2</v>
      </c>
      <c r="X18" s="306" t="s">
        <v>95</v>
      </c>
      <c r="Y18" s="306" t="s">
        <v>96</v>
      </c>
      <c r="Z18" s="306" t="s">
        <v>113</v>
      </c>
      <c r="AB18" s="306" t="s">
        <v>311</v>
      </c>
      <c r="AC18" s="306" t="s">
        <v>1702</v>
      </c>
      <c r="AP18" s="323"/>
      <c r="AQ18" s="322">
        <v>153</v>
      </c>
      <c r="AR18" s="326"/>
      <c r="AS18" s="322" t="b">
        <v>1</v>
      </c>
      <c r="AW18" s="334"/>
      <c r="AY18" s="334"/>
      <c r="BA18" s="334"/>
    </row>
    <row r="19" spans="1:53">
      <c r="A19" s="277" t="s">
        <v>592</v>
      </c>
      <c r="B19" s="326" t="s">
        <v>1669</v>
      </c>
      <c r="C19" s="334">
        <f>'Biddle 2006'!$C19</f>
        <v>121.4</v>
      </c>
      <c r="D19" s="301">
        <f>'Biddle 2006'!$G19</f>
        <v>17392465.487313174</v>
      </c>
      <c r="E19" s="301">
        <f>'Biddle 2006'!$J19</f>
        <v>880952.38095238106</v>
      </c>
      <c r="F19" s="301">
        <f>'Biddle 2006'!$I19</f>
        <v>1500000</v>
      </c>
      <c r="G19" s="301">
        <f>E19+F19</f>
        <v>2380952.3809523811</v>
      </c>
      <c r="H19" s="27">
        <f>G19/D19</f>
        <v>0.13689562199730407</v>
      </c>
      <c r="M19" s="27">
        <f>F19/G19</f>
        <v>0.63</v>
      </c>
      <c r="O19" s="286" t="s">
        <v>1431</v>
      </c>
      <c r="P19" s="327"/>
      <c r="R19" s="304" t="s">
        <v>1432</v>
      </c>
      <c r="S19" s="303" t="s">
        <v>1435</v>
      </c>
      <c r="T19" s="304" t="s">
        <v>1433</v>
      </c>
      <c r="U19" s="304" t="s">
        <v>1434</v>
      </c>
      <c r="V19" s="313">
        <v>0.2</v>
      </c>
      <c r="W19" s="313">
        <v>0.2</v>
      </c>
      <c r="X19" s="306" t="s">
        <v>95</v>
      </c>
      <c r="Y19" s="306" t="s">
        <v>96</v>
      </c>
      <c r="Z19" s="306" t="s">
        <v>113</v>
      </c>
      <c r="AB19" s="306" t="s">
        <v>311</v>
      </c>
      <c r="AC19" s="306" t="s">
        <v>1702</v>
      </c>
      <c r="AP19" s="323"/>
      <c r="AQ19" s="322">
        <v>153</v>
      </c>
      <c r="AR19" s="326"/>
      <c r="AS19" s="322" t="b">
        <v>1</v>
      </c>
      <c r="AW19" s="334"/>
      <c r="AY19" s="334"/>
      <c r="BA19" s="334"/>
    </row>
    <row r="20" spans="1:53">
      <c r="A20" s="277" t="s">
        <v>592</v>
      </c>
      <c r="B20" s="326" t="s">
        <v>1672</v>
      </c>
      <c r="C20" s="334">
        <f>'Biddle 2006'!$C20</f>
        <v>1.3</v>
      </c>
      <c r="D20" s="301">
        <f>'Biddle 2006'!$G20</f>
        <v>146417044.81502181</v>
      </c>
      <c r="E20" s="301">
        <f>'Biddle 2006'!$J20</f>
        <v>1448148.1481481483</v>
      </c>
      <c r="F20" s="301">
        <f>'Biddle 2006'!$I20</f>
        <v>1700000</v>
      </c>
      <c r="G20" s="301">
        <f>E20+F20</f>
        <v>3148148.1481481483</v>
      </c>
      <c r="H20" s="27">
        <f>G20/D20</f>
        <v>2.1501240870729285E-2</v>
      </c>
      <c r="M20" s="27">
        <f>F20/G20</f>
        <v>0.53999999999999992</v>
      </c>
      <c r="O20" s="286" t="s">
        <v>1431</v>
      </c>
      <c r="P20" s="327"/>
      <c r="R20" s="304" t="s">
        <v>1432</v>
      </c>
      <c r="S20" s="303" t="s">
        <v>1435</v>
      </c>
      <c r="T20" s="304" t="s">
        <v>1433</v>
      </c>
      <c r="U20" s="304" t="s">
        <v>1434</v>
      </c>
      <c r="V20" s="313">
        <v>0.2</v>
      </c>
      <c r="W20" s="313">
        <v>0.2</v>
      </c>
      <c r="X20" s="306" t="s">
        <v>95</v>
      </c>
      <c r="Y20" s="306" t="s">
        <v>96</v>
      </c>
      <c r="Z20" s="306" t="s">
        <v>113</v>
      </c>
      <c r="AB20" s="306" t="s">
        <v>311</v>
      </c>
      <c r="AC20" s="306" t="s">
        <v>1702</v>
      </c>
      <c r="AP20" s="323"/>
      <c r="AQ20">
        <v>5088</v>
      </c>
      <c r="AR20" s="326" t="s">
        <v>1463</v>
      </c>
      <c r="AS20" s="322" t="b">
        <v>1</v>
      </c>
      <c r="AW20" s="334"/>
      <c r="AY20" s="334"/>
      <c r="BA20" s="334"/>
    </row>
    <row r="21" spans="1:53">
      <c r="A21" s="277" t="s">
        <v>592</v>
      </c>
      <c r="B21" s="334" t="s">
        <v>1672</v>
      </c>
      <c r="C21" s="334">
        <f>'Biddle 2006'!$C21</f>
        <v>9.1</v>
      </c>
      <c r="D21" s="301">
        <f>'Biddle 2006'!$G21</f>
        <v>18895799.597590819</v>
      </c>
      <c r="E21" s="301">
        <f>'Biddle 2006'!$J21</f>
        <v>2525396.8253968256</v>
      </c>
      <c r="F21" s="301">
        <f>'Biddle 2006'!$I21</f>
        <v>4300000</v>
      </c>
      <c r="G21" s="301">
        <f>E21+F21</f>
        <v>6825396.8253968256</v>
      </c>
      <c r="H21" s="27">
        <f>G21/D21</f>
        <v>0.36121238427333086</v>
      </c>
      <c r="M21" s="27">
        <f>F21/G21</f>
        <v>0.63</v>
      </c>
      <c r="O21" s="286" t="s">
        <v>1431</v>
      </c>
      <c r="P21" s="327"/>
      <c r="R21" s="304" t="s">
        <v>1432</v>
      </c>
      <c r="S21" s="303" t="s">
        <v>1435</v>
      </c>
      <c r="T21" s="304" t="s">
        <v>1433</v>
      </c>
      <c r="U21" s="304" t="s">
        <v>1434</v>
      </c>
      <c r="V21" s="313">
        <v>0.2</v>
      </c>
      <c r="W21" s="313">
        <v>0.2</v>
      </c>
      <c r="X21" s="306" t="s">
        <v>95</v>
      </c>
      <c r="Y21" s="306" t="s">
        <v>96</v>
      </c>
      <c r="Z21" s="306" t="s">
        <v>113</v>
      </c>
      <c r="AB21" s="306" t="s">
        <v>311</v>
      </c>
      <c r="AC21" s="306" t="s">
        <v>1702</v>
      </c>
      <c r="AP21" s="323"/>
      <c r="AQ21" s="322">
        <v>5088</v>
      </c>
      <c r="AR21" s="326" t="s">
        <v>1463</v>
      </c>
      <c r="AS21" s="322" t="b">
        <v>1</v>
      </c>
      <c r="AW21" s="334"/>
      <c r="AY21" s="334"/>
      <c r="BA21" s="334"/>
    </row>
    <row r="22" spans="1:53">
      <c r="A22" s="277" t="s">
        <v>592</v>
      </c>
      <c r="B22" s="326" t="s">
        <v>1671</v>
      </c>
      <c r="C22" s="334">
        <f>'Biddle 2006'!$C22</f>
        <v>10.3</v>
      </c>
      <c r="D22" s="301">
        <f>'Biddle 2006'!$G22</f>
        <v>15507842.02680173</v>
      </c>
      <c r="E22" s="301">
        <f>'Biddle 2006'!$J22</f>
        <v>1981967.2131147543</v>
      </c>
      <c r="F22" s="301">
        <f>'Biddle 2006'!$I22</f>
        <v>3100000</v>
      </c>
      <c r="G22" s="301">
        <f>E22+F22</f>
        <v>5081967.2131147543</v>
      </c>
      <c r="H22" s="336">
        <f>G22/D22</f>
        <v>0.32770305528852728</v>
      </c>
      <c r="M22" s="27">
        <f>F22/G22</f>
        <v>0.61</v>
      </c>
      <c r="O22" s="286" t="s">
        <v>1431</v>
      </c>
      <c r="P22" s="327"/>
      <c r="R22" s="304" t="s">
        <v>1432</v>
      </c>
      <c r="S22" s="303" t="s">
        <v>1435</v>
      </c>
      <c r="T22" s="304" t="s">
        <v>1433</v>
      </c>
      <c r="U22" s="304" t="s">
        <v>1434</v>
      </c>
      <c r="V22" s="313">
        <v>0.2</v>
      </c>
      <c r="W22" s="313">
        <v>0.2</v>
      </c>
      <c r="X22" s="306" t="s">
        <v>95</v>
      </c>
      <c r="Y22" s="306" t="s">
        <v>96</v>
      </c>
      <c r="Z22" s="306" t="s">
        <v>113</v>
      </c>
      <c r="AB22" s="306" t="s">
        <v>311</v>
      </c>
      <c r="AC22" s="306" t="s">
        <v>1702</v>
      </c>
      <c r="AP22" s="323"/>
      <c r="AQ22" s="322">
        <v>5088</v>
      </c>
      <c r="AR22" s="326" t="s">
        <v>1463</v>
      </c>
      <c r="AS22" s="322" t="b">
        <v>1</v>
      </c>
      <c r="AW22" s="334"/>
      <c r="AY22" s="334"/>
      <c r="BA22" s="334"/>
    </row>
    <row r="23" spans="1:53">
      <c r="A23" s="277" t="s">
        <v>592</v>
      </c>
      <c r="B23" s="326" t="s">
        <v>1671</v>
      </c>
      <c r="C23" s="334">
        <f>'Biddle 2006'!$C23</f>
        <v>10.7</v>
      </c>
      <c r="D23" s="301">
        <f>'Biddle 2006'!$G23</f>
        <v>15507842.02680173</v>
      </c>
      <c r="E23" s="301">
        <f>'Biddle 2006'!$J23</f>
        <v>2278571.4285714282</v>
      </c>
      <c r="F23" s="301">
        <f>'Biddle 2006'!$I23</f>
        <v>2900000</v>
      </c>
      <c r="G23" s="301">
        <f>E23+F23</f>
        <v>5178571.4285714282</v>
      </c>
      <c r="H23" s="27">
        <f>G23/D23</f>
        <v>0.33393243364366632</v>
      </c>
      <c r="M23" s="27">
        <f>F23/G23</f>
        <v>0.56000000000000005</v>
      </c>
      <c r="O23" s="286" t="s">
        <v>1431</v>
      </c>
      <c r="P23" s="327"/>
      <c r="R23" s="304" t="s">
        <v>1432</v>
      </c>
      <c r="S23" t="s">
        <v>1435</v>
      </c>
      <c r="T23" s="304" t="s">
        <v>1433</v>
      </c>
      <c r="U23" s="304" t="s">
        <v>1434</v>
      </c>
      <c r="V23" s="313">
        <v>0.2</v>
      </c>
      <c r="W23" s="313">
        <v>0.2</v>
      </c>
      <c r="X23" s="306" t="s">
        <v>95</v>
      </c>
      <c r="Y23" s="306" t="s">
        <v>96</v>
      </c>
      <c r="Z23" s="306" t="s">
        <v>113</v>
      </c>
      <c r="AB23" s="306" t="s">
        <v>311</v>
      </c>
      <c r="AC23" s="306" t="s">
        <v>1702</v>
      </c>
      <c r="AP23" s="323"/>
      <c r="AQ23" s="322">
        <v>5088</v>
      </c>
      <c r="AR23" s="326" t="s">
        <v>1463</v>
      </c>
      <c r="AS23" s="322" t="b">
        <v>1</v>
      </c>
      <c r="AW23" s="334"/>
      <c r="AY23" s="334"/>
      <c r="BA23" s="334"/>
    </row>
    <row r="24" spans="1:53">
      <c r="A24" s="277" t="s">
        <v>1582</v>
      </c>
      <c r="B24" s="326" t="s">
        <v>1583</v>
      </c>
      <c r="C24" s="334">
        <f>'Breuker 2013 NJ'!A3</f>
        <v>1.3713080168776399</v>
      </c>
      <c r="D24" s="301">
        <f>'Breuker 2013 NJ'!B3</f>
        <v>1592885.2068425899</v>
      </c>
      <c r="J24" s="301">
        <f>'Breuker 2013 NJ'!D3</f>
        <v>668954.878691416</v>
      </c>
      <c r="R24" s="328" t="s">
        <v>138</v>
      </c>
      <c r="S24" s="303" t="s">
        <v>141</v>
      </c>
      <c r="V24" s="334"/>
      <c r="W24" s="334"/>
      <c r="X24" s="334"/>
      <c r="Y24" s="334"/>
      <c r="Z24" s="334"/>
      <c r="AD24" s="328" t="s">
        <v>1717</v>
      </c>
      <c r="AE24" s="328" t="s">
        <v>1724</v>
      </c>
      <c r="AF24" s="328"/>
      <c r="AG24" s="328" t="s">
        <v>1705</v>
      </c>
      <c r="AH24" s="328" t="s">
        <v>1710</v>
      </c>
      <c r="AI24" s="328"/>
      <c r="AJ24" s="328"/>
      <c r="AK24" s="328"/>
      <c r="AL24" s="328"/>
      <c r="AM24" s="328"/>
      <c r="AN24" s="328"/>
      <c r="AO24" s="328" t="s">
        <v>1448</v>
      </c>
      <c r="AP24" s="323"/>
      <c r="AQ24">
        <v>34</v>
      </c>
      <c r="AR24" s="326" t="s">
        <v>1632</v>
      </c>
      <c r="AS24" s="322"/>
      <c r="AV24" s="326" t="b">
        <v>1</v>
      </c>
      <c r="AW24" s="334" t="b">
        <v>1</v>
      </c>
      <c r="AY24" s="334"/>
      <c r="AZ24" t="b">
        <v>1</v>
      </c>
      <c r="BA24" s="334" t="b">
        <v>1</v>
      </c>
    </row>
    <row r="25" spans="1:53">
      <c r="A25" s="277" t="s">
        <v>1582</v>
      </c>
      <c r="B25" s="326" t="s">
        <v>1583</v>
      </c>
      <c r="C25" s="334">
        <f>'Breuker 2013 NJ'!A4</f>
        <v>3.7974683544303698</v>
      </c>
      <c r="D25" s="301">
        <f>'Breuker 2013 NJ'!B4</f>
        <v>541023.12774690404</v>
      </c>
      <c r="H25" s="336"/>
      <c r="I25" s="301">
        <f>'Breuker 2013 NJ'!C4</f>
        <v>4314402.26144375</v>
      </c>
      <c r="J25" s="301">
        <f>'Breuker 2013 NJ'!D4</f>
        <v>964110.880490746</v>
      </c>
      <c r="K25" s="301">
        <f>I25+J25</f>
        <v>5278513.1419344964</v>
      </c>
      <c r="N25" s="27">
        <f>J25/K25</f>
        <v>0.18264819174768859</v>
      </c>
      <c r="R25" s="328" t="s">
        <v>138</v>
      </c>
      <c r="S25" s="303" t="s">
        <v>141</v>
      </c>
      <c r="U25" s="326"/>
      <c r="V25" s="334"/>
      <c r="W25" s="334"/>
      <c r="X25" s="334"/>
      <c r="Y25" s="334"/>
      <c r="Z25" s="334"/>
      <c r="AD25" s="328" t="s">
        <v>1717</v>
      </c>
      <c r="AE25" s="328" t="s">
        <v>1724</v>
      </c>
      <c r="AF25" s="328"/>
      <c r="AG25" s="328" t="s">
        <v>1705</v>
      </c>
      <c r="AH25" s="328" t="s">
        <v>1710</v>
      </c>
      <c r="AI25" s="328"/>
      <c r="AJ25" s="328"/>
      <c r="AK25" s="328"/>
      <c r="AL25" s="328"/>
      <c r="AM25" s="328"/>
      <c r="AN25" s="328"/>
      <c r="AO25" s="328" t="s">
        <v>1448</v>
      </c>
      <c r="AP25" s="328"/>
      <c r="AQ25" s="334">
        <v>34</v>
      </c>
      <c r="AR25" s="328" t="s">
        <v>1632</v>
      </c>
      <c r="AS25" s="322"/>
      <c r="AV25" s="328" t="b">
        <v>1</v>
      </c>
      <c r="AW25" s="334" t="b">
        <v>1</v>
      </c>
      <c r="AY25" s="334"/>
      <c r="AZ25" t="b">
        <v>1</v>
      </c>
      <c r="BA25" s="334" t="b">
        <v>1</v>
      </c>
    </row>
    <row r="26" spans="1:53">
      <c r="A26" s="277" t="s">
        <v>1582</v>
      </c>
      <c r="B26" s="326" t="s">
        <v>1583</v>
      </c>
      <c r="C26" s="334">
        <f>'Breuker 2013 NJ'!A5</f>
        <v>6.2236286919831203</v>
      </c>
      <c r="D26" s="301">
        <f>'Breuker 2013 NJ'!B5</f>
        <v>2388752.9326488902</v>
      </c>
      <c r="J26" s="301">
        <f>'Breuker 2013 NJ'!D5</f>
        <v>517947.46792312001</v>
      </c>
      <c r="R26" s="328" t="s">
        <v>138</v>
      </c>
      <c r="S26" s="303" t="s">
        <v>141</v>
      </c>
      <c r="U26" s="326"/>
      <c r="V26" s="334"/>
      <c r="W26" s="334"/>
      <c r="X26" s="334"/>
      <c r="Y26" s="334"/>
      <c r="Z26" s="334"/>
      <c r="AD26" s="328" t="s">
        <v>1717</v>
      </c>
      <c r="AE26" s="328" t="s">
        <v>1724</v>
      </c>
      <c r="AF26" s="328"/>
      <c r="AG26" s="328" t="s">
        <v>1705</v>
      </c>
      <c r="AH26" s="328" t="s">
        <v>1710</v>
      </c>
      <c r="AI26" s="328"/>
      <c r="AJ26" s="328"/>
      <c r="AK26" s="328"/>
      <c r="AL26" s="328"/>
      <c r="AM26" s="328"/>
      <c r="AN26" s="328"/>
      <c r="AO26" s="328" t="s">
        <v>1448</v>
      </c>
      <c r="AP26" s="328"/>
      <c r="AQ26" s="334">
        <v>34</v>
      </c>
      <c r="AR26" s="328" t="s">
        <v>1632</v>
      </c>
      <c r="AS26" s="322"/>
      <c r="AV26" s="328" t="b">
        <v>1</v>
      </c>
      <c r="AW26" s="334" t="b">
        <v>1</v>
      </c>
      <c r="AY26" s="334"/>
      <c r="AZ26" t="b">
        <v>1</v>
      </c>
      <c r="BA26" s="334" t="b">
        <v>1</v>
      </c>
    </row>
    <row r="27" spans="1:53">
      <c r="A27" s="277" t="s">
        <v>1582</v>
      </c>
      <c r="B27" s="334" t="s">
        <v>1583</v>
      </c>
      <c r="C27" s="334">
        <f>'Breuker 2013 NJ'!A6</f>
        <v>8.8607594936708907</v>
      </c>
      <c r="D27" s="301">
        <f>'Breuker 2013 NJ'!B6</f>
        <v>1834761.22999149</v>
      </c>
      <c r="I27" s="301">
        <f>'Breuker 2013 NJ'!C6</f>
        <v>2234633.7269165898</v>
      </c>
      <c r="J27" s="301">
        <f>'Breuker 2013 NJ'!D6</f>
        <v>4314402.2614437602</v>
      </c>
      <c r="K27" s="301">
        <f>I27+J27</f>
        <v>6549035.98836035</v>
      </c>
      <c r="N27" s="27">
        <f>J27/K27</f>
        <v>0.65878432629043104</v>
      </c>
      <c r="P27" s="334"/>
      <c r="R27" s="328" t="s">
        <v>138</v>
      </c>
      <c r="S27" s="303" t="s">
        <v>141</v>
      </c>
      <c r="U27" s="326"/>
      <c r="V27" s="334"/>
      <c r="W27" s="334"/>
      <c r="X27" s="334"/>
      <c r="Y27" s="334"/>
      <c r="Z27" s="334"/>
      <c r="AD27" s="328" t="s">
        <v>1717</v>
      </c>
      <c r="AE27" s="328" t="s">
        <v>1724</v>
      </c>
      <c r="AF27" s="328"/>
      <c r="AG27" s="328" t="s">
        <v>1705</v>
      </c>
      <c r="AH27" s="328" t="s">
        <v>1710</v>
      </c>
      <c r="AI27" s="328"/>
      <c r="AJ27" s="328"/>
      <c r="AK27" s="328"/>
      <c r="AL27" s="328"/>
      <c r="AM27" s="328"/>
      <c r="AN27" s="328"/>
      <c r="AO27" s="328" t="s">
        <v>1448</v>
      </c>
      <c r="AP27" s="328"/>
      <c r="AQ27" s="334">
        <v>34</v>
      </c>
      <c r="AR27" s="328" t="s">
        <v>1632</v>
      </c>
      <c r="AS27" s="322"/>
      <c r="AV27" s="328" t="b">
        <v>1</v>
      </c>
      <c r="AW27" s="334" t="b">
        <v>1</v>
      </c>
      <c r="AY27" s="334"/>
      <c r="AZ27" t="b">
        <v>1</v>
      </c>
      <c r="BA27" s="334" t="b">
        <v>1</v>
      </c>
    </row>
    <row r="28" spans="1:53">
      <c r="A28" s="277" t="s">
        <v>1582</v>
      </c>
      <c r="B28" s="326" t="s">
        <v>1583</v>
      </c>
      <c r="C28" s="334">
        <f>'Breuker 2013 NJ'!A7</f>
        <v>10.2320675105485</v>
      </c>
      <c r="D28" s="301">
        <f>'Breuker 2013 NJ'!B7</f>
        <v>1184019.8142570399</v>
      </c>
      <c r="H28" s="336"/>
      <c r="I28" s="301">
        <f>'Breuker 2013 NJ'!C7</f>
        <v>1668100.53720005</v>
      </c>
      <c r="J28" s="301">
        <f>'Breuker 2013 NJ'!D7</f>
        <v>10372250.954070499</v>
      </c>
      <c r="K28" s="301">
        <f>I28+J28</f>
        <v>12040351.49127055</v>
      </c>
      <c r="N28" s="27">
        <f>J28/K28</f>
        <v>0.8614574883125754</v>
      </c>
      <c r="R28" s="328" t="s">
        <v>138</v>
      </c>
      <c r="S28" s="303" t="s">
        <v>141</v>
      </c>
      <c r="U28" s="326"/>
      <c r="V28" s="334"/>
      <c r="W28" s="334"/>
      <c r="X28" s="334"/>
      <c r="Y28" s="334"/>
      <c r="Z28" s="334"/>
      <c r="AD28" s="328" t="s">
        <v>1717</v>
      </c>
      <c r="AE28" s="328" t="s">
        <v>1724</v>
      </c>
      <c r="AF28" s="328"/>
      <c r="AG28" s="328" t="s">
        <v>1705</v>
      </c>
      <c r="AH28" s="328" t="s">
        <v>1710</v>
      </c>
      <c r="AI28" s="328"/>
      <c r="AJ28" s="328"/>
      <c r="AK28" s="328"/>
      <c r="AL28" s="328"/>
      <c r="AM28" s="328"/>
      <c r="AN28" s="328"/>
      <c r="AO28" s="328" t="s">
        <v>1448</v>
      </c>
      <c r="AP28" s="328"/>
      <c r="AQ28" s="334">
        <v>34</v>
      </c>
      <c r="AR28" s="328" t="s">
        <v>1632</v>
      </c>
      <c r="AS28" s="322"/>
      <c r="AV28" s="328" t="b">
        <v>1</v>
      </c>
      <c r="AW28" s="334" t="b">
        <v>1</v>
      </c>
      <c r="AY28" s="334"/>
      <c r="AZ28" t="b">
        <v>1</v>
      </c>
      <c r="BA28" s="334" t="b">
        <v>1</v>
      </c>
    </row>
    <row r="29" spans="1:53">
      <c r="A29" s="277" t="s">
        <v>1582</v>
      </c>
      <c r="B29" s="334" t="s">
        <v>1583</v>
      </c>
      <c r="C29" s="334">
        <f>'Breuker 2013 NJ'!A8</f>
        <v>11.1814345991561</v>
      </c>
      <c r="D29" s="301">
        <f>'Breuker 2013 NJ'!B8</f>
        <v>834103.39710132196</v>
      </c>
      <c r="H29" s="336"/>
      <c r="I29" s="301">
        <f>'Breuker 2013 NJ'!C8</f>
        <v>1441219.5967188601</v>
      </c>
      <c r="J29" s="301">
        <f>'Breuker 2013 NJ'!D8</f>
        <v>12451970.847350201</v>
      </c>
      <c r="K29" s="301">
        <f>I29+J29</f>
        <v>13893190.444069061</v>
      </c>
      <c r="N29" s="27">
        <f>J29/K29</f>
        <v>0.89626431721922373</v>
      </c>
      <c r="R29" s="328" t="s">
        <v>138</v>
      </c>
      <c r="S29" s="303" t="s">
        <v>141</v>
      </c>
      <c r="T29" s="311"/>
      <c r="U29" s="326"/>
      <c r="V29" s="334"/>
      <c r="W29" s="334"/>
      <c r="X29" s="334"/>
      <c r="Y29" s="334"/>
      <c r="Z29" s="334"/>
      <c r="AD29" s="328" t="s">
        <v>1717</v>
      </c>
      <c r="AE29" s="328" t="s">
        <v>1724</v>
      </c>
      <c r="AF29" s="328"/>
      <c r="AG29" s="328" t="s">
        <v>1705</v>
      </c>
      <c r="AH29" s="328" t="s">
        <v>1710</v>
      </c>
      <c r="AI29" s="328"/>
      <c r="AJ29" s="328"/>
      <c r="AK29" s="328"/>
      <c r="AL29" s="328"/>
      <c r="AM29" s="328"/>
      <c r="AN29" s="328"/>
      <c r="AO29" s="328" t="s">
        <v>1448</v>
      </c>
      <c r="AP29" s="328"/>
      <c r="AQ29" s="334">
        <v>34</v>
      </c>
      <c r="AR29" s="328" t="s">
        <v>1632</v>
      </c>
      <c r="AS29" s="322"/>
      <c r="AV29" s="328" t="b">
        <v>1</v>
      </c>
      <c r="AW29" s="334" t="b">
        <v>1</v>
      </c>
      <c r="AY29" s="334"/>
      <c r="AZ29" t="b">
        <v>1</v>
      </c>
      <c r="BA29" s="334" t="b">
        <v>1</v>
      </c>
    </row>
    <row r="30" spans="1:53">
      <c r="A30" s="277" t="s">
        <v>1582</v>
      </c>
      <c r="B30" s="334" t="s">
        <v>1583</v>
      </c>
      <c r="C30" s="334">
        <f>'Breuker 2013 NJ'!A9</f>
        <v>12.8691983122362</v>
      </c>
      <c r="D30" s="301">
        <f>'Breuker 2013 NJ'!B9</f>
        <v>2180289.3178823199</v>
      </c>
      <c r="H30" s="336"/>
      <c r="J30" s="301">
        <f>'Breuker 2013 NJ'!D9</f>
        <v>1930697.7288832499</v>
      </c>
      <c r="R30" s="328" t="s">
        <v>138</v>
      </c>
      <c r="S30" s="303" t="s">
        <v>141</v>
      </c>
      <c r="T30" s="311"/>
      <c r="U30" s="311"/>
      <c r="V30" s="334"/>
      <c r="W30" s="334"/>
      <c r="X30" s="334"/>
      <c r="Y30" s="334"/>
      <c r="Z30" s="334"/>
      <c r="AD30" s="328" t="s">
        <v>1717</v>
      </c>
      <c r="AE30" s="328" t="s">
        <v>1724</v>
      </c>
      <c r="AF30" s="328"/>
      <c r="AG30" s="328" t="s">
        <v>1705</v>
      </c>
      <c r="AH30" s="328" t="s">
        <v>1710</v>
      </c>
      <c r="AI30" s="328"/>
      <c r="AJ30" s="328"/>
      <c r="AK30" s="328"/>
      <c r="AL30" s="328"/>
      <c r="AM30" s="328"/>
      <c r="AN30" s="328"/>
      <c r="AO30" s="328" t="s">
        <v>1448</v>
      </c>
      <c r="AP30" s="328"/>
      <c r="AQ30" s="334">
        <v>34</v>
      </c>
      <c r="AR30" s="328" t="s">
        <v>1632</v>
      </c>
      <c r="AS30" s="322"/>
      <c r="AV30" s="328" t="b">
        <v>1</v>
      </c>
      <c r="AW30" s="334" t="b">
        <v>1</v>
      </c>
      <c r="AY30" s="334"/>
      <c r="AZ30" t="b">
        <v>1</v>
      </c>
      <c r="BA30" s="334" t="b">
        <v>1</v>
      </c>
    </row>
    <row r="31" spans="1:53">
      <c r="A31" s="277" t="s">
        <v>1582</v>
      </c>
      <c r="B31" s="326" t="s">
        <v>1583</v>
      </c>
      <c r="C31" s="334">
        <f>'Breuker 2013 NJ'!A10</f>
        <v>13.6075949367088</v>
      </c>
      <c r="D31" s="301">
        <f>'Breuker 2013 NJ'!B10</f>
        <v>8089979.9323143903</v>
      </c>
      <c r="J31" s="301">
        <f>'Breuker 2013 NJ'!D10</f>
        <v>372759.372031493</v>
      </c>
      <c r="R31" s="328" t="s">
        <v>138</v>
      </c>
      <c r="S31" s="303" t="s">
        <v>141</v>
      </c>
      <c r="T31" s="311"/>
      <c r="U31" s="311"/>
      <c r="V31" s="334"/>
      <c r="W31" s="334"/>
      <c r="X31" s="334"/>
      <c r="Y31" s="334"/>
      <c r="Z31" s="334"/>
      <c r="AD31" s="328" t="s">
        <v>1717</v>
      </c>
      <c r="AE31" s="328" t="s">
        <v>1724</v>
      </c>
      <c r="AF31" s="328"/>
      <c r="AG31" s="328" t="s">
        <v>1705</v>
      </c>
      <c r="AH31" s="328" t="s">
        <v>1710</v>
      </c>
      <c r="AI31" s="328"/>
      <c r="AJ31" s="328"/>
      <c r="AK31" s="328"/>
      <c r="AL31" s="328"/>
      <c r="AM31" s="328"/>
      <c r="AN31" s="328"/>
      <c r="AO31" s="328" t="s">
        <v>1448</v>
      </c>
      <c r="AP31" s="328"/>
      <c r="AQ31" s="334">
        <v>34</v>
      </c>
      <c r="AR31" s="328" t="s">
        <v>1632</v>
      </c>
      <c r="AV31" s="328" t="b">
        <v>1</v>
      </c>
      <c r="AW31" s="334" t="b">
        <v>1</v>
      </c>
      <c r="AY31" s="334"/>
      <c r="AZ31" t="b">
        <v>1</v>
      </c>
      <c r="BA31" s="334" t="b">
        <v>1</v>
      </c>
    </row>
    <row r="32" spans="1:53">
      <c r="A32" s="277" t="s">
        <v>1582</v>
      </c>
      <c r="B32" s="334" t="s">
        <v>1583</v>
      </c>
      <c r="C32" s="334">
        <f>'Breuker 2013 NJ'!A11</f>
        <v>14.8734177215189</v>
      </c>
      <c r="D32" s="301">
        <f>'Breuker 2013 NJ'!B11</f>
        <v>102068.752229897</v>
      </c>
      <c r="J32" s="301">
        <f>'Breuker 2013 NJ'!D11</f>
        <v>1494869.13370923</v>
      </c>
      <c r="R32" s="328" t="s">
        <v>138</v>
      </c>
      <c r="S32" s="303" t="s">
        <v>141</v>
      </c>
      <c r="T32" s="311"/>
      <c r="U32" s="311"/>
      <c r="V32" s="334"/>
      <c r="W32" s="334"/>
      <c r="X32" s="334"/>
      <c r="Y32" s="334"/>
      <c r="Z32" s="334"/>
      <c r="AD32" s="328" t="s">
        <v>1717</v>
      </c>
      <c r="AE32" s="328" t="s">
        <v>1724</v>
      </c>
      <c r="AF32" s="328"/>
      <c r="AG32" s="328" t="s">
        <v>1705</v>
      </c>
      <c r="AH32" s="328" t="s">
        <v>1710</v>
      </c>
      <c r="AI32" s="328"/>
      <c r="AJ32" s="328"/>
      <c r="AK32" s="328"/>
      <c r="AL32" s="328"/>
      <c r="AM32" s="328"/>
      <c r="AN32" s="328"/>
      <c r="AO32" s="328" t="s">
        <v>1448</v>
      </c>
      <c r="AP32" s="328"/>
      <c r="AQ32" s="334">
        <v>34</v>
      </c>
      <c r="AR32" s="328" t="s">
        <v>1632</v>
      </c>
      <c r="AV32" s="328" t="b">
        <v>1</v>
      </c>
      <c r="AW32" s="334" t="b">
        <v>1</v>
      </c>
      <c r="AY32" s="334"/>
      <c r="AZ32" t="b">
        <v>1</v>
      </c>
      <c r="BA32" s="334" t="b">
        <v>1</v>
      </c>
    </row>
    <row r="33" spans="1:53">
      <c r="A33" s="277" t="s">
        <v>1582</v>
      </c>
      <c r="B33" s="326" t="s">
        <v>1583</v>
      </c>
      <c r="C33" s="334">
        <f>'Breuker 2013 NJ'!A12</f>
        <v>16.6666666666666</v>
      </c>
      <c r="D33" s="301">
        <f>'Breuker 2013 NJ'!B12</f>
        <v>1578745.9021228901</v>
      </c>
      <c r="J33" s="301">
        <f>'Breuker 2013 NJ'!D12</f>
        <v>2586416.2052759598</v>
      </c>
      <c r="R33" s="328" t="s">
        <v>138</v>
      </c>
      <c r="S33" s="303" t="s">
        <v>141</v>
      </c>
      <c r="T33" s="311"/>
      <c r="U33" s="311"/>
      <c r="V33" s="334"/>
      <c r="W33" s="334"/>
      <c r="X33" s="334"/>
      <c r="Y33" s="334"/>
      <c r="Z33" s="334"/>
      <c r="AD33" s="328" t="s">
        <v>1717</v>
      </c>
      <c r="AE33" s="328" t="s">
        <v>1724</v>
      </c>
      <c r="AF33" s="328"/>
      <c r="AG33" s="328" t="s">
        <v>1705</v>
      </c>
      <c r="AH33" s="328" t="s">
        <v>1710</v>
      </c>
      <c r="AI33" s="328"/>
      <c r="AJ33" s="328"/>
      <c r="AK33" s="328"/>
      <c r="AL33" s="328"/>
      <c r="AM33" s="328"/>
      <c r="AN33" s="328"/>
      <c r="AO33" s="328" t="s">
        <v>1448</v>
      </c>
      <c r="AP33" s="328"/>
      <c r="AQ33" s="334">
        <v>34</v>
      </c>
      <c r="AR33" s="328" t="s">
        <v>1632</v>
      </c>
      <c r="AV33" s="328" t="b">
        <v>1</v>
      </c>
      <c r="AW33" s="334" t="b">
        <v>1</v>
      </c>
      <c r="AY33" s="334"/>
      <c r="AZ33" t="b">
        <v>1</v>
      </c>
      <c r="BA33" s="334" t="b">
        <v>1</v>
      </c>
    </row>
    <row r="34" spans="1:53">
      <c r="A34" s="277" t="s">
        <v>1582</v>
      </c>
      <c r="B34" s="327" t="s">
        <v>1583</v>
      </c>
      <c r="C34" s="334">
        <f>'Breuker 2013 NJ'!A13</f>
        <v>17.510548523206701</v>
      </c>
      <c r="D34" s="301">
        <f>'Breuker 2013 NJ'!B13</f>
        <v>506323.06218029099</v>
      </c>
      <c r="I34" s="301">
        <f>'Breuker 2013 NJ'!C13</f>
        <v>537228.11183240195</v>
      </c>
      <c r="J34" s="301">
        <f>'Breuker 2013 NJ'!D13</f>
        <v>3593813.6638046298</v>
      </c>
      <c r="K34" s="301">
        <f>I34+J34</f>
        <v>4131041.7756370315</v>
      </c>
      <c r="N34" s="27">
        <f>J34/K34</f>
        <v>0.86995335777025451</v>
      </c>
      <c r="R34" s="328" t="s">
        <v>138</v>
      </c>
      <c r="S34" s="303" t="s">
        <v>141</v>
      </c>
      <c r="T34" s="311"/>
      <c r="U34" s="311"/>
      <c r="V34" s="334"/>
      <c r="W34" s="334"/>
      <c r="X34" s="334"/>
      <c r="Y34" s="334"/>
      <c r="Z34" s="334"/>
      <c r="AD34" s="328" t="s">
        <v>1717</v>
      </c>
      <c r="AE34" s="328" t="s">
        <v>1724</v>
      </c>
      <c r="AF34" s="328"/>
      <c r="AG34" s="328" t="s">
        <v>1705</v>
      </c>
      <c r="AH34" s="328" t="s">
        <v>1710</v>
      </c>
      <c r="AI34" s="328"/>
      <c r="AJ34" s="328"/>
      <c r="AK34" s="328"/>
      <c r="AL34" s="328"/>
      <c r="AM34" s="328"/>
      <c r="AN34" s="328"/>
      <c r="AO34" s="328" t="s">
        <v>1448</v>
      </c>
      <c r="AP34" s="328"/>
      <c r="AQ34" s="334">
        <v>34</v>
      </c>
      <c r="AR34" s="328" t="s">
        <v>1632</v>
      </c>
      <c r="AV34" s="328" t="b">
        <v>1</v>
      </c>
      <c r="AW34" s="334" t="b">
        <v>1</v>
      </c>
      <c r="AY34" s="334"/>
      <c r="AZ34" t="b">
        <v>1</v>
      </c>
      <c r="BA34" s="334" t="b">
        <v>1</v>
      </c>
    </row>
    <row r="35" spans="1:53">
      <c r="A35" s="277" t="s">
        <v>1582</v>
      </c>
      <c r="B35" s="334" t="s">
        <v>1583</v>
      </c>
      <c r="C35" s="334">
        <f>'Breuker 2013 NJ'!A14</f>
        <v>19.092827004219401</v>
      </c>
      <c r="D35" s="301">
        <f>'Breuker 2013 NJ'!B14</f>
        <v>308203.281898716</v>
      </c>
      <c r="J35" s="301">
        <f>'Breuker 2013 NJ'!D14</f>
        <v>1389495.4943731299</v>
      </c>
      <c r="R35" s="328" t="s">
        <v>138</v>
      </c>
      <c r="S35" s="303" t="s">
        <v>141</v>
      </c>
      <c r="T35" s="311"/>
      <c r="U35" s="311"/>
      <c r="V35" s="334"/>
      <c r="W35" s="334"/>
      <c r="X35" s="334"/>
      <c r="Y35" s="334"/>
      <c r="Z35" s="334"/>
      <c r="AD35" s="328" t="s">
        <v>1717</v>
      </c>
      <c r="AE35" s="328" t="s">
        <v>1724</v>
      </c>
      <c r="AF35" s="328"/>
      <c r="AG35" s="328" t="s">
        <v>1705</v>
      </c>
      <c r="AH35" s="328" t="s">
        <v>1710</v>
      </c>
      <c r="AI35" s="328"/>
      <c r="AJ35" s="328"/>
      <c r="AK35" s="328"/>
      <c r="AL35" s="328"/>
      <c r="AM35" s="328"/>
      <c r="AN35" s="328"/>
      <c r="AO35" s="328" t="s">
        <v>1448</v>
      </c>
      <c r="AP35" s="328"/>
      <c r="AQ35" s="334">
        <v>34</v>
      </c>
      <c r="AR35" s="328" t="s">
        <v>1632</v>
      </c>
      <c r="AV35" s="328" t="b">
        <v>1</v>
      </c>
      <c r="AW35" s="334" t="b">
        <v>1</v>
      </c>
      <c r="AY35" s="334"/>
      <c r="AZ35" t="b">
        <v>1</v>
      </c>
      <c r="BA35" s="334" t="b">
        <v>1</v>
      </c>
    </row>
    <row r="36" spans="1:53">
      <c r="A36" s="277" t="s">
        <v>1582</v>
      </c>
      <c r="B36" s="334" t="s">
        <v>1583</v>
      </c>
      <c r="C36" s="334">
        <f>'Breuker 2013 NJ'!A15</f>
        <v>20.042194092827</v>
      </c>
      <c r="D36" s="301">
        <f>'Breuker 2013 NJ'!B15</f>
        <v>217119.174302673</v>
      </c>
      <c r="J36" s="301">
        <f>'Breuker 2013 NJ'!D15</f>
        <v>1157422.88059206</v>
      </c>
      <c r="P36" s="327"/>
      <c r="R36" s="328" t="s">
        <v>138</v>
      </c>
      <c r="S36" s="303" t="s">
        <v>141</v>
      </c>
      <c r="T36" s="311"/>
      <c r="U36" s="311"/>
      <c r="V36" s="334"/>
      <c r="W36" s="334"/>
      <c r="X36" s="334"/>
      <c r="Y36" s="334"/>
      <c r="Z36" s="334"/>
      <c r="AD36" s="328" t="s">
        <v>1717</v>
      </c>
      <c r="AE36" s="328" t="s">
        <v>1724</v>
      </c>
      <c r="AF36" s="328"/>
      <c r="AG36" s="328" t="s">
        <v>1705</v>
      </c>
      <c r="AH36" s="328" t="s">
        <v>1710</v>
      </c>
      <c r="AI36" s="328"/>
      <c r="AJ36" s="328"/>
      <c r="AK36" s="328"/>
      <c r="AL36" s="328"/>
      <c r="AM36" s="328"/>
      <c r="AN36" s="328"/>
      <c r="AO36" s="328" t="s">
        <v>1448</v>
      </c>
      <c r="AP36" s="328"/>
      <c r="AQ36" s="334">
        <v>34</v>
      </c>
      <c r="AR36" s="328" t="s">
        <v>1632</v>
      </c>
      <c r="AV36" s="328" t="b">
        <v>1</v>
      </c>
      <c r="AW36" s="334" t="b">
        <v>1</v>
      </c>
      <c r="AY36" s="334"/>
      <c r="AZ36" t="b">
        <v>1</v>
      </c>
      <c r="BA36" s="334" t="b">
        <v>1</v>
      </c>
    </row>
    <row r="37" spans="1:53">
      <c r="A37" s="277" t="s">
        <v>1582</v>
      </c>
      <c r="B37" s="334" t="s">
        <v>1583</v>
      </c>
      <c r="C37" s="334">
        <f>'Breuker 2013 NJ'!A17</f>
        <v>29.5358649789029</v>
      </c>
      <c r="D37" s="301">
        <f>'Breuker 2013 NJ'!B17</f>
        <v>80152.112080291496</v>
      </c>
      <c r="J37" s="301">
        <f>'Breuker 2013 NJ'!D17</f>
        <v>268269.57952797198</v>
      </c>
      <c r="O37" s="228"/>
      <c r="R37" s="328" t="s">
        <v>138</v>
      </c>
      <c r="S37" s="303" t="s">
        <v>141</v>
      </c>
      <c r="T37" s="311"/>
      <c r="U37" s="311"/>
      <c r="V37" s="334"/>
      <c r="W37" s="334"/>
      <c r="X37" s="334"/>
      <c r="Y37" s="334"/>
      <c r="Z37" s="334"/>
      <c r="AD37" s="328" t="s">
        <v>1717</v>
      </c>
      <c r="AE37" s="328" t="s">
        <v>1724</v>
      </c>
      <c r="AF37" s="328"/>
      <c r="AG37" s="328" t="s">
        <v>1705</v>
      </c>
      <c r="AH37" s="328" t="s">
        <v>1710</v>
      </c>
      <c r="AI37" s="328"/>
      <c r="AJ37" s="328"/>
      <c r="AK37" s="328"/>
      <c r="AL37" s="328"/>
      <c r="AM37" s="328"/>
      <c r="AN37" s="328"/>
      <c r="AO37" s="328" t="s">
        <v>1448</v>
      </c>
      <c r="AP37" s="328"/>
      <c r="AQ37" s="334">
        <v>34</v>
      </c>
      <c r="AR37" s="328" t="s">
        <v>1632</v>
      </c>
      <c r="AV37" s="328" t="b">
        <v>1</v>
      </c>
      <c r="AW37" s="334" t="b">
        <v>1</v>
      </c>
      <c r="AY37" s="334"/>
      <c r="AZ37" t="b">
        <v>1</v>
      </c>
      <c r="BA37" s="334" t="b">
        <v>1</v>
      </c>
    </row>
    <row r="38" spans="1:53">
      <c r="A38" s="277" t="s">
        <v>1582</v>
      </c>
      <c r="B38" s="334" t="s">
        <v>1583</v>
      </c>
      <c r="C38" s="334">
        <f>'Breuker 2013 NJ'!A19</f>
        <v>43.354430379746802</v>
      </c>
      <c r="D38" s="301">
        <f>'Breuker 2013 NJ'!B19</f>
        <v>919830.35853593901</v>
      </c>
      <c r="I38" s="301">
        <f>'Breuker 2013 NJ'!C19</f>
        <v>26826957.952797201</v>
      </c>
      <c r="J38" s="301">
        <f>'Breuker 2013 NJ'!D19</f>
        <v>249359.20049841501</v>
      </c>
      <c r="K38" s="301">
        <f>I38+J38</f>
        <v>27076317.153295614</v>
      </c>
      <c r="N38" s="27">
        <f>J38/K38</f>
        <v>9.2094947435664848E-3</v>
      </c>
      <c r="O38" s="228"/>
      <c r="R38" s="328" t="s">
        <v>138</v>
      </c>
      <c r="S38" s="303" t="s">
        <v>141</v>
      </c>
      <c r="T38" s="311"/>
      <c r="U38" s="311"/>
      <c r="V38" s="334"/>
      <c r="W38" s="334"/>
      <c r="X38" s="334"/>
      <c r="Y38" s="334"/>
      <c r="Z38" s="334"/>
      <c r="AD38" s="328" t="s">
        <v>1717</v>
      </c>
      <c r="AE38" s="328" t="s">
        <v>1724</v>
      </c>
      <c r="AF38" s="328"/>
      <c r="AG38" s="328" t="s">
        <v>1705</v>
      </c>
      <c r="AH38" s="328" t="s">
        <v>1710</v>
      </c>
      <c r="AI38" s="328"/>
      <c r="AJ38" s="328"/>
      <c r="AK38" s="328"/>
      <c r="AL38" s="328"/>
      <c r="AM38" s="328"/>
      <c r="AN38" s="328"/>
      <c r="AO38" s="328" t="s">
        <v>1448</v>
      </c>
      <c r="AP38" s="328"/>
      <c r="AQ38" s="334">
        <v>34</v>
      </c>
      <c r="AR38" s="328" t="s">
        <v>1632</v>
      </c>
      <c r="AS38" s="322"/>
      <c r="AV38" s="328" t="b">
        <v>1</v>
      </c>
      <c r="AW38" s="334" t="b">
        <v>1</v>
      </c>
      <c r="AY38" s="334"/>
      <c r="AZ38" t="b">
        <v>1</v>
      </c>
      <c r="BA38" s="334" t="b">
        <v>1</v>
      </c>
    </row>
    <row r="39" spans="1:53">
      <c r="A39" s="277" t="s">
        <v>1582</v>
      </c>
      <c r="B39" s="334" t="s">
        <v>1583</v>
      </c>
      <c r="C39" s="334">
        <f>'Breuker 2013 NJ'!A20</f>
        <v>49.367088607594901</v>
      </c>
      <c r="D39" s="301">
        <f>'Breuker 2013 NJ'!B20</f>
        <v>79230.866934046004</v>
      </c>
      <c r="I39" s="301">
        <f>'Breuker 2013 NJ'!C20</f>
        <v>1441219.5967188501</v>
      </c>
      <c r="J39" s="301">
        <f>'Breuker 2013 NJ'!D20</f>
        <v>25864.162052759599</v>
      </c>
      <c r="K39" s="301">
        <f>I39+J39</f>
        <v>1467083.7587716097</v>
      </c>
      <c r="N39" s="27">
        <f>J39/K39</f>
        <v>1.7629642410066402E-2</v>
      </c>
      <c r="O39" s="228"/>
      <c r="R39" s="328" t="s">
        <v>138</v>
      </c>
      <c r="S39" s="303" t="s">
        <v>141</v>
      </c>
      <c r="V39" s="334"/>
      <c r="W39" s="334"/>
      <c r="X39" s="334"/>
      <c r="Y39" s="334"/>
      <c r="Z39" s="334"/>
      <c r="AD39" s="328" t="s">
        <v>1717</v>
      </c>
      <c r="AE39" s="328" t="s">
        <v>1724</v>
      </c>
      <c r="AF39" s="328"/>
      <c r="AG39" s="328" t="s">
        <v>1705</v>
      </c>
      <c r="AH39" s="328" t="s">
        <v>1710</v>
      </c>
      <c r="AI39" s="328"/>
      <c r="AJ39" s="328"/>
      <c r="AK39" s="328"/>
      <c r="AL39" s="328"/>
      <c r="AM39" s="328"/>
      <c r="AN39" s="328"/>
      <c r="AO39" s="328" t="s">
        <v>1448</v>
      </c>
      <c r="AP39" s="328"/>
      <c r="AQ39" s="334">
        <v>34</v>
      </c>
      <c r="AR39" s="328" t="s">
        <v>1632</v>
      </c>
      <c r="AS39" s="322"/>
      <c r="AV39" s="328" t="b">
        <v>1</v>
      </c>
      <c r="AW39" s="334" t="b">
        <v>1</v>
      </c>
      <c r="AY39" s="334"/>
      <c r="AZ39" t="b">
        <v>1</v>
      </c>
      <c r="BA39" s="334" t="b">
        <v>1</v>
      </c>
    </row>
    <row r="40" spans="1:53">
      <c r="A40" s="277" t="s">
        <v>1633</v>
      </c>
      <c r="B40" s="334" t="str">
        <f>'Breuker in press NP'!A3</f>
        <v>North Pond 13501</v>
      </c>
      <c r="C40" s="334">
        <f>'Breuker in press NP'!B3</f>
        <v>25.238461106009801</v>
      </c>
      <c r="D40" s="301">
        <f>'Breuker in press NP'!C3</f>
        <v>1530846.01091644</v>
      </c>
      <c r="I40" s="301">
        <f>'Breuker in press NP'!F3</f>
        <v>34513.553161471646</v>
      </c>
      <c r="J40" s="301">
        <f>'Breuker in press NP'!G3</f>
        <v>3760707.7918679547</v>
      </c>
      <c r="K40" s="301">
        <f>I40+J40</f>
        <v>3795221.3450294263</v>
      </c>
      <c r="N40" s="27">
        <f>J40/K40</f>
        <v>0.99090604999714349</v>
      </c>
      <c r="O40" s="228"/>
      <c r="R40" s="304" t="s">
        <v>1584</v>
      </c>
      <c r="S40" s="303" t="s">
        <v>141</v>
      </c>
      <c r="V40" s="334"/>
      <c r="W40" s="334"/>
      <c r="X40" s="334"/>
      <c r="Y40" s="334"/>
      <c r="Z40" s="334"/>
      <c r="AA40" s="326" t="s">
        <v>1411</v>
      </c>
      <c r="AD40" s="326" t="s">
        <v>1717</v>
      </c>
      <c r="AE40" s="326" t="s">
        <v>1724</v>
      </c>
      <c r="AG40" s="326" t="s">
        <v>1705</v>
      </c>
      <c r="AH40" s="326" t="s">
        <v>1710</v>
      </c>
      <c r="AO40" s="326" t="s">
        <v>1634</v>
      </c>
      <c r="AQ40" s="326">
        <v>4060</v>
      </c>
      <c r="AR40" s="326" t="s">
        <v>1632</v>
      </c>
      <c r="AV40" s="326" t="b">
        <v>1</v>
      </c>
      <c r="AW40" s="334" t="b">
        <v>1</v>
      </c>
      <c r="AY40" s="334"/>
      <c r="AZ40" t="b">
        <v>1</v>
      </c>
      <c r="BA40" s="334" t="b">
        <v>1</v>
      </c>
    </row>
    <row r="41" spans="1:53">
      <c r="A41" s="277" t="s">
        <v>1633</v>
      </c>
      <c r="B41" s="334" t="str">
        <f>'Breuker in press NP'!A4</f>
        <v>North Pond 13501</v>
      </c>
      <c r="C41" s="334">
        <f>'Breuker in press NP'!B4</f>
        <v>77.859190825103596</v>
      </c>
      <c r="D41" s="301">
        <f>'Breuker in press NP'!C4</f>
        <v>2700889.7040734799</v>
      </c>
      <c r="I41" s="301">
        <f>'Breuker in press NP'!F4</f>
        <v>12242.975022188732</v>
      </c>
      <c r="J41" s="301">
        <f>'Breuker in press NP'!G4</f>
        <v>685724.3006544495</v>
      </c>
      <c r="K41" s="301">
        <f>I41+J41</f>
        <v>697967.27567663824</v>
      </c>
      <c r="N41" s="27">
        <f>J41/K41</f>
        <v>0.98245909880184579</v>
      </c>
      <c r="O41" s="228"/>
      <c r="R41" s="304" t="s">
        <v>1584</v>
      </c>
      <c r="S41" s="303" t="s">
        <v>141</v>
      </c>
      <c r="V41" s="334"/>
      <c r="W41" s="334"/>
      <c r="X41" s="334"/>
      <c r="Y41" s="334"/>
      <c r="Z41" s="334"/>
      <c r="AA41" s="326" t="s">
        <v>1411</v>
      </c>
      <c r="AD41" s="326" t="s">
        <v>1717</v>
      </c>
      <c r="AE41" s="326" t="s">
        <v>1724</v>
      </c>
      <c r="AG41" s="326" t="s">
        <v>1705</v>
      </c>
      <c r="AH41" s="326" t="s">
        <v>1710</v>
      </c>
      <c r="AO41" s="326" t="s">
        <v>1634</v>
      </c>
      <c r="AQ41" s="326">
        <v>4060</v>
      </c>
      <c r="AR41" s="326" t="s">
        <v>1632</v>
      </c>
      <c r="AV41" s="326" t="b">
        <v>1</v>
      </c>
      <c r="AW41" s="334" t="b">
        <v>1</v>
      </c>
      <c r="AY41" s="334"/>
      <c r="AZ41" t="b">
        <v>1</v>
      </c>
      <c r="BA41" s="334" t="b">
        <v>1</v>
      </c>
    </row>
    <row r="42" spans="1:53">
      <c r="A42" s="277" t="s">
        <v>1633</v>
      </c>
      <c r="B42" s="334" t="str">
        <f>'Breuker in press NP'!A5</f>
        <v>North Pond 13501</v>
      </c>
      <c r="C42" s="334">
        <f>'Breuker in press NP'!B5</f>
        <v>154.19298015478799</v>
      </c>
      <c r="D42" s="301">
        <f>'Breuker in press NP'!C5</f>
        <v>480293.65495400003</v>
      </c>
      <c r="I42" s="301">
        <f>'Breuker in press NP'!F5</f>
        <v>7201.2118316734031</v>
      </c>
      <c r="J42" s="301">
        <f>'Breuker in press NP'!G5</f>
        <v>382439.46297695697</v>
      </c>
      <c r="K42" s="301">
        <f>I42+J42</f>
        <v>389640.67480863037</v>
      </c>
      <c r="N42" s="27">
        <f>J42/K42</f>
        <v>0.98151832624966517</v>
      </c>
      <c r="O42" s="228"/>
      <c r="R42" s="304" t="s">
        <v>1584</v>
      </c>
      <c r="S42" s="303" t="s">
        <v>141</v>
      </c>
      <c r="V42" s="334"/>
      <c r="W42" s="334"/>
      <c r="X42" s="334"/>
      <c r="Y42" s="328"/>
      <c r="Z42" s="334"/>
      <c r="AA42" s="326" t="s">
        <v>1411</v>
      </c>
      <c r="AD42" s="326" t="s">
        <v>1717</v>
      </c>
      <c r="AE42" s="326" t="s">
        <v>1724</v>
      </c>
      <c r="AG42" s="326" t="s">
        <v>1705</v>
      </c>
      <c r="AH42" s="326" t="s">
        <v>1710</v>
      </c>
      <c r="AO42" s="326" t="s">
        <v>1634</v>
      </c>
      <c r="AQ42" s="326">
        <v>4060</v>
      </c>
      <c r="AR42" s="326" t="s">
        <v>1632</v>
      </c>
      <c r="AV42" s="326" t="b">
        <v>1</v>
      </c>
      <c r="AW42" s="334" t="b">
        <v>1</v>
      </c>
      <c r="AY42" s="334"/>
      <c r="AZ42" t="b">
        <v>1</v>
      </c>
      <c r="BA42" s="334" t="b">
        <v>1</v>
      </c>
    </row>
    <row r="43" spans="1:53">
      <c r="A43" s="277" t="s">
        <v>1633</v>
      </c>
      <c r="B43" s="334" t="str">
        <f>'Breuker in press NP'!A8</f>
        <v>North Pond 13501</v>
      </c>
      <c r="C43" s="334">
        <f>'Breuker in press NP'!B8</f>
        <v>224.24901148736001</v>
      </c>
      <c r="D43" s="301">
        <f>'Breuker in press NP'!C8</f>
        <v>527962.09039689496</v>
      </c>
      <c r="I43" s="301">
        <f>'Breuker in press NP'!F8</f>
        <v>13684.586601685354</v>
      </c>
      <c r="J43" s="301">
        <f>'Breuker in press NP'!G8</f>
        <v>271420.80292295548</v>
      </c>
      <c r="K43" s="301">
        <f>I43+J43</f>
        <v>285105.38952464086</v>
      </c>
      <c r="N43" s="27">
        <f>J43/K43</f>
        <v>0.95200165586311136</v>
      </c>
      <c r="O43" s="228"/>
      <c r="P43" s="323"/>
      <c r="R43" s="304" t="s">
        <v>1584</v>
      </c>
      <c r="S43" s="303" t="s">
        <v>141</v>
      </c>
      <c r="V43" s="334"/>
      <c r="W43" s="334"/>
      <c r="X43" s="334"/>
      <c r="Y43" s="334"/>
      <c r="Z43" s="334"/>
      <c r="AA43" s="326" t="s">
        <v>1411</v>
      </c>
      <c r="AD43" s="326" t="s">
        <v>1717</v>
      </c>
      <c r="AE43" s="326" t="s">
        <v>1724</v>
      </c>
      <c r="AG43" s="326" t="s">
        <v>1705</v>
      </c>
      <c r="AH43" s="326" t="s">
        <v>1710</v>
      </c>
      <c r="AO43" s="326" t="s">
        <v>1634</v>
      </c>
      <c r="AP43" s="321"/>
      <c r="AQ43" s="326">
        <v>4060</v>
      </c>
      <c r="AR43" s="326" t="s">
        <v>1632</v>
      </c>
      <c r="AV43" s="326" t="b">
        <v>1</v>
      </c>
      <c r="AW43" s="334" t="b">
        <v>1</v>
      </c>
      <c r="AY43" s="334"/>
      <c r="AZ43" t="b">
        <v>1</v>
      </c>
      <c r="BA43" s="334" t="b">
        <v>1</v>
      </c>
    </row>
    <row r="44" spans="1:53">
      <c r="A44" s="277" t="s">
        <v>1633</v>
      </c>
      <c r="B44" s="334" t="str">
        <f>'Breuker in press NP'!A12</f>
        <v>North Pond 13501</v>
      </c>
      <c r="C44" s="334">
        <f>'Breuker in press NP'!B12</f>
        <v>272.196090924423</v>
      </c>
      <c r="D44" s="301">
        <f>'Breuker in press NP'!C12</f>
        <v>143725.638467991</v>
      </c>
      <c r="I44" s="301">
        <f>'Breuker in press NP'!F12</f>
        <v>6680.2636343333843</v>
      </c>
      <c r="J44" s="301">
        <f>'Breuker in press NP'!G12</f>
        <v>71833.168090392894</v>
      </c>
      <c r="K44" s="301">
        <f>I44+J44</f>
        <v>78513.431724726281</v>
      </c>
      <c r="N44" s="27">
        <f>J44/K44</f>
        <v>0.91491565853655632</v>
      </c>
      <c r="O44" s="228"/>
      <c r="P44" s="289"/>
      <c r="R44" s="304" t="s">
        <v>1584</v>
      </c>
      <c r="S44" s="303" t="s">
        <v>141</v>
      </c>
      <c r="V44" s="334"/>
      <c r="W44" s="334"/>
      <c r="X44" s="334"/>
      <c r="Y44" s="328"/>
      <c r="Z44" s="334"/>
      <c r="AA44" s="326" t="s">
        <v>1411</v>
      </c>
      <c r="AD44" s="326" t="s">
        <v>1717</v>
      </c>
      <c r="AE44" s="326" t="s">
        <v>1724</v>
      </c>
      <c r="AG44" s="326" t="s">
        <v>1705</v>
      </c>
      <c r="AH44" s="326" t="s">
        <v>1710</v>
      </c>
      <c r="AO44" s="326" t="s">
        <v>1634</v>
      </c>
      <c r="AP44" s="321"/>
      <c r="AQ44" s="326">
        <v>4060</v>
      </c>
      <c r="AR44" s="326" t="s">
        <v>1632</v>
      </c>
      <c r="AV44" s="326" t="b">
        <v>1</v>
      </c>
      <c r="AW44" s="334" t="b">
        <v>1</v>
      </c>
      <c r="AY44" s="334"/>
      <c r="AZ44" t="b">
        <v>1</v>
      </c>
      <c r="BA44" s="334" t="b">
        <v>1</v>
      </c>
    </row>
    <row r="45" spans="1:53">
      <c r="A45" s="277" t="s">
        <v>1633</v>
      </c>
      <c r="B45" s="334" t="str">
        <f>'Breuker in press NP'!A13</f>
        <v>North Pond 13501</v>
      </c>
      <c r="C45" s="334">
        <f>'Breuker in press NP'!B13</f>
        <v>279.99550250173297</v>
      </c>
      <c r="D45" s="301">
        <f>'Breuker in press NP'!C13</f>
        <v>344882.55946842598</v>
      </c>
      <c r="J45" s="301">
        <f>'Breuker in press NP'!G13</f>
        <v>219770.65199720097</v>
      </c>
      <c r="O45" s="228"/>
      <c r="P45" s="289"/>
      <c r="R45" s="304" t="s">
        <v>1584</v>
      </c>
      <c r="S45" s="303" t="s">
        <v>141</v>
      </c>
      <c r="V45" s="334"/>
      <c r="W45" s="334"/>
      <c r="X45" s="334"/>
      <c r="Y45" s="328"/>
      <c r="Z45" s="334"/>
      <c r="AA45" s="326" t="s">
        <v>1411</v>
      </c>
      <c r="AD45" s="326" t="s">
        <v>1717</v>
      </c>
      <c r="AE45" s="326" t="s">
        <v>1724</v>
      </c>
      <c r="AG45" s="326" t="s">
        <v>1705</v>
      </c>
      <c r="AH45" s="326" t="s">
        <v>1710</v>
      </c>
      <c r="AO45" s="326" t="s">
        <v>1634</v>
      </c>
      <c r="AP45" s="321"/>
      <c r="AQ45" s="326">
        <v>4060</v>
      </c>
      <c r="AR45" s="326" t="s">
        <v>1632</v>
      </c>
      <c r="AV45" s="326" t="b">
        <v>1</v>
      </c>
      <c r="AW45" s="334" t="b">
        <v>1</v>
      </c>
      <c r="AY45" s="334"/>
      <c r="AZ45" t="b">
        <v>1</v>
      </c>
      <c r="BA45" s="334" t="b">
        <v>1</v>
      </c>
    </row>
    <row r="46" spans="1:53">
      <c r="A46" s="277" t="s">
        <v>1633</v>
      </c>
      <c r="B46" s="334" t="str">
        <f>'Breuker in press NP'!A14</f>
        <v>North Pond 13501</v>
      </c>
      <c r="C46" s="334">
        <f>'Breuker in press NP'!B14</f>
        <v>323.62873151809299</v>
      </c>
      <c r="D46" s="301">
        <f>'Breuker in press NP'!C14</f>
        <v>140365.46669510801</v>
      </c>
      <c r="J46" s="301">
        <f>'Breuker in press NP'!G14</f>
        <v>544089.36018575553</v>
      </c>
      <c r="O46" s="228"/>
      <c r="P46" s="289"/>
      <c r="R46" s="304" t="s">
        <v>1584</v>
      </c>
      <c r="S46" s="303" t="s">
        <v>141</v>
      </c>
      <c r="V46" s="334"/>
      <c r="W46" s="334"/>
      <c r="X46" s="334"/>
      <c r="Y46" s="328"/>
      <c r="Z46" s="334"/>
      <c r="AA46" s="326" t="s">
        <v>1411</v>
      </c>
      <c r="AD46" s="326" t="s">
        <v>1717</v>
      </c>
      <c r="AE46" s="326" t="s">
        <v>1724</v>
      </c>
      <c r="AG46" s="326" t="s">
        <v>1705</v>
      </c>
      <c r="AH46" s="326" t="s">
        <v>1710</v>
      </c>
      <c r="AO46" s="326" t="s">
        <v>1634</v>
      </c>
      <c r="AP46" s="321"/>
      <c r="AQ46" s="326">
        <v>4060</v>
      </c>
      <c r="AR46" s="326" t="s">
        <v>1632</v>
      </c>
      <c r="AV46" s="326" t="b">
        <v>1</v>
      </c>
      <c r="AW46" s="334" t="b">
        <v>1</v>
      </c>
      <c r="AY46" s="334"/>
      <c r="AZ46" t="b">
        <v>1</v>
      </c>
      <c r="BA46" s="334" t="b">
        <v>1</v>
      </c>
    </row>
    <row r="47" spans="1:53">
      <c r="A47" s="277" t="s">
        <v>1633</v>
      </c>
      <c r="B47" s="334" t="str">
        <f>'Breuker in press NP'!A15</f>
        <v>North Pond 13501</v>
      </c>
      <c r="C47" s="334">
        <f>'Breuker in press NP'!B15</f>
        <v>373.90701422333802</v>
      </c>
      <c r="D47" s="301">
        <f>'Breuker in press NP'!C15</f>
        <v>93886.411463390497</v>
      </c>
      <c r="H47" s="336"/>
      <c r="J47" s="301">
        <f>'Breuker in press NP'!G15</f>
        <v>251841.14751991647</v>
      </c>
      <c r="O47" s="228"/>
      <c r="P47" s="289"/>
      <c r="R47" s="304" t="s">
        <v>1584</v>
      </c>
      <c r="S47" s="303" t="s">
        <v>141</v>
      </c>
      <c r="V47" s="334"/>
      <c r="W47" s="334"/>
      <c r="X47" s="334"/>
      <c r="Y47" s="328"/>
      <c r="Z47" s="334"/>
      <c r="AA47" s="326" t="s">
        <v>1411</v>
      </c>
      <c r="AD47" s="326" t="s">
        <v>1717</v>
      </c>
      <c r="AE47" s="326" t="s">
        <v>1724</v>
      </c>
      <c r="AG47" s="326" t="s">
        <v>1705</v>
      </c>
      <c r="AH47" s="326" t="s">
        <v>1710</v>
      </c>
      <c r="AO47" s="326" t="s">
        <v>1634</v>
      </c>
      <c r="AP47" s="321"/>
      <c r="AQ47" s="326">
        <v>4060</v>
      </c>
      <c r="AR47" s="326" t="s">
        <v>1632</v>
      </c>
      <c r="AV47" s="326" t="b">
        <v>1</v>
      </c>
      <c r="AW47" s="334" t="b">
        <v>1</v>
      </c>
      <c r="AY47" s="334"/>
      <c r="AZ47" t="b">
        <v>1</v>
      </c>
      <c r="BA47" s="334" t="b">
        <v>1</v>
      </c>
    </row>
    <row r="48" spans="1:53">
      <c r="A48" s="277" t="s">
        <v>1633</v>
      </c>
      <c r="B48" s="334" t="str">
        <f>'Breuker in press NP'!A16</f>
        <v>North Pond 13501</v>
      </c>
      <c r="C48" s="334">
        <f>'Breuker in press NP'!B16</f>
        <v>424.31647396135901</v>
      </c>
      <c r="D48" s="301">
        <f>'Breuker in press NP'!C16</f>
        <v>143725.638467991</v>
      </c>
      <c r="J48" s="301">
        <f>'Breuker in press NP'!G16</f>
        <v>232904.08419647248</v>
      </c>
      <c r="O48" s="228"/>
      <c r="P48" s="304"/>
      <c r="R48" s="304" t="s">
        <v>1584</v>
      </c>
      <c r="S48" s="303" t="s">
        <v>141</v>
      </c>
      <c r="V48" s="334"/>
      <c r="W48" s="334"/>
      <c r="X48" s="334"/>
      <c r="Y48" s="334"/>
      <c r="Z48" s="334"/>
      <c r="AA48" s="326" t="s">
        <v>1411</v>
      </c>
      <c r="AD48" s="326" t="s">
        <v>1717</v>
      </c>
      <c r="AE48" s="326" t="s">
        <v>1724</v>
      </c>
      <c r="AG48" s="326" t="s">
        <v>1705</v>
      </c>
      <c r="AH48" s="326" t="s">
        <v>1710</v>
      </c>
      <c r="AO48" s="326" t="s">
        <v>1634</v>
      </c>
      <c r="AP48" s="321"/>
      <c r="AQ48" s="326">
        <v>4060</v>
      </c>
      <c r="AR48" s="326" t="s">
        <v>1632</v>
      </c>
      <c r="AV48" s="326" t="b">
        <v>1</v>
      </c>
      <c r="AW48" s="334" t="b">
        <v>1</v>
      </c>
      <c r="AY48" s="334"/>
      <c r="AZ48" t="b">
        <v>1</v>
      </c>
      <c r="BA48" s="334" t="b">
        <v>1</v>
      </c>
    </row>
    <row r="49" spans="1:53">
      <c r="A49" s="277" t="s">
        <v>1633</v>
      </c>
      <c r="B49" s="334" t="str">
        <f>'Breuker in press NP'!A17</f>
        <v>North Pond 13501</v>
      </c>
      <c r="C49" s="334">
        <f>'Breuker in press NP'!B17</f>
        <v>474.72593369937903</v>
      </c>
      <c r="D49" s="301">
        <f>'Breuker in press NP'!C17</f>
        <v>220021.82031514301</v>
      </c>
      <c r="J49" s="301">
        <f>'Breuker in press NP'!G17</f>
        <v>198851.79445179002</v>
      </c>
      <c r="O49" s="228"/>
      <c r="P49" s="304"/>
      <c r="R49" s="304" t="s">
        <v>1584</v>
      </c>
      <c r="S49" s="303" t="s">
        <v>141</v>
      </c>
      <c r="V49" s="334"/>
      <c r="W49" s="334"/>
      <c r="X49" s="334"/>
      <c r="Y49" s="328"/>
      <c r="Z49" s="334"/>
      <c r="AA49" s="326" t="s">
        <v>1411</v>
      </c>
      <c r="AD49" s="326" t="s">
        <v>1717</v>
      </c>
      <c r="AE49" s="326" t="s">
        <v>1724</v>
      </c>
      <c r="AG49" s="326" t="s">
        <v>1705</v>
      </c>
      <c r="AH49" s="326" t="s">
        <v>1710</v>
      </c>
      <c r="AO49" s="326" t="s">
        <v>1634</v>
      </c>
      <c r="AP49" s="321"/>
      <c r="AQ49" s="326">
        <v>4060</v>
      </c>
      <c r="AR49" s="326" t="s">
        <v>1632</v>
      </c>
      <c r="AV49" s="326" t="b">
        <v>1</v>
      </c>
      <c r="AW49" s="334" t="b">
        <v>1</v>
      </c>
      <c r="AY49" s="334"/>
      <c r="AZ49" t="b">
        <v>1</v>
      </c>
      <c r="BA49" s="334" t="b">
        <v>1</v>
      </c>
    </row>
    <row r="50" spans="1:53">
      <c r="A50" s="277" t="s">
        <v>1633</v>
      </c>
      <c r="B50" s="334" t="str">
        <f>'Breuker in press NP'!A18</f>
        <v>North Pond 13501</v>
      </c>
      <c r="C50" s="334">
        <f>'Breuker in press NP'!B18</f>
        <v>526.20354927571498</v>
      </c>
      <c r="D50" s="301">
        <f>'Breuker in press NP'!C18</f>
        <v>285416.74702466402</v>
      </c>
      <c r="J50" s="301">
        <f>'Breuker in press NP'!G18</f>
        <v>126686.4650909226</v>
      </c>
      <c r="O50" s="228"/>
      <c r="P50" s="304"/>
      <c r="R50" s="304" t="s">
        <v>1584</v>
      </c>
      <c r="S50" s="303" t="s">
        <v>141</v>
      </c>
      <c r="V50" s="334"/>
      <c r="W50" s="334"/>
      <c r="X50" s="334"/>
      <c r="Y50" s="328"/>
      <c r="Z50" s="334"/>
      <c r="AA50" s="326" t="s">
        <v>1411</v>
      </c>
      <c r="AD50" s="326" t="s">
        <v>1717</v>
      </c>
      <c r="AE50" s="326" t="s">
        <v>1724</v>
      </c>
      <c r="AG50" s="326" t="s">
        <v>1705</v>
      </c>
      <c r="AH50" s="326" t="s">
        <v>1710</v>
      </c>
      <c r="AO50" s="326" t="s">
        <v>1634</v>
      </c>
      <c r="AP50" s="321"/>
      <c r="AQ50" s="326">
        <v>4060</v>
      </c>
      <c r="AR50" s="326" t="s">
        <v>1632</v>
      </c>
      <c r="AV50" s="326" t="b">
        <v>1</v>
      </c>
      <c r="AW50" s="334" t="b">
        <v>1</v>
      </c>
      <c r="AY50" s="334"/>
      <c r="AZ50" t="b">
        <v>1</v>
      </c>
      <c r="BA50" s="334" t="b">
        <v>1</v>
      </c>
    </row>
    <row r="51" spans="1:53">
      <c r="A51" s="277" t="s">
        <v>1633</v>
      </c>
      <c r="B51" s="334" t="str">
        <f>'Breuker in press NP'!A19</f>
        <v>North Pond 13501</v>
      </c>
      <c r="C51" s="334">
        <f>'Breuker in press NP'!B19</f>
        <v>574.19560369544399</v>
      </c>
      <c r="D51" s="301">
        <f>'Breuker in press NP'!C19</f>
        <v>103204.49904927801</v>
      </c>
      <c r="H51" s="336"/>
      <c r="J51" s="301">
        <f>'Breuker in press NP'!G19</f>
        <v>105326.54988857731</v>
      </c>
      <c r="O51" s="228"/>
      <c r="P51" s="304"/>
      <c r="R51" s="304" t="s">
        <v>1584</v>
      </c>
      <c r="S51" s="303" t="s">
        <v>141</v>
      </c>
      <c r="V51" s="334"/>
      <c r="W51" s="334"/>
      <c r="X51" s="334"/>
      <c r="Y51" s="328"/>
      <c r="Z51" s="334"/>
      <c r="AA51" s="326" t="s">
        <v>1411</v>
      </c>
      <c r="AD51" s="326" t="s">
        <v>1717</v>
      </c>
      <c r="AE51" s="326" t="s">
        <v>1724</v>
      </c>
      <c r="AG51" s="326" t="s">
        <v>1705</v>
      </c>
      <c r="AH51" s="326" t="s">
        <v>1710</v>
      </c>
      <c r="AO51" s="326" t="s">
        <v>1634</v>
      </c>
      <c r="AP51" s="321"/>
      <c r="AQ51" s="326">
        <v>4060</v>
      </c>
      <c r="AR51" s="326" t="s">
        <v>1632</v>
      </c>
      <c r="AV51" s="326" t="b">
        <v>1</v>
      </c>
      <c r="AW51" s="334" t="b">
        <v>1</v>
      </c>
      <c r="AY51" s="334"/>
      <c r="AZ51" t="b">
        <v>1</v>
      </c>
      <c r="BA51" s="334" t="b">
        <v>1</v>
      </c>
    </row>
    <row r="52" spans="1:53">
      <c r="A52" s="277" t="s">
        <v>1633</v>
      </c>
      <c r="B52" s="334" t="str">
        <f>'Breuker in press NP'!A22</f>
        <v>North Pond 13501</v>
      </c>
      <c r="C52" s="334">
        <f>'Breuker in press NP'!B22</f>
        <v>714.37138091936299</v>
      </c>
      <c r="D52" s="301">
        <f>'Breuker in press NP'!C22</f>
        <v>186443.79969595899</v>
      </c>
      <c r="J52" s="301">
        <f>'Breuker in press NP'!G22</f>
        <v>42803.63737013685</v>
      </c>
      <c r="O52" s="228"/>
      <c r="P52" s="322"/>
      <c r="R52" s="304" t="s">
        <v>1584</v>
      </c>
      <c r="S52" s="303" t="s">
        <v>141</v>
      </c>
      <c r="V52" s="334"/>
      <c r="W52" s="334"/>
      <c r="X52" s="334"/>
      <c r="Y52" s="328"/>
      <c r="Z52" s="334"/>
      <c r="AA52" s="326" t="s">
        <v>1411</v>
      </c>
      <c r="AD52" s="326" t="s">
        <v>1717</v>
      </c>
      <c r="AE52" s="326" t="s">
        <v>1724</v>
      </c>
      <c r="AG52" s="326" t="s">
        <v>1705</v>
      </c>
      <c r="AH52" s="326" t="s">
        <v>1710</v>
      </c>
      <c r="AO52" s="326" t="s">
        <v>1634</v>
      </c>
      <c r="AP52" s="321"/>
      <c r="AQ52" s="326">
        <v>4060</v>
      </c>
      <c r="AR52" s="326" t="s">
        <v>1632</v>
      </c>
      <c r="AV52" s="326" t="b">
        <v>1</v>
      </c>
      <c r="AW52" s="334" t="b">
        <v>1</v>
      </c>
      <c r="AY52" s="334"/>
      <c r="AZ52" t="b">
        <v>1</v>
      </c>
      <c r="BA52" s="334" t="b">
        <v>1</v>
      </c>
    </row>
    <row r="53" spans="1:53">
      <c r="A53" s="277" t="s">
        <v>1633</v>
      </c>
      <c r="B53" s="334" t="str">
        <f>'Breuker in press NP'!A23</f>
        <v>North Pond 13501</v>
      </c>
      <c r="C53" s="334">
        <f>'Breuker in press NP'!B23</f>
        <v>721.01643460824903</v>
      </c>
      <c r="D53" s="301">
        <f>'Breuker in press NP'!C23</f>
        <v>306408.89586203301</v>
      </c>
      <c r="J53" s="301">
        <f>'Breuker in press NP'!G23</f>
        <v>22006.093514121152</v>
      </c>
      <c r="O53" s="228"/>
      <c r="P53" s="322"/>
      <c r="R53" s="304" t="s">
        <v>1584</v>
      </c>
      <c r="S53" s="303" t="s">
        <v>141</v>
      </c>
      <c r="V53" s="334"/>
      <c r="W53" s="334"/>
      <c r="X53" s="334"/>
      <c r="Y53" s="328"/>
      <c r="Z53" s="334"/>
      <c r="AA53" s="326" t="s">
        <v>1411</v>
      </c>
      <c r="AD53" s="326" t="s">
        <v>1717</v>
      </c>
      <c r="AE53" s="326" t="s">
        <v>1724</v>
      </c>
      <c r="AG53" s="326" t="s">
        <v>1705</v>
      </c>
      <c r="AH53" s="326" t="s">
        <v>1710</v>
      </c>
      <c r="AO53" s="326" t="s">
        <v>1634</v>
      </c>
      <c r="AP53" s="321"/>
      <c r="AQ53" s="326">
        <v>4060</v>
      </c>
      <c r="AR53" s="326" t="s">
        <v>1632</v>
      </c>
      <c r="AV53" s="326" t="b">
        <v>1</v>
      </c>
      <c r="AW53" s="334" t="b">
        <v>1</v>
      </c>
      <c r="AY53" s="334"/>
      <c r="AZ53" t="b">
        <v>1</v>
      </c>
      <c r="BA53" s="334" t="b">
        <v>1</v>
      </c>
    </row>
    <row r="54" spans="1:53">
      <c r="A54" s="277" t="s">
        <v>1633</v>
      </c>
      <c r="B54" s="334" t="str">
        <f>'Breuker in press NP'!A24</f>
        <v>North Pond 13501</v>
      </c>
      <c r="C54" s="334">
        <f>'Breuker in press NP'!B24</f>
        <v>762.53443526170804</v>
      </c>
      <c r="J54" s="301">
        <f>'Breuker in press NP'!G24</f>
        <v>65642.372621201852</v>
      </c>
      <c r="O54" s="228"/>
      <c r="P54" s="334"/>
      <c r="R54" s="304" t="s">
        <v>1584</v>
      </c>
      <c r="S54" s="303" t="s">
        <v>141</v>
      </c>
      <c r="V54" s="334"/>
      <c r="W54" s="334"/>
      <c r="X54" s="334"/>
      <c r="Y54" s="334"/>
      <c r="Z54" s="334"/>
      <c r="AA54" s="326" t="s">
        <v>1411</v>
      </c>
      <c r="AD54" s="326" t="s">
        <v>1717</v>
      </c>
      <c r="AE54" s="326" t="s">
        <v>1724</v>
      </c>
      <c r="AG54" s="326" t="s">
        <v>1705</v>
      </c>
      <c r="AH54" s="326" t="s">
        <v>1710</v>
      </c>
      <c r="AO54" s="326" t="s">
        <v>1634</v>
      </c>
      <c r="AP54" s="321"/>
      <c r="AQ54" s="326">
        <v>4060</v>
      </c>
      <c r="AR54" s="326" t="s">
        <v>1632</v>
      </c>
      <c r="AV54" s="326" t="b">
        <v>1</v>
      </c>
      <c r="AW54" s="334" t="b">
        <v>1</v>
      </c>
      <c r="AY54" s="334"/>
      <c r="AZ54" t="b">
        <v>1</v>
      </c>
      <c r="BA54" s="334" t="b">
        <v>1</v>
      </c>
    </row>
    <row r="55" spans="1:53">
      <c r="A55" s="277" t="s">
        <v>1633</v>
      </c>
      <c r="B55" s="327" t="str">
        <f>'Breuker in press NP'!A25</f>
        <v>North Pond 13502</v>
      </c>
      <c r="C55" s="334">
        <f>'Breuker in press NP'!B25</f>
        <v>8.1442197777487308</v>
      </c>
      <c r="D55" s="301">
        <f>'Breuker in press NP'!C25</f>
        <v>21151563.0271759</v>
      </c>
      <c r="J55" s="301">
        <f>'Breuker in press NP'!G25</f>
        <v>7920090.690321764</v>
      </c>
      <c r="O55" s="228"/>
      <c r="P55" s="304"/>
      <c r="R55" s="304" t="s">
        <v>1584</v>
      </c>
      <c r="S55" s="303" t="s">
        <v>141</v>
      </c>
      <c r="V55" s="334"/>
      <c r="W55" s="334"/>
      <c r="X55" s="334"/>
      <c r="Y55" s="328"/>
      <c r="Z55" s="334"/>
      <c r="AA55" s="326" t="s">
        <v>1411</v>
      </c>
      <c r="AD55" s="326" t="s">
        <v>1717</v>
      </c>
      <c r="AE55" s="326" t="s">
        <v>1724</v>
      </c>
      <c r="AG55" s="326" t="s">
        <v>1705</v>
      </c>
      <c r="AH55" s="326" t="s">
        <v>1710</v>
      </c>
      <c r="AO55" s="326" t="s">
        <v>1634</v>
      </c>
      <c r="AP55" s="321"/>
      <c r="AQ55" s="326">
        <v>4060</v>
      </c>
      <c r="AR55" s="326" t="s">
        <v>1632</v>
      </c>
      <c r="AV55" s="326" t="b">
        <v>1</v>
      </c>
      <c r="AW55" s="334" t="b">
        <v>1</v>
      </c>
      <c r="AY55" s="334"/>
      <c r="AZ55" t="b">
        <v>1</v>
      </c>
      <c r="BA55" s="334" t="b">
        <v>1</v>
      </c>
    </row>
    <row r="56" spans="1:53">
      <c r="A56" s="277" t="s">
        <v>1633</v>
      </c>
      <c r="B56" s="334" t="str">
        <f>'Breuker in press NP'!A26</f>
        <v>North Pond 13502</v>
      </c>
      <c r="C56" s="334">
        <f>'Breuker in press NP'!B26</f>
        <v>39.604220152540201</v>
      </c>
      <c r="D56" s="301">
        <f>'Breuker in press NP'!C26</f>
        <v>3673402.29637925</v>
      </c>
      <c r="I56" s="301">
        <f>'Breuker in press NP'!F26</f>
        <v>102841.68821199513</v>
      </c>
      <c r="J56" s="301">
        <f>'Breuker in press NP'!G26</f>
        <v>1521938.45992389</v>
      </c>
      <c r="K56" s="301">
        <f>I56+J56</f>
        <v>1624780.1481358851</v>
      </c>
      <c r="N56" s="27">
        <f>J56/K56</f>
        <v>0.9367042437526174</v>
      </c>
      <c r="O56" s="228"/>
      <c r="P56" s="304"/>
      <c r="R56" s="304" t="s">
        <v>1584</v>
      </c>
      <c r="S56" s="303" t="s">
        <v>141</v>
      </c>
      <c r="V56" s="334"/>
      <c r="W56" s="334"/>
      <c r="X56" s="334"/>
      <c r="Y56" s="319"/>
      <c r="Z56" s="334"/>
      <c r="AA56" s="326" t="s">
        <v>1411</v>
      </c>
      <c r="AD56" s="326" t="s">
        <v>1717</v>
      </c>
      <c r="AE56" s="326" t="s">
        <v>1724</v>
      </c>
      <c r="AG56" s="326" t="s">
        <v>1705</v>
      </c>
      <c r="AH56" s="326" t="s">
        <v>1710</v>
      </c>
      <c r="AO56" s="326" t="s">
        <v>1634</v>
      </c>
      <c r="AP56" s="322"/>
      <c r="AQ56" s="326">
        <v>4060</v>
      </c>
      <c r="AR56" s="326" t="s">
        <v>1632</v>
      </c>
      <c r="AV56" s="326" t="b">
        <v>1</v>
      </c>
      <c r="AW56" s="334" t="b">
        <v>1</v>
      </c>
      <c r="AY56" s="334"/>
      <c r="AZ56" t="b">
        <v>1</v>
      </c>
      <c r="BA56" s="334" t="b">
        <v>1</v>
      </c>
    </row>
    <row r="57" spans="1:53">
      <c r="A57" s="277" t="s">
        <v>1633</v>
      </c>
      <c r="B57" s="334" t="str">
        <f>'Breuker in press NP'!A27</f>
        <v>North Pond 13502</v>
      </c>
      <c r="C57" s="334">
        <f>'Breuker in press NP'!B27</f>
        <v>76.521185090793196</v>
      </c>
      <c r="D57" s="301">
        <f>'Breuker in press NP'!C27</f>
        <v>580361.54760977405</v>
      </c>
      <c r="I57" s="301">
        <f>'Breuker in press NP'!F27</f>
        <v>228839.72457754117</v>
      </c>
      <c r="J57" s="301">
        <f>'Breuker in press NP'!G27</f>
        <v>742676.65642076393</v>
      </c>
      <c r="K57" s="301">
        <f>I57+J57</f>
        <v>971516.38099830505</v>
      </c>
      <c r="N57" s="27">
        <f>J57/K57</f>
        <v>0.76445098708228543</v>
      </c>
      <c r="O57" s="228"/>
      <c r="P57" s="334"/>
      <c r="R57" s="304" t="s">
        <v>1584</v>
      </c>
      <c r="S57" s="303" t="s">
        <v>141</v>
      </c>
      <c r="V57" s="334"/>
      <c r="W57" s="334"/>
      <c r="X57" s="334"/>
      <c r="Y57" s="319"/>
      <c r="Z57" s="334"/>
      <c r="AA57" s="326" t="s">
        <v>1411</v>
      </c>
      <c r="AD57" s="326" t="s">
        <v>1717</v>
      </c>
      <c r="AE57" s="326" t="s">
        <v>1724</v>
      </c>
      <c r="AG57" s="326" t="s">
        <v>1705</v>
      </c>
      <c r="AH57" s="326" t="s">
        <v>1710</v>
      </c>
      <c r="AO57" s="326" t="s">
        <v>1634</v>
      </c>
      <c r="AP57" s="322"/>
      <c r="AQ57" s="326">
        <v>4060</v>
      </c>
      <c r="AR57" s="326" t="s">
        <v>1632</v>
      </c>
      <c r="AV57" s="326" t="b">
        <v>1</v>
      </c>
      <c r="AW57" s="334" t="b">
        <v>1</v>
      </c>
      <c r="AY57" s="334"/>
      <c r="AZ57" t="b">
        <v>1</v>
      </c>
      <c r="BA57" s="334" t="b">
        <v>1</v>
      </c>
    </row>
    <row r="58" spans="1:53">
      <c r="A58" s="277" t="s">
        <v>1633</v>
      </c>
      <c r="B58" s="327" t="str">
        <f>'Breuker in press NP'!A28</f>
        <v>North Pond 13502</v>
      </c>
      <c r="C58" s="334">
        <f>'Breuker in press NP'!B28</f>
        <v>126.84444277870401</v>
      </c>
      <c r="D58" s="301">
        <f>'Breuker in press NP'!C28</f>
        <v>515618.82769015798</v>
      </c>
      <c r="I58" s="301">
        <f>'Breuker in press NP'!F28</f>
        <v>11022.930407356353</v>
      </c>
      <c r="J58" s="301">
        <f>'Breuker in press NP'!G28</f>
        <v>243202.039427868</v>
      </c>
      <c r="K58" s="301">
        <f>I58+J58</f>
        <v>254224.96983522436</v>
      </c>
      <c r="N58" s="27">
        <f>J58/K58</f>
        <v>0.9566410395701852</v>
      </c>
      <c r="O58" s="228"/>
      <c r="P58" s="304"/>
      <c r="R58" s="304" t="s">
        <v>1584</v>
      </c>
      <c r="S58" t="s">
        <v>141</v>
      </c>
      <c r="V58" s="334"/>
      <c r="W58" s="334"/>
      <c r="X58" s="334"/>
      <c r="Y58" s="328"/>
      <c r="Z58" s="334"/>
      <c r="AA58" s="326" t="s">
        <v>1411</v>
      </c>
      <c r="AD58" s="326" t="s">
        <v>1717</v>
      </c>
      <c r="AE58" s="326" t="s">
        <v>1724</v>
      </c>
      <c r="AG58" s="326" t="s">
        <v>1705</v>
      </c>
      <c r="AH58" s="326" t="s">
        <v>1710</v>
      </c>
      <c r="AO58" s="326" t="s">
        <v>1634</v>
      </c>
      <c r="AP58" s="322"/>
      <c r="AQ58" s="326">
        <v>4060</v>
      </c>
      <c r="AR58" s="326" t="s">
        <v>1632</v>
      </c>
      <c r="AV58" s="326" t="b">
        <v>1</v>
      </c>
      <c r="AW58" s="334" t="b">
        <v>1</v>
      </c>
      <c r="AY58" s="334"/>
      <c r="AZ58" t="b">
        <v>1</v>
      </c>
      <c r="BA58" s="334" t="b">
        <v>1</v>
      </c>
    </row>
    <row r="59" spans="1:53">
      <c r="A59" s="277" t="s">
        <v>1633</v>
      </c>
      <c r="B59" s="334" t="str">
        <f>'Breuker in press NP'!A29</f>
        <v>North Pond 13502</v>
      </c>
      <c r="C59" s="334">
        <f>'Breuker in press NP'!B29</f>
        <v>176.41062159173899</v>
      </c>
      <c r="D59" s="301">
        <f>'Breuker in press NP'!C29</f>
        <v>3851380.59903546</v>
      </c>
      <c r="I59" s="301">
        <f>'Breuker in press NP'!F29</f>
        <v>62302.646578359236</v>
      </c>
      <c r="J59" s="301">
        <f>'Breuker in press NP'!G29</f>
        <v>167822.4269261235</v>
      </c>
      <c r="K59" s="301">
        <f>I59+J59</f>
        <v>230125.07350448275</v>
      </c>
      <c r="N59" s="27">
        <f>J59/K59</f>
        <v>0.72926615240322512</v>
      </c>
      <c r="O59" s="228"/>
      <c r="P59" s="304"/>
      <c r="R59" s="304" t="s">
        <v>1584</v>
      </c>
      <c r="S59" t="s">
        <v>141</v>
      </c>
      <c r="V59" s="334"/>
      <c r="W59" s="334"/>
      <c r="X59" s="334"/>
      <c r="Y59" s="334"/>
      <c r="Z59" s="334"/>
      <c r="AA59" s="326" t="s">
        <v>1411</v>
      </c>
      <c r="AD59" s="326" t="s">
        <v>1717</v>
      </c>
      <c r="AE59" s="326" t="s">
        <v>1724</v>
      </c>
      <c r="AG59" s="326" t="s">
        <v>1705</v>
      </c>
      <c r="AH59" s="326" t="s">
        <v>1710</v>
      </c>
      <c r="AO59" s="326" t="s">
        <v>1634</v>
      </c>
      <c r="AP59" s="322"/>
      <c r="AQ59" s="326">
        <v>4060</v>
      </c>
      <c r="AR59" s="326" t="s">
        <v>1632</v>
      </c>
      <c r="AV59" s="326" t="b">
        <v>1</v>
      </c>
      <c r="AW59" s="334" t="b">
        <v>1</v>
      </c>
      <c r="AY59" s="334"/>
      <c r="AZ59" t="b">
        <v>1</v>
      </c>
      <c r="BA59" s="334" t="b">
        <v>1</v>
      </c>
    </row>
    <row r="60" spans="1:53">
      <c r="A60" s="277" t="s">
        <v>1633</v>
      </c>
      <c r="B60" s="334" t="str">
        <f>'Breuker in press NP'!A30</f>
        <v>North Pond 13502</v>
      </c>
      <c r="C60" s="334">
        <f>'Breuker in press NP'!B30</f>
        <v>226.302869029102</v>
      </c>
      <c r="D60" s="301">
        <f>'Breuker in press NP'!C30</f>
        <v>225288.86446388101</v>
      </c>
      <c r="J60" s="301">
        <f>'Breuker in press NP'!G30</f>
        <v>159384.16879528199</v>
      </c>
      <c r="O60" s="228"/>
      <c r="P60" s="304"/>
      <c r="R60" s="304" t="s">
        <v>1584</v>
      </c>
      <c r="S60" t="s">
        <v>141</v>
      </c>
      <c r="V60" s="334"/>
      <c r="W60" s="334"/>
      <c r="X60" s="334"/>
      <c r="Z60" s="334"/>
      <c r="AA60" s="326" t="s">
        <v>1411</v>
      </c>
      <c r="AD60" s="326" t="s">
        <v>1717</v>
      </c>
      <c r="AE60" s="326" t="s">
        <v>1724</v>
      </c>
      <c r="AG60" s="326" t="s">
        <v>1705</v>
      </c>
      <c r="AH60" s="326" t="s">
        <v>1710</v>
      </c>
      <c r="AO60" s="326" t="s">
        <v>1634</v>
      </c>
      <c r="AP60" s="322"/>
      <c r="AQ60" s="326">
        <v>4060</v>
      </c>
      <c r="AR60" s="326" t="s">
        <v>1632</v>
      </c>
      <c r="AV60" s="326" t="b">
        <v>1</v>
      </c>
      <c r="AW60" s="334" t="b">
        <v>1</v>
      </c>
      <c r="AY60" s="334"/>
      <c r="AZ60" t="b">
        <v>1</v>
      </c>
      <c r="BA60" s="334" t="b">
        <v>1</v>
      </c>
    </row>
    <row r="61" spans="1:53">
      <c r="A61" s="277" t="s">
        <v>1633</v>
      </c>
      <c r="B61" s="334" t="str">
        <f>'Breuker in press NP'!A31</f>
        <v>North Pond 13502</v>
      </c>
      <c r="C61" s="334">
        <f>'Breuker in press NP'!B31</f>
        <v>275.56546670914298</v>
      </c>
      <c r="D61" s="301">
        <f>'Breuker in press NP'!C31</f>
        <v>247648.451314404</v>
      </c>
      <c r="I61" s="301">
        <f>'Breuker in press NP'!F31</f>
        <v>895383.32808102167</v>
      </c>
      <c r="J61" s="301">
        <f>'Breuker in press NP'!G31</f>
        <v>182388.33958759351</v>
      </c>
      <c r="K61" s="301">
        <f>I61+J61</f>
        <v>1077771.6676686152</v>
      </c>
      <c r="N61" s="27">
        <f>J61/K61</f>
        <v>0.16922725384137008</v>
      </c>
      <c r="O61" s="228"/>
      <c r="P61" s="304"/>
      <c r="R61" s="304" t="s">
        <v>1584</v>
      </c>
      <c r="S61" t="s">
        <v>141</v>
      </c>
      <c r="V61" s="334"/>
      <c r="W61" s="334"/>
      <c r="X61" s="334"/>
      <c r="Y61" s="334"/>
      <c r="Z61" s="334"/>
      <c r="AA61" s="326" t="s">
        <v>1411</v>
      </c>
      <c r="AD61" s="326" t="s">
        <v>1717</v>
      </c>
      <c r="AE61" s="326" t="s">
        <v>1724</v>
      </c>
      <c r="AG61" s="326" t="s">
        <v>1705</v>
      </c>
      <c r="AH61" s="326" t="s">
        <v>1710</v>
      </c>
      <c r="AO61" s="326" t="s">
        <v>1634</v>
      </c>
      <c r="AP61" s="322"/>
      <c r="AQ61" s="326">
        <v>4060</v>
      </c>
      <c r="AR61" s="326" t="s">
        <v>1632</v>
      </c>
      <c r="AV61" s="326" t="b">
        <v>1</v>
      </c>
      <c r="AW61" s="334" t="b">
        <v>1</v>
      </c>
      <c r="AY61" s="334"/>
      <c r="AZ61" t="b">
        <v>1</v>
      </c>
      <c r="BA61" s="334" t="b">
        <v>1</v>
      </c>
    </row>
    <row r="62" spans="1:53">
      <c r="A62" s="277" t="s">
        <v>1633</v>
      </c>
      <c r="B62" s="334" t="str">
        <f>'Breuker in press NP'!A32</f>
        <v>North Pond 13502</v>
      </c>
      <c r="C62" s="334">
        <f>'Breuker in press NP'!B32</f>
        <v>327.07681352247801</v>
      </c>
      <c r="D62" s="301">
        <f>'Breuker in press NP'!C32</f>
        <v>397479.80537156499</v>
      </c>
      <c r="J62" s="301">
        <f>'Breuker in press NP'!G32</f>
        <v>48270.184577717249</v>
      </c>
      <c r="O62" s="228"/>
      <c r="P62" s="304"/>
      <c r="R62" s="304" t="s">
        <v>1584</v>
      </c>
      <c r="S62" t="s">
        <v>141</v>
      </c>
      <c r="V62" s="334"/>
      <c r="W62" s="334"/>
      <c r="X62" s="334"/>
      <c r="Y62" s="334"/>
      <c r="Z62" s="334"/>
      <c r="AA62" s="326" t="s">
        <v>1411</v>
      </c>
      <c r="AD62" s="326" t="s">
        <v>1717</v>
      </c>
      <c r="AE62" s="326" t="s">
        <v>1724</v>
      </c>
      <c r="AG62" s="326" t="s">
        <v>1705</v>
      </c>
      <c r="AH62" s="326" t="s">
        <v>1710</v>
      </c>
      <c r="AO62" s="326" t="s">
        <v>1634</v>
      </c>
      <c r="AP62" s="322"/>
      <c r="AQ62" s="326">
        <v>4060</v>
      </c>
      <c r="AR62" s="326" t="s">
        <v>1632</v>
      </c>
      <c r="AV62" s="326" t="b">
        <v>1</v>
      </c>
      <c r="AW62" s="334" t="b">
        <v>1</v>
      </c>
      <c r="AY62" s="334"/>
      <c r="AZ62" t="b">
        <v>1</v>
      </c>
      <c r="BA62" s="334" t="b">
        <v>1</v>
      </c>
    </row>
    <row r="63" spans="1:53">
      <c r="A63" s="277" t="s">
        <v>1633</v>
      </c>
      <c r="B63" s="334" t="str">
        <f>'Breuker in press NP'!A33</f>
        <v>North Pond 13502</v>
      </c>
      <c r="C63" s="334">
        <f>'Breuker in press NP'!B33</f>
        <v>377.62869403894001</v>
      </c>
      <c r="D63" s="301">
        <f>'Breuker in press NP'!C33</f>
        <v>1495056.2547578099</v>
      </c>
      <c r="I63" s="301">
        <f>'Breuker in press NP'!F33</f>
        <v>42069.018396682062</v>
      </c>
      <c r="J63" s="301">
        <f>'Breuker in press NP'!G33</f>
        <v>44638.896545927695</v>
      </c>
      <c r="K63" s="301">
        <f>I63+J63</f>
        <v>86707.914942609757</v>
      </c>
      <c r="N63" s="27">
        <f>J63/K63</f>
        <v>0.51481916703305908</v>
      </c>
      <c r="O63" s="228"/>
      <c r="P63" s="304"/>
      <c r="R63" s="304" t="s">
        <v>1584</v>
      </c>
      <c r="S63" t="s">
        <v>141</v>
      </c>
      <c r="V63" s="334"/>
      <c r="W63" s="334"/>
      <c r="X63" s="334"/>
      <c r="Z63" s="334"/>
      <c r="AA63" s="326" t="s">
        <v>1411</v>
      </c>
      <c r="AD63" s="326" t="s">
        <v>1717</v>
      </c>
      <c r="AE63" s="326" t="s">
        <v>1724</v>
      </c>
      <c r="AG63" s="326" t="s">
        <v>1705</v>
      </c>
      <c r="AH63" s="326" t="s">
        <v>1710</v>
      </c>
      <c r="AO63" s="326" t="s">
        <v>1634</v>
      </c>
      <c r="AP63" s="322"/>
      <c r="AQ63" s="326">
        <v>4060</v>
      </c>
      <c r="AR63" s="326" t="s">
        <v>1632</v>
      </c>
      <c r="AV63" s="326" t="b">
        <v>1</v>
      </c>
      <c r="AW63" s="334" t="b">
        <v>1</v>
      </c>
      <c r="AY63" s="334"/>
      <c r="AZ63" t="b">
        <v>1</v>
      </c>
      <c r="BA63" s="334" t="b">
        <v>1</v>
      </c>
    </row>
    <row r="64" spans="1:53">
      <c r="A64" s="277" t="s">
        <v>1633</v>
      </c>
      <c r="B64" s="334" t="str">
        <f>'Breuker in press NP'!A34</f>
        <v>North Pond 13502</v>
      </c>
      <c r="C64" s="334">
        <f>'Breuker in press NP'!B34</f>
        <v>426.59520641643002</v>
      </c>
      <c r="D64" s="301">
        <f>'Breuker in press NP'!C34</f>
        <v>253576.842073879</v>
      </c>
      <c r="I64" s="301">
        <f>'Breuker in press NP'!F34</f>
        <v>53547.736445635368</v>
      </c>
      <c r="J64" s="301">
        <f>'Breuker in press NP'!G34</f>
        <v>45920.503351134306</v>
      </c>
      <c r="K64" s="301">
        <f>I64+J64</f>
        <v>99468.239796769674</v>
      </c>
      <c r="N64" s="27">
        <f>J64/K64</f>
        <v>0.46165995743925509</v>
      </c>
      <c r="O64" s="228"/>
      <c r="P64" s="304"/>
      <c r="R64" s="304" t="s">
        <v>1584</v>
      </c>
      <c r="S64" t="s">
        <v>141</v>
      </c>
      <c r="V64" s="334"/>
      <c r="W64" s="334"/>
      <c r="X64" s="334"/>
      <c r="Y64" s="322"/>
      <c r="Z64" s="334"/>
      <c r="AA64" s="326" t="s">
        <v>1411</v>
      </c>
      <c r="AD64" s="326" t="s">
        <v>1717</v>
      </c>
      <c r="AE64" s="326" t="s">
        <v>1724</v>
      </c>
      <c r="AG64" s="326" t="s">
        <v>1705</v>
      </c>
      <c r="AH64" s="326" t="s">
        <v>1710</v>
      </c>
      <c r="AO64" s="326" t="s">
        <v>1634</v>
      </c>
      <c r="AP64" s="322"/>
      <c r="AQ64" s="326">
        <v>4060</v>
      </c>
      <c r="AR64" s="326" t="s">
        <v>1632</v>
      </c>
      <c r="AV64" s="326" t="b">
        <v>1</v>
      </c>
      <c r="AW64" s="334" t="b">
        <v>1</v>
      </c>
      <c r="AY64" s="334"/>
      <c r="AZ64" t="b">
        <v>1</v>
      </c>
      <c r="BA64" s="334" t="b">
        <v>1</v>
      </c>
    </row>
    <row r="65" spans="1:53">
      <c r="A65" s="277" t="s">
        <v>1633</v>
      </c>
      <c r="B65" s="327" t="str">
        <f>'Breuker in press NP'!A35</f>
        <v>North Pond 13502</v>
      </c>
      <c r="C65" s="334">
        <f>'Breuker in press NP'!B35</f>
        <v>476.884732867342</v>
      </c>
      <c r="D65" s="301">
        <f>'Breuker in press NP'!C35</f>
        <v>182084.917038382</v>
      </c>
      <c r="I65" s="301">
        <f>'Breuker in press NP'!F35</f>
        <v>44517.711801329715</v>
      </c>
      <c r="J65" s="301">
        <f>'Breuker in press NP'!G35</f>
        <v>45994.646776813199</v>
      </c>
      <c r="K65" s="301">
        <f>I65+J65</f>
        <v>90512.358578142914</v>
      </c>
      <c r="N65" s="27">
        <f>J65/K65</f>
        <v>0.5081587475936139</v>
      </c>
      <c r="O65" s="228"/>
      <c r="P65" s="304"/>
      <c r="R65" s="304" t="s">
        <v>1584</v>
      </c>
      <c r="S65" t="s">
        <v>141</v>
      </c>
      <c r="V65" s="334"/>
      <c r="W65" s="334"/>
      <c r="X65" s="334"/>
      <c r="Y65" s="334"/>
      <c r="Z65" s="334"/>
      <c r="AA65" s="326" t="s">
        <v>1411</v>
      </c>
      <c r="AD65" s="326" t="s">
        <v>1717</v>
      </c>
      <c r="AE65" s="326" t="s">
        <v>1724</v>
      </c>
      <c r="AG65" s="326" t="s">
        <v>1705</v>
      </c>
      <c r="AH65" s="326" t="s">
        <v>1710</v>
      </c>
      <c r="AO65" s="326" t="s">
        <v>1634</v>
      </c>
      <c r="AP65" s="322"/>
      <c r="AQ65" s="326">
        <v>4060</v>
      </c>
      <c r="AR65" s="322" t="s">
        <v>1632</v>
      </c>
      <c r="AV65" s="326" t="b">
        <v>1</v>
      </c>
      <c r="AW65" s="334" t="b">
        <v>1</v>
      </c>
      <c r="AY65" s="334"/>
      <c r="AZ65" t="b">
        <v>1</v>
      </c>
      <c r="BA65" s="334" t="b">
        <v>1</v>
      </c>
    </row>
    <row r="66" spans="1:53">
      <c r="A66" s="277" t="s">
        <v>1633</v>
      </c>
      <c r="B66" s="334" t="str">
        <f>'Breuker in press NP'!A36</f>
        <v>North Pond 13502</v>
      </c>
      <c r="C66" s="334">
        <f>'Breuker in press NP'!B36</f>
        <v>523.41597796143196</v>
      </c>
      <c r="J66" s="301">
        <f>'Breuker in press NP'!G36</f>
        <v>24321.095682555002</v>
      </c>
      <c r="O66" s="228"/>
      <c r="P66" s="304"/>
      <c r="R66" s="304" t="s">
        <v>1584</v>
      </c>
      <c r="S66" t="s">
        <v>141</v>
      </c>
      <c r="V66" s="334"/>
      <c r="W66" s="334"/>
      <c r="X66" s="334"/>
      <c r="Y66" s="334"/>
      <c r="Z66" s="334"/>
      <c r="AA66" s="326" t="s">
        <v>1411</v>
      </c>
      <c r="AD66" s="326" t="s">
        <v>1717</v>
      </c>
      <c r="AE66" s="326" t="s">
        <v>1724</v>
      </c>
      <c r="AG66" s="326" t="s">
        <v>1705</v>
      </c>
      <c r="AH66" s="326" t="s">
        <v>1710</v>
      </c>
      <c r="AO66" s="326" t="s">
        <v>1634</v>
      </c>
      <c r="AP66" s="322"/>
      <c r="AQ66" s="326">
        <v>4060</v>
      </c>
      <c r="AR66" s="322" t="s">
        <v>1632</v>
      </c>
      <c r="AV66" s="326" t="b">
        <v>1</v>
      </c>
      <c r="AW66" s="334" t="b">
        <v>1</v>
      </c>
      <c r="AY66" s="334"/>
      <c r="AZ66" t="b">
        <v>1</v>
      </c>
      <c r="BA66" s="334" t="b">
        <v>1</v>
      </c>
    </row>
    <row r="67" spans="1:53">
      <c r="A67" s="277" t="s">
        <v>1633</v>
      </c>
      <c r="B67" s="334" t="str">
        <f>'Breuker in press NP'!A37</f>
        <v>North Pond 13502</v>
      </c>
      <c r="C67" s="334">
        <f>'Breuker in press NP'!B37</f>
        <v>577.76361898693801</v>
      </c>
      <c r="D67" s="301">
        <f>'Breuker in press NP'!C37</f>
        <v>623046.62518112198</v>
      </c>
      <c r="J67" s="301">
        <f>'Breuker in press NP'!G37</f>
        <v>2974.5469923590099</v>
      </c>
      <c r="O67" s="228"/>
      <c r="P67" s="304"/>
      <c r="R67" s="304" t="s">
        <v>1584</v>
      </c>
      <c r="S67" t="s">
        <v>141</v>
      </c>
      <c r="V67" s="334"/>
      <c r="W67" s="334"/>
      <c r="X67" s="334"/>
      <c r="Y67" s="316"/>
      <c r="Z67" s="334"/>
      <c r="AA67" s="326" t="s">
        <v>1411</v>
      </c>
      <c r="AD67" s="326" t="s">
        <v>1717</v>
      </c>
      <c r="AE67" s="326" t="s">
        <v>1724</v>
      </c>
      <c r="AG67" s="326" t="s">
        <v>1705</v>
      </c>
      <c r="AH67" s="326" t="s">
        <v>1710</v>
      </c>
      <c r="AO67" s="326" t="s">
        <v>1634</v>
      </c>
      <c r="AP67" s="322"/>
      <c r="AQ67" s="326">
        <v>4060</v>
      </c>
      <c r="AR67" s="322" t="s">
        <v>1632</v>
      </c>
      <c r="AV67" s="326" t="b">
        <v>1</v>
      </c>
      <c r="AW67" s="334" t="b">
        <v>1</v>
      </c>
      <c r="AY67" s="334"/>
      <c r="AZ67" t="b">
        <v>1</v>
      </c>
      <c r="BA67" s="334" t="b">
        <v>1</v>
      </c>
    </row>
    <row r="68" spans="1:53">
      <c r="A68" s="277" t="s">
        <v>1633</v>
      </c>
      <c r="B68" s="334" t="str">
        <f>'Breuker in press NP'!A38</f>
        <v>North Pond 13502</v>
      </c>
      <c r="C68" s="334">
        <f>'Breuker in press NP'!B38</f>
        <v>627.89573299851895</v>
      </c>
      <c r="D68" s="301">
        <f>'Breuker in press NP'!C38</f>
        <v>165644.90501698101</v>
      </c>
      <c r="I68" s="301">
        <f>'Breuker in press NP'!F38</f>
        <v>39167.590234349773</v>
      </c>
      <c r="O68" s="228"/>
      <c r="P68" s="293"/>
      <c r="R68" s="304" t="s">
        <v>1584</v>
      </c>
      <c r="S68" t="s">
        <v>141</v>
      </c>
      <c r="V68" s="334"/>
      <c r="W68" s="334"/>
      <c r="X68" s="334"/>
      <c r="Z68" s="334"/>
      <c r="AA68" s="326" t="s">
        <v>1411</v>
      </c>
      <c r="AD68" s="326" t="s">
        <v>1717</v>
      </c>
      <c r="AE68" s="326" t="s">
        <v>1724</v>
      </c>
      <c r="AG68" s="326" t="s">
        <v>1705</v>
      </c>
      <c r="AH68" s="326" t="s">
        <v>1710</v>
      </c>
      <c r="AO68" s="326" t="s">
        <v>1634</v>
      </c>
      <c r="AP68" s="322"/>
      <c r="AQ68" s="326">
        <v>4060</v>
      </c>
      <c r="AR68" s="322" t="s">
        <v>1632</v>
      </c>
      <c r="AV68" s="326" t="b">
        <v>1</v>
      </c>
      <c r="AW68" s="334" t="b">
        <v>1</v>
      </c>
      <c r="AY68" s="334"/>
      <c r="AZ68" t="b">
        <v>1</v>
      </c>
      <c r="BA68" s="334" t="b">
        <v>1</v>
      </c>
    </row>
    <row r="69" spans="1:53">
      <c r="A69" s="277" t="s">
        <v>1633</v>
      </c>
      <c r="B69" s="334" t="str">
        <f>'Breuker in press NP'!A39</f>
        <v>North Pond 13502</v>
      </c>
      <c r="C69" s="334">
        <f>'Breuker in press NP'!B39</f>
        <v>678.28270524520701</v>
      </c>
      <c r="D69" s="301">
        <f>'Breuker in press NP'!C39</f>
        <v>220021.82031514301</v>
      </c>
      <c r="I69" s="301">
        <f>'Breuker in press NP'!F39</f>
        <v>51197.689360486365</v>
      </c>
      <c r="O69" s="228"/>
      <c r="P69" s="293"/>
      <c r="R69" s="304" t="s">
        <v>1584</v>
      </c>
      <c r="S69" t="s">
        <v>141</v>
      </c>
      <c r="V69" s="334"/>
      <c r="W69" s="334"/>
      <c r="X69" s="334"/>
      <c r="Y69" s="328"/>
      <c r="Z69" s="334"/>
      <c r="AA69" s="326" t="s">
        <v>1411</v>
      </c>
      <c r="AD69" s="326" t="s">
        <v>1717</v>
      </c>
      <c r="AE69" s="326" t="s">
        <v>1724</v>
      </c>
      <c r="AG69" s="326" t="s">
        <v>1705</v>
      </c>
      <c r="AH69" s="326" t="s">
        <v>1710</v>
      </c>
      <c r="AO69" s="326" t="s">
        <v>1634</v>
      </c>
      <c r="AP69" s="322"/>
      <c r="AQ69" s="326">
        <v>4060</v>
      </c>
      <c r="AR69" s="322" t="s">
        <v>1632</v>
      </c>
      <c r="AV69" s="326" t="b">
        <v>1</v>
      </c>
      <c r="AW69" s="334" t="b">
        <v>1</v>
      </c>
      <c r="AY69" s="334"/>
      <c r="AZ69" t="b">
        <v>1</v>
      </c>
      <c r="BA69" s="334" t="b">
        <v>1</v>
      </c>
    </row>
    <row r="70" spans="1:53">
      <c r="A70" s="277" t="s">
        <v>1633</v>
      </c>
      <c r="B70" s="327" t="str">
        <f>'Breuker in press NP'!A40</f>
        <v>North Pond 13502</v>
      </c>
      <c r="C70" s="334">
        <f>'Breuker in press NP'!B40</f>
        <v>726.69827408504</v>
      </c>
      <c r="D70" s="301">
        <f>'Breuker in press NP'!C40</f>
        <v>1152507.69996664</v>
      </c>
      <c r="I70" s="301">
        <f>'Breuker in press NP'!F40</f>
        <v>51282.233628916736</v>
      </c>
      <c r="O70" s="228"/>
      <c r="P70" s="334"/>
      <c r="R70" s="304" t="s">
        <v>1584</v>
      </c>
      <c r="S70" t="s">
        <v>141</v>
      </c>
      <c r="V70" s="334"/>
      <c r="W70" s="334"/>
      <c r="X70" s="334"/>
      <c r="Y70" s="328"/>
      <c r="Z70" s="334"/>
      <c r="AA70" s="326" t="s">
        <v>1411</v>
      </c>
      <c r="AD70" s="326" t="s">
        <v>1717</v>
      </c>
      <c r="AE70" s="326" t="s">
        <v>1724</v>
      </c>
      <c r="AG70" s="326" t="s">
        <v>1705</v>
      </c>
      <c r="AH70" s="326" t="s">
        <v>1710</v>
      </c>
      <c r="AO70" s="326" t="s">
        <v>1634</v>
      </c>
      <c r="AP70" s="322"/>
      <c r="AQ70" s="326">
        <v>4060</v>
      </c>
      <c r="AR70" s="322" t="s">
        <v>1632</v>
      </c>
      <c r="AV70" s="326" t="b">
        <v>1</v>
      </c>
      <c r="AW70" s="334" t="b">
        <v>1</v>
      </c>
      <c r="AY70" s="334"/>
      <c r="AZ70" t="b">
        <v>1</v>
      </c>
      <c r="BA70" s="334" t="b">
        <v>1</v>
      </c>
    </row>
    <row r="71" spans="1:53">
      <c r="A71" s="277" t="s">
        <v>1633</v>
      </c>
      <c r="B71" s="327" t="str">
        <f>'Breuker in press NP'!A41</f>
        <v>North Pond 13502</v>
      </c>
      <c r="C71" s="334">
        <f>'Breuker in press NP'!B41</f>
        <v>776.86411933362001</v>
      </c>
      <c r="D71" s="301">
        <f>'Breuker in press NP'!C41</f>
        <v>379111.64380428998</v>
      </c>
      <c r="I71" s="301">
        <f>'Breuker in press NP'!F41</f>
        <v>58679.576797576381</v>
      </c>
      <c r="O71" s="228"/>
      <c r="P71" s="293"/>
      <c r="R71" s="304" t="s">
        <v>1584</v>
      </c>
      <c r="S71" t="s">
        <v>141</v>
      </c>
      <c r="V71" s="334"/>
      <c r="W71" s="334"/>
      <c r="X71" s="334"/>
      <c r="Y71" s="323"/>
      <c r="Z71" s="334"/>
      <c r="AA71" s="326" t="s">
        <v>1411</v>
      </c>
      <c r="AD71" s="326" t="s">
        <v>1717</v>
      </c>
      <c r="AE71" s="326" t="s">
        <v>1724</v>
      </c>
      <c r="AG71" s="326" t="s">
        <v>1705</v>
      </c>
      <c r="AH71" s="326" t="s">
        <v>1710</v>
      </c>
      <c r="AO71" s="326" t="s">
        <v>1634</v>
      </c>
      <c r="AP71" s="322"/>
      <c r="AQ71" s="326">
        <v>4060</v>
      </c>
      <c r="AR71" s="322" t="s">
        <v>1632</v>
      </c>
      <c r="AV71" s="326" t="b">
        <v>1</v>
      </c>
      <c r="AW71" s="334" t="b">
        <v>1</v>
      </c>
      <c r="AY71" s="334"/>
      <c r="AZ71" t="b">
        <v>1</v>
      </c>
      <c r="BA71" s="334" t="b">
        <v>1</v>
      </c>
    </row>
    <row r="72" spans="1:53">
      <c r="A72" s="277" t="s">
        <v>1633</v>
      </c>
      <c r="B72" s="327" t="str">
        <f>'Breuker in press NP'!A42</f>
        <v>North Pond 13504</v>
      </c>
      <c r="C72" s="334">
        <f>'Breuker in press NP'!B42</f>
        <v>9.1149298202875499</v>
      </c>
      <c r="D72" s="301">
        <f>'Breuker in press NP'!C42</f>
        <v>9689500.0626136605</v>
      </c>
      <c r="I72" s="301">
        <f>'Breuker in press NP'!F42</f>
        <v>1636950.2063562323</v>
      </c>
      <c r="J72" s="301">
        <f>'Breuker in press NP'!G42</f>
        <v>34242723.958480045</v>
      </c>
      <c r="K72" s="301">
        <f>I72+J72</f>
        <v>35879674.16483628</v>
      </c>
      <c r="N72" s="27">
        <f>J72/K72</f>
        <v>0.95437667023296102</v>
      </c>
      <c r="O72" s="228"/>
      <c r="P72" s="293"/>
      <c r="R72" s="311" t="s">
        <v>1584</v>
      </c>
      <c r="S72" t="s">
        <v>141</v>
      </c>
      <c r="V72" s="334"/>
      <c r="W72" s="334"/>
      <c r="X72" s="334"/>
      <c r="Y72" s="319"/>
      <c r="Z72" s="334"/>
      <c r="AA72" s="326" t="s">
        <v>1411</v>
      </c>
      <c r="AD72" s="326" t="s">
        <v>1717</v>
      </c>
      <c r="AE72" s="326" t="s">
        <v>1724</v>
      </c>
      <c r="AG72" s="326" t="s">
        <v>1705</v>
      </c>
      <c r="AH72" s="326" t="s">
        <v>1710</v>
      </c>
      <c r="AO72" s="326" t="s">
        <v>1634</v>
      </c>
      <c r="AP72" s="322"/>
      <c r="AQ72" s="326">
        <v>4060</v>
      </c>
      <c r="AR72" s="322" t="s">
        <v>1632</v>
      </c>
      <c r="AV72" s="326" t="b">
        <v>1</v>
      </c>
      <c r="AW72" s="334" t="b">
        <v>1</v>
      </c>
      <c r="AY72" s="334"/>
      <c r="AZ72" t="b">
        <v>1</v>
      </c>
      <c r="BA72" s="334" t="b">
        <v>1</v>
      </c>
    </row>
    <row r="73" spans="1:53">
      <c r="A73" s="277" t="s">
        <v>1633</v>
      </c>
      <c r="B73" s="327" t="str">
        <f>'Breuker in press NP'!A43</f>
        <v>North Pond 13504</v>
      </c>
      <c r="C73" s="334">
        <f>'Breuker in press NP'!B43</f>
        <v>22.6374079418324</v>
      </c>
      <c r="D73" s="301">
        <f>'Breuker in press NP'!C43</f>
        <v>113447.39305714901</v>
      </c>
      <c r="I73" s="301">
        <f>'Breuker in press NP'!F43</f>
        <v>887864.15905232402</v>
      </c>
      <c r="J73" s="301">
        <f>'Breuker in press NP'!G43</f>
        <v>9546542.1833419055</v>
      </c>
      <c r="K73" s="301">
        <f>I73+J73</f>
        <v>10434406.342394229</v>
      </c>
      <c r="N73" s="27">
        <f>J73/K73</f>
        <v>0.91490994984113316</v>
      </c>
      <c r="O73" s="228"/>
      <c r="P73" s="293"/>
      <c r="R73" s="311" t="s">
        <v>1584</v>
      </c>
      <c r="S73" t="s">
        <v>141</v>
      </c>
      <c r="V73" s="334"/>
      <c r="W73" s="334"/>
      <c r="X73" s="334"/>
      <c r="Y73" s="328"/>
      <c r="Z73" s="334"/>
      <c r="AA73" s="326" t="s">
        <v>1411</v>
      </c>
      <c r="AD73" s="326" t="s">
        <v>1717</v>
      </c>
      <c r="AE73" s="326" t="s">
        <v>1724</v>
      </c>
      <c r="AG73" s="326" t="s">
        <v>1705</v>
      </c>
      <c r="AH73" s="326" t="s">
        <v>1710</v>
      </c>
      <c r="AO73" s="326" t="s">
        <v>1634</v>
      </c>
      <c r="AP73" s="322"/>
      <c r="AQ73" s="326">
        <v>4060</v>
      </c>
      <c r="AR73" s="322" t="s">
        <v>1632</v>
      </c>
      <c r="AV73" s="326" t="b">
        <v>1</v>
      </c>
      <c r="AW73" s="334" t="b">
        <v>1</v>
      </c>
      <c r="AY73" s="334"/>
      <c r="AZ73" t="b">
        <v>1</v>
      </c>
      <c r="BA73" s="334" t="b">
        <v>1</v>
      </c>
    </row>
    <row r="74" spans="1:53">
      <c r="A74" s="277" t="s">
        <v>1633</v>
      </c>
      <c r="B74" s="334" t="str">
        <f>'Breuker in press NP'!A44</f>
        <v>North Pond 13504</v>
      </c>
      <c r="C74" s="334">
        <f>'Breuker in press NP'!B44</f>
        <v>36.363636363636303</v>
      </c>
      <c r="I74" s="301">
        <f>'Breuker in press NP'!F44</f>
        <v>888352.6091250889</v>
      </c>
      <c r="J74" s="301">
        <f>'Breuker in press NP'!G44</f>
        <v>10345491.073712371</v>
      </c>
      <c r="K74" s="301">
        <f>I74+J74</f>
        <v>11233843.68283746</v>
      </c>
      <c r="N74" s="27">
        <f>J74/K74</f>
        <v>0.92092175801927234</v>
      </c>
      <c r="O74" s="228"/>
      <c r="P74" s="293"/>
      <c r="R74" s="311" t="s">
        <v>1584</v>
      </c>
      <c r="S74" t="s">
        <v>141</v>
      </c>
      <c r="V74" s="334"/>
      <c r="W74" s="334"/>
      <c r="X74" s="334"/>
      <c r="Y74" s="328"/>
      <c r="Z74" s="334"/>
      <c r="AA74" s="326" t="s">
        <v>1411</v>
      </c>
      <c r="AD74" s="326" t="s">
        <v>1717</v>
      </c>
      <c r="AE74" s="326" t="s">
        <v>1724</v>
      </c>
      <c r="AG74" s="326" t="s">
        <v>1705</v>
      </c>
      <c r="AH74" s="326" t="s">
        <v>1710</v>
      </c>
      <c r="AO74" s="326" t="s">
        <v>1634</v>
      </c>
      <c r="AP74" s="322"/>
      <c r="AQ74" s="326">
        <v>4060</v>
      </c>
      <c r="AR74" s="322" t="s">
        <v>1632</v>
      </c>
      <c r="AV74" s="326" t="b">
        <v>1</v>
      </c>
      <c r="AW74" s="334" t="b">
        <v>1</v>
      </c>
      <c r="AY74" s="334"/>
      <c r="AZ74" t="b">
        <v>1</v>
      </c>
      <c r="BA74" s="334" t="b">
        <v>1</v>
      </c>
    </row>
    <row r="75" spans="1:53">
      <c r="A75" s="277" t="s">
        <v>1633</v>
      </c>
      <c r="B75" s="327" t="str">
        <f>'Breuker in press NP'!A45</f>
        <v>North Pond 13504</v>
      </c>
      <c r="C75" s="334">
        <f>'Breuker in press NP'!B45</f>
        <v>46.665292431085199</v>
      </c>
      <c r="D75" s="301">
        <f>'Breuker in press NP'!C45</f>
        <v>83412.833972486405</v>
      </c>
      <c r="I75" s="301">
        <f>'Breuker in press NP'!F45</f>
        <v>1513305.6224053672</v>
      </c>
      <c r="J75" s="301">
        <f>'Breuker in press NP'!G45</f>
        <v>11210892.828612074</v>
      </c>
      <c r="K75" s="301">
        <f>I75+J75</f>
        <v>12724198.451017441</v>
      </c>
      <c r="N75" s="27">
        <f>J75/K75</f>
        <v>0.88106868749093104</v>
      </c>
      <c r="O75" s="228"/>
      <c r="P75" s="293"/>
      <c r="R75" s="311" t="s">
        <v>1584</v>
      </c>
      <c r="S75" t="s">
        <v>141</v>
      </c>
      <c r="V75" s="334"/>
      <c r="W75" s="334"/>
      <c r="X75" s="334"/>
      <c r="Y75" s="328"/>
      <c r="Z75" s="334"/>
      <c r="AA75" s="326" t="s">
        <v>1411</v>
      </c>
      <c r="AD75" s="326" t="s">
        <v>1717</v>
      </c>
      <c r="AE75" s="326" t="s">
        <v>1724</v>
      </c>
      <c r="AG75" s="326" t="s">
        <v>1705</v>
      </c>
      <c r="AH75" s="326" t="s">
        <v>1710</v>
      </c>
      <c r="AO75" s="326" t="s">
        <v>1634</v>
      </c>
      <c r="AP75" s="322"/>
      <c r="AQ75" s="326">
        <v>4060</v>
      </c>
      <c r="AR75" s="322" t="s">
        <v>1632</v>
      </c>
      <c r="AV75" s="326" t="b">
        <v>1</v>
      </c>
      <c r="AW75" s="334" t="b">
        <v>1</v>
      </c>
      <c r="AY75" s="334"/>
      <c r="AZ75" t="b">
        <v>1</v>
      </c>
      <c r="BA75" s="334" t="b">
        <v>1</v>
      </c>
    </row>
    <row r="76" spans="1:53">
      <c r="A76" s="277" t="s">
        <v>1633</v>
      </c>
      <c r="B76" s="334" t="str">
        <f>'Breuker in press NP'!A46</f>
        <v>North Pond 13504</v>
      </c>
      <c r="C76" s="334">
        <f>'Breuker in press NP'!B46</f>
        <v>57.545490321008998</v>
      </c>
      <c r="D76" s="301">
        <f>'Breuker in press NP'!C46</f>
        <v>55792.438382860601</v>
      </c>
      <c r="I76" s="301">
        <f>'Breuker in press NP'!F46</f>
        <v>820710.38724298961</v>
      </c>
      <c r="J76" s="301">
        <f>'Breuker in press NP'!G46</f>
        <v>1136360.3991728835</v>
      </c>
      <c r="K76" s="301">
        <f>I76+J76</f>
        <v>1957070.7864158731</v>
      </c>
      <c r="N76" s="27">
        <f>J76/K76</f>
        <v>0.58064348364934892</v>
      </c>
      <c r="O76" s="228"/>
      <c r="P76" s="293"/>
      <c r="R76" s="311" t="s">
        <v>1584</v>
      </c>
      <c r="S76" t="s">
        <v>141</v>
      </c>
      <c r="V76" s="334"/>
      <c r="W76" s="334"/>
      <c r="X76" s="334"/>
      <c r="Y76" s="328"/>
      <c r="Z76" s="334"/>
      <c r="AA76" s="326" t="s">
        <v>1411</v>
      </c>
      <c r="AD76" s="326" t="s">
        <v>1717</v>
      </c>
      <c r="AE76" s="326" t="s">
        <v>1724</v>
      </c>
      <c r="AG76" s="326" t="s">
        <v>1705</v>
      </c>
      <c r="AH76" s="326" t="s">
        <v>1710</v>
      </c>
      <c r="AO76" s="326" t="s">
        <v>1634</v>
      </c>
      <c r="AP76" s="322"/>
      <c r="AQ76" s="326">
        <v>4060</v>
      </c>
      <c r="AR76" s="322" t="s">
        <v>1632</v>
      </c>
      <c r="AV76" s="326" t="b">
        <v>1</v>
      </c>
      <c r="AW76" s="334" t="b">
        <v>1</v>
      </c>
      <c r="AY76" s="334"/>
      <c r="AZ76" t="b">
        <v>1</v>
      </c>
      <c r="BA76" s="334" t="b">
        <v>1</v>
      </c>
    </row>
    <row r="77" spans="1:53">
      <c r="A77" s="277" t="s">
        <v>1633</v>
      </c>
      <c r="B77" s="327" t="str">
        <f>'Breuker in press NP'!A47</f>
        <v>North Pond 13504</v>
      </c>
      <c r="C77" s="334">
        <f>'Breuker in press NP'!B47</f>
        <v>67.593651031613703</v>
      </c>
      <c r="D77" s="301">
        <f>'Breuker in press NP'!C47</f>
        <v>195477.10134205699</v>
      </c>
      <c r="I77" s="301">
        <f>'Breuker in press NP'!F47</f>
        <v>482080.28559663537</v>
      </c>
      <c r="J77" s="301">
        <f>'Breuker in press NP'!G47</f>
        <v>600115.17010720947</v>
      </c>
      <c r="K77" s="301">
        <f>I77+J77</f>
        <v>1082195.4557038448</v>
      </c>
      <c r="N77" s="27">
        <f>J77/K77</f>
        <v>0.55453491968038526</v>
      </c>
      <c r="O77" s="228"/>
      <c r="P77" s="293"/>
      <c r="R77" s="311" t="s">
        <v>1584</v>
      </c>
      <c r="S77" t="s">
        <v>141</v>
      </c>
      <c r="V77" s="334"/>
      <c r="W77" s="334"/>
      <c r="X77" s="334"/>
      <c r="Y77" s="328"/>
      <c r="Z77" s="334"/>
      <c r="AA77" s="326" t="s">
        <v>1411</v>
      </c>
      <c r="AD77" s="326" t="s">
        <v>1717</v>
      </c>
      <c r="AE77" s="326" t="s">
        <v>1724</v>
      </c>
      <c r="AG77" s="326" t="s">
        <v>1705</v>
      </c>
      <c r="AH77" s="326" t="s">
        <v>1710</v>
      </c>
      <c r="AO77" s="326" t="s">
        <v>1634</v>
      </c>
      <c r="AP77" s="322"/>
      <c r="AQ77" s="326">
        <v>4060</v>
      </c>
      <c r="AR77" s="322" t="s">
        <v>1632</v>
      </c>
      <c r="AV77" s="326" t="b">
        <v>1</v>
      </c>
      <c r="AW77" s="334" t="b">
        <v>1</v>
      </c>
      <c r="AY77" s="334"/>
      <c r="AZ77" t="b">
        <v>1</v>
      </c>
      <c r="BA77" s="334" t="b">
        <v>1</v>
      </c>
    </row>
    <row r="78" spans="1:53">
      <c r="A78" s="277" t="s">
        <v>1633</v>
      </c>
      <c r="B78" s="334" t="str">
        <f>'Breuker in press NP'!A48</f>
        <v>North Pond 13512</v>
      </c>
      <c r="C78" s="334">
        <f>'Breuker in press NP'!B48</f>
        <v>7.0873076851003098</v>
      </c>
      <c r="D78" s="301">
        <f>'Breuker in press NP'!C48</f>
        <v>26796754.149700101</v>
      </c>
      <c r="H78" s="336"/>
      <c r="J78" s="301">
        <f>'Breuker in press NP'!G48</f>
        <v>287999642.43129146</v>
      </c>
      <c r="O78" s="228"/>
      <c r="P78" s="323"/>
      <c r="R78" s="311" t="s">
        <v>1584</v>
      </c>
      <c r="S78" t="s">
        <v>141</v>
      </c>
      <c r="V78" s="334"/>
      <c r="W78" s="334"/>
      <c r="X78" s="334"/>
      <c r="Y78" s="328"/>
      <c r="Z78" s="334"/>
      <c r="AA78" s="326" t="s">
        <v>1411</v>
      </c>
      <c r="AD78" s="326" t="s">
        <v>1717</v>
      </c>
      <c r="AE78" s="326" t="s">
        <v>1724</v>
      </c>
      <c r="AG78" s="326" t="s">
        <v>1705</v>
      </c>
      <c r="AH78" s="326" t="s">
        <v>1710</v>
      </c>
      <c r="AO78" s="326" t="s">
        <v>1634</v>
      </c>
      <c r="AP78" s="322"/>
      <c r="AQ78" s="326">
        <v>4060</v>
      </c>
      <c r="AR78" s="322" t="s">
        <v>1632</v>
      </c>
      <c r="AV78" s="326" t="b">
        <v>1</v>
      </c>
      <c r="AW78" s="334" t="b">
        <v>1</v>
      </c>
      <c r="AY78" s="334"/>
      <c r="AZ78" t="b">
        <v>1</v>
      </c>
      <c r="BA78" s="334" t="b">
        <v>1</v>
      </c>
    </row>
    <row r="79" spans="1:53">
      <c r="A79" s="277" t="s">
        <v>1633</v>
      </c>
      <c r="B79" s="334" t="str">
        <f>'Breuker in press NP'!A49</f>
        <v>North Pond 13512</v>
      </c>
      <c r="C79" s="334">
        <f>'Breuker in press NP'!B49</f>
        <v>44.8962764462268</v>
      </c>
      <c r="D79" s="301">
        <f>'Breuker in press NP'!C49</f>
        <v>1180097.27689491</v>
      </c>
      <c r="I79" s="301">
        <f>'Breuker in press NP'!F49</f>
        <v>161720.35441793306</v>
      </c>
      <c r="O79" s="228"/>
      <c r="P79" s="323"/>
      <c r="R79" s="311" t="s">
        <v>1584</v>
      </c>
      <c r="S79" t="s">
        <v>141</v>
      </c>
      <c r="V79" s="334"/>
      <c r="W79" s="334"/>
      <c r="X79" s="334"/>
      <c r="Y79" s="328"/>
      <c r="Z79" s="334"/>
      <c r="AA79" s="326" t="s">
        <v>1411</v>
      </c>
      <c r="AD79" s="326" t="s">
        <v>1717</v>
      </c>
      <c r="AE79" s="326" t="s">
        <v>1724</v>
      </c>
      <c r="AG79" s="326" t="s">
        <v>1705</v>
      </c>
      <c r="AH79" s="326" t="s">
        <v>1710</v>
      </c>
      <c r="AO79" s="326" t="s">
        <v>1634</v>
      </c>
      <c r="AP79" s="322"/>
      <c r="AQ79" s="326">
        <v>4060</v>
      </c>
      <c r="AR79" s="322" t="s">
        <v>1632</v>
      </c>
      <c r="AV79" s="326" t="b">
        <v>1</v>
      </c>
      <c r="AW79" s="334" t="b">
        <v>1</v>
      </c>
      <c r="AX79" s="334"/>
      <c r="AY79" s="334"/>
      <c r="AZ79" t="b">
        <v>1</v>
      </c>
      <c r="BA79" s="334" t="b">
        <v>1</v>
      </c>
    </row>
    <row r="80" spans="1:53">
      <c r="A80" s="277" t="s">
        <v>1633</v>
      </c>
      <c r="B80" s="334" t="str">
        <f>'Breuker in press NP'!A50</f>
        <v>North Pond 13512</v>
      </c>
      <c r="C80" s="334">
        <f>'Breuker in press NP'!B50</f>
        <v>94.975919644697598</v>
      </c>
      <c r="D80" s="301">
        <f>'Breuker in press NP'!C50</f>
        <v>225288.86446387999</v>
      </c>
      <c r="I80" s="301">
        <f>'Breuker in press NP'!F50</f>
        <v>190040.17348539212</v>
      </c>
      <c r="J80" s="301">
        <f>'Breuker in press NP'!G50</f>
        <v>4306022.1433642954</v>
      </c>
      <c r="K80" s="301">
        <f>I80+J80</f>
        <v>4496062.3168496871</v>
      </c>
      <c r="N80" s="27">
        <f>J80/K80</f>
        <v>0.95773186399726118</v>
      </c>
      <c r="O80" s="228"/>
      <c r="P80" s="328"/>
      <c r="R80" s="304" t="s">
        <v>1584</v>
      </c>
      <c r="S80" t="s">
        <v>141</v>
      </c>
      <c r="V80" s="334"/>
      <c r="W80" s="334"/>
      <c r="X80" s="334"/>
      <c r="Y80" s="328"/>
      <c r="Z80" s="334"/>
      <c r="AA80" s="326" t="s">
        <v>1411</v>
      </c>
      <c r="AD80" s="326" t="s">
        <v>1717</v>
      </c>
      <c r="AE80" s="326" t="s">
        <v>1724</v>
      </c>
      <c r="AG80" s="326" t="s">
        <v>1705</v>
      </c>
      <c r="AH80" s="326" t="s">
        <v>1710</v>
      </c>
      <c r="AO80" s="326" t="s">
        <v>1634</v>
      </c>
      <c r="AP80" s="322"/>
      <c r="AQ80" s="326">
        <v>4060</v>
      </c>
      <c r="AR80" s="326" t="s">
        <v>1632</v>
      </c>
      <c r="AV80" s="326" t="b">
        <v>1</v>
      </c>
      <c r="AW80" s="334" t="b">
        <v>1</v>
      </c>
      <c r="AX80" s="334"/>
      <c r="AY80" s="334"/>
      <c r="AZ80" t="b">
        <v>1</v>
      </c>
      <c r="BA80" s="334" t="b">
        <v>1</v>
      </c>
    </row>
    <row r="81" spans="1:53">
      <c r="A81" s="277" t="s">
        <v>1633</v>
      </c>
      <c r="B81" s="327" t="str">
        <f>'Breuker in press NP'!A51</f>
        <v>North Pond 13512</v>
      </c>
      <c r="C81" s="334">
        <f>'Breuker in press NP'!B51</f>
        <v>142.034743174109</v>
      </c>
      <c r="D81" s="301">
        <f>'Breuker in press NP'!C51</f>
        <v>225288.86446387999</v>
      </c>
      <c r="I81" s="301">
        <f>'Breuker in press NP'!F51</f>
        <v>145860.98092372218</v>
      </c>
      <c r="K81" s="301">
        <f>I81+J81</f>
        <v>145860.98092372218</v>
      </c>
      <c r="O81" s="228"/>
      <c r="P81" s="289"/>
      <c r="R81" s="304" t="s">
        <v>1584</v>
      </c>
      <c r="S81" t="s">
        <v>141</v>
      </c>
      <c r="V81" s="334"/>
      <c r="W81" s="334"/>
      <c r="X81" s="334"/>
      <c r="Y81" s="328"/>
      <c r="Z81" s="334"/>
      <c r="AA81" s="326" t="s">
        <v>1411</v>
      </c>
      <c r="AD81" s="326" t="s">
        <v>1717</v>
      </c>
      <c r="AE81" s="326" t="s">
        <v>1724</v>
      </c>
      <c r="AG81" s="326" t="s">
        <v>1705</v>
      </c>
      <c r="AH81" s="326" t="s">
        <v>1710</v>
      </c>
      <c r="AO81" s="326" t="s">
        <v>1634</v>
      </c>
      <c r="AP81" s="322"/>
      <c r="AQ81" s="326">
        <v>4060</v>
      </c>
      <c r="AR81" s="326" t="s">
        <v>1632</v>
      </c>
      <c r="AV81" s="326" t="b">
        <v>1</v>
      </c>
      <c r="AW81" s="334" t="b">
        <v>1</v>
      </c>
      <c r="AX81" s="334"/>
      <c r="AY81" s="334"/>
      <c r="AZ81" t="b">
        <v>1</v>
      </c>
      <c r="BA81" s="334" t="b">
        <v>1</v>
      </c>
    </row>
    <row r="82" spans="1:53">
      <c r="A82" s="277" t="s">
        <v>1633</v>
      </c>
      <c r="B82" s="327" t="str">
        <f>'Breuker in press NP'!A52</f>
        <v>North Pond 13512</v>
      </c>
      <c r="C82" s="334">
        <f>'Breuker in press NP'!B52</f>
        <v>189.531680440771</v>
      </c>
      <c r="I82" s="301">
        <f>'Breuker in press NP'!F52</f>
        <v>85794.165201165364</v>
      </c>
      <c r="J82" s="301">
        <f>'Breuker in press NP'!G52</f>
        <v>829335.91466639261</v>
      </c>
      <c r="K82" s="301">
        <f>I82+J82</f>
        <v>915130.07986755797</v>
      </c>
      <c r="N82" s="27">
        <f>J82/K82</f>
        <v>0.90624921299321526</v>
      </c>
      <c r="O82" s="228"/>
      <c r="P82" s="293"/>
      <c r="R82" s="304" t="s">
        <v>1584</v>
      </c>
      <c r="S82" t="s">
        <v>141</v>
      </c>
      <c r="V82" s="334"/>
      <c r="W82" s="334"/>
      <c r="X82" s="334"/>
      <c r="Y82" s="328"/>
      <c r="Z82" s="334"/>
      <c r="AA82" s="326" t="s">
        <v>1411</v>
      </c>
      <c r="AD82" s="326" t="s">
        <v>1717</v>
      </c>
      <c r="AE82" s="326" t="s">
        <v>1724</v>
      </c>
      <c r="AG82" s="326" t="s">
        <v>1705</v>
      </c>
      <c r="AH82" s="326" t="s">
        <v>1710</v>
      </c>
      <c r="AO82" s="326" t="s">
        <v>1634</v>
      </c>
      <c r="AP82" s="322"/>
      <c r="AQ82" s="326">
        <v>4060</v>
      </c>
      <c r="AR82" s="326" t="s">
        <v>1632</v>
      </c>
      <c r="AV82" s="326" t="b">
        <v>1</v>
      </c>
      <c r="AW82" s="334" t="b">
        <v>1</v>
      </c>
      <c r="AX82" s="334"/>
      <c r="AY82" s="334"/>
      <c r="AZ82" t="b">
        <v>1</v>
      </c>
      <c r="BA82" s="334" t="b">
        <v>1</v>
      </c>
    </row>
    <row r="83" spans="1:53">
      <c r="A83" s="277" t="s">
        <v>1633</v>
      </c>
      <c r="B83" s="334" t="str">
        <f>'Breuker in press NP'!A53</f>
        <v>North Pond 13512</v>
      </c>
      <c r="C83" s="334">
        <f>'Breuker in press NP'!B53</f>
        <v>242.65502314337601</v>
      </c>
      <c r="D83" s="301">
        <f>'Breuker in press NP'!C53</f>
        <v>150689.222393423</v>
      </c>
      <c r="I83" s="301">
        <f>'Breuker in press NP'!F53</f>
        <v>124745.25516615408</v>
      </c>
      <c r="J83" s="301">
        <f>'Breuker in press NP'!G53</f>
        <v>4213716.1907996405</v>
      </c>
      <c r="K83" s="301">
        <f>I83+J83</f>
        <v>4338461.4459657948</v>
      </c>
      <c r="N83" s="27">
        <f>J83/K83</f>
        <v>0.97124666043024277</v>
      </c>
      <c r="O83" s="228"/>
      <c r="P83" s="293"/>
      <c r="R83" s="304" t="s">
        <v>1584</v>
      </c>
      <c r="S83" t="s">
        <v>141</v>
      </c>
      <c r="V83" s="334"/>
      <c r="W83" s="334"/>
      <c r="X83" s="334"/>
      <c r="Y83" s="328"/>
      <c r="Z83" s="334"/>
      <c r="AA83" s="326" t="s">
        <v>1411</v>
      </c>
      <c r="AD83" s="326" t="s">
        <v>1717</v>
      </c>
      <c r="AE83" s="326" t="s">
        <v>1724</v>
      </c>
      <c r="AG83" s="326" t="s">
        <v>1705</v>
      </c>
      <c r="AH83" s="326" t="s">
        <v>1710</v>
      </c>
      <c r="AO83" s="326" t="s">
        <v>1634</v>
      </c>
      <c r="AP83" s="322"/>
      <c r="AQ83" s="326">
        <v>4060</v>
      </c>
      <c r="AR83" s="326" t="s">
        <v>1632</v>
      </c>
      <c r="AV83" s="326" t="b">
        <v>1</v>
      </c>
      <c r="AW83" s="334" t="b">
        <v>1</v>
      </c>
      <c r="AX83" s="334"/>
      <c r="AY83" s="334"/>
      <c r="AZ83" t="b">
        <v>1</v>
      </c>
      <c r="BA83" s="334" t="b">
        <v>1</v>
      </c>
    </row>
    <row r="84" spans="1:53">
      <c r="A84" s="277" t="s">
        <v>1633</v>
      </c>
      <c r="B84" s="334" t="str">
        <f>'Breuker in press NP'!A54</f>
        <v>North Pond 13512</v>
      </c>
      <c r="C84" s="334">
        <f>'Breuker in press NP'!B54</f>
        <v>292.925810018177</v>
      </c>
      <c r="D84" s="301">
        <f>'Breuker in press NP'!C54</f>
        <v>96133.933429329496</v>
      </c>
      <c r="I84" s="301">
        <f>'Breuker in press NP'!F54</f>
        <v>118477.29884001614</v>
      </c>
      <c r="J84" s="301">
        <f>'Breuker in press NP'!G54</f>
        <v>384520.43514220649</v>
      </c>
      <c r="K84" s="301">
        <f>I84+J84</f>
        <v>502997.73398222262</v>
      </c>
      <c r="N84" s="27">
        <f>J84/K84</f>
        <v>0.76445758929760221</v>
      </c>
      <c r="O84" s="228"/>
      <c r="P84" s="293"/>
      <c r="R84" s="304" t="s">
        <v>1584</v>
      </c>
      <c r="S84" t="s">
        <v>141</v>
      </c>
      <c r="V84" s="334"/>
      <c r="W84" s="334"/>
      <c r="X84" s="334"/>
      <c r="Y84" s="334"/>
      <c r="Z84" s="334"/>
      <c r="AA84" s="326" t="s">
        <v>1411</v>
      </c>
      <c r="AD84" s="326" t="s">
        <v>1717</v>
      </c>
      <c r="AE84" s="326" t="s">
        <v>1724</v>
      </c>
      <c r="AG84" s="326" t="s">
        <v>1705</v>
      </c>
      <c r="AH84" s="326" t="s">
        <v>1710</v>
      </c>
      <c r="AO84" s="326" t="s">
        <v>1634</v>
      </c>
      <c r="AP84" s="322"/>
      <c r="AQ84" s="326">
        <v>4060</v>
      </c>
      <c r="AR84" s="326" t="s">
        <v>1632</v>
      </c>
      <c r="AV84" s="326" t="b">
        <v>1</v>
      </c>
      <c r="AW84" s="334" t="b">
        <v>1</v>
      </c>
      <c r="AX84" s="334"/>
      <c r="AY84" s="334"/>
      <c r="AZ84" t="b">
        <v>1</v>
      </c>
      <c r="BA84" s="334" t="b">
        <v>1</v>
      </c>
    </row>
    <row r="85" spans="1:53">
      <c r="A85" s="277" t="s">
        <v>1633</v>
      </c>
      <c r="B85" s="327" t="str">
        <f>'Breuker in press NP'!A55</f>
        <v>North Pond 13512</v>
      </c>
      <c r="C85" s="334">
        <f>'Breuker in press NP'!B55</f>
        <v>339.39393939393898</v>
      </c>
      <c r="I85" s="301">
        <f>'Breuker in press NP'!F55</f>
        <v>121874.37729341055</v>
      </c>
      <c r="J85" s="301">
        <f>'Breuker in press NP'!G55</f>
        <v>365199.80213882099</v>
      </c>
      <c r="K85" s="301">
        <f>I85+J85</f>
        <v>487074.17943223153</v>
      </c>
      <c r="N85" s="27">
        <f>J85/K85</f>
        <v>0.74978271803388141</v>
      </c>
      <c r="O85" s="228"/>
      <c r="P85" s="293"/>
      <c r="R85" s="304" t="s">
        <v>1584</v>
      </c>
      <c r="S85" t="s">
        <v>141</v>
      </c>
      <c r="V85" s="334"/>
      <c r="W85" s="334"/>
      <c r="X85" s="334"/>
      <c r="Y85" s="328"/>
      <c r="Z85" s="334"/>
      <c r="AA85" s="326" t="s">
        <v>1411</v>
      </c>
      <c r="AD85" s="326" t="s">
        <v>1717</v>
      </c>
      <c r="AE85" s="326" t="s">
        <v>1724</v>
      </c>
      <c r="AG85" s="326" t="s">
        <v>1705</v>
      </c>
      <c r="AH85" s="326" t="s">
        <v>1710</v>
      </c>
      <c r="AO85" s="326" t="s">
        <v>1634</v>
      </c>
      <c r="AP85" s="322"/>
      <c r="AQ85" s="326">
        <v>4060</v>
      </c>
      <c r="AR85" s="326" t="s">
        <v>1632</v>
      </c>
      <c r="AV85" s="326" t="b">
        <v>1</v>
      </c>
      <c r="AW85" s="334" t="b">
        <v>1</v>
      </c>
      <c r="AX85" s="334"/>
      <c r="AY85" s="334"/>
      <c r="AZ85" t="b">
        <v>1</v>
      </c>
      <c r="BA85" s="334" t="b">
        <v>1</v>
      </c>
    </row>
    <row r="86" spans="1:53">
      <c r="A86" s="277" t="s">
        <v>1633</v>
      </c>
      <c r="B86" s="327" t="str">
        <f>'Breuker in press NP'!A57</f>
        <v>North Pond 13512</v>
      </c>
      <c r="C86" s="334">
        <f>'Breuker in press NP'!B57</f>
        <v>438.56749311294698</v>
      </c>
      <c r="I86" s="301">
        <f>'Breuker in press NP'!F57</f>
        <v>128963.53851605659</v>
      </c>
      <c r="J86" s="301">
        <f>'Breuker in press NP'!G57</f>
        <v>712821.874395516</v>
      </c>
      <c r="K86" s="301">
        <f>I86+J86</f>
        <v>841785.41291157261</v>
      </c>
      <c r="N86" s="27">
        <f>J86/K86</f>
        <v>0.84679760834771811</v>
      </c>
      <c r="O86" s="228"/>
      <c r="P86" s="293"/>
      <c r="R86" s="304" t="s">
        <v>1584</v>
      </c>
      <c r="S86" t="s">
        <v>141</v>
      </c>
      <c r="V86" s="334"/>
      <c r="W86" s="334"/>
      <c r="X86" s="334"/>
      <c r="Y86" s="334"/>
      <c r="Z86" s="334"/>
      <c r="AA86" s="326" t="s">
        <v>1411</v>
      </c>
      <c r="AD86" s="326" t="s">
        <v>1717</v>
      </c>
      <c r="AE86" s="326" t="s">
        <v>1724</v>
      </c>
      <c r="AG86" s="326" t="s">
        <v>1705</v>
      </c>
      <c r="AH86" s="326" t="s">
        <v>1710</v>
      </c>
      <c r="AO86" s="326" t="s">
        <v>1634</v>
      </c>
      <c r="AP86" s="322"/>
      <c r="AQ86" s="326">
        <v>4060</v>
      </c>
      <c r="AR86" s="326" t="s">
        <v>1632</v>
      </c>
      <c r="AV86" s="326" t="b">
        <v>1</v>
      </c>
      <c r="AW86" s="334" t="b">
        <v>1</v>
      </c>
      <c r="AX86" s="334"/>
      <c r="AY86" s="334"/>
      <c r="AZ86" t="b">
        <v>1</v>
      </c>
      <c r="BA86" s="334" t="b">
        <v>1</v>
      </c>
    </row>
    <row r="87" spans="1:53">
      <c r="A87" s="277" t="s">
        <v>1668</v>
      </c>
      <c r="B87" s="334" t="str">
        <f>'Bühring 2005'!A5</f>
        <v>Northern Germany sands</v>
      </c>
      <c r="C87" s="334">
        <f>'Bühring 2005'!D5</f>
        <v>2.5000000000000001E-3</v>
      </c>
      <c r="H87" s="27">
        <f>'Bühring 2005'!E5</f>
        <v>0.51</v>
      </c>
      <c r="I87" s="181"/>
      <c r="O87" s="228" t="s">
        <v>73</v>
      </c>
      <c r="P87" s="293"/>
      <c r="Q87" s="301" t="b">
        <v>1</v>
      </c>
      <c r="R87" s="304" t="s">
        <v>53</v>
      </c>
      <c r="S87" t="s">
        <v>164</v>
      </c>
      <c r="T87" t="s">
        <v>165</v>
      </c>
      <c r="U87" t="s">
        <v>1464</v>
      </c>
      <c r="V87" s="313">
        <v>0.1</v>
      </c>
      <c r="W87" s="334" t="s">
        <v>243</v>
      </c>
      <c r="X87" s="306" t="s">
        <v>261</v>
      </c>
      <c r="Y87" s="306" t="s">
        <v>262</v>
      </c>
      <c r="Z87" s="306" t="s">
        <v>96</v>
      </c>
      <c r="AB87" s="306" t="s">
        <v>311</v>
      </c>
      <c r="AP87" s="322"/>
      <c r="AQ87" s="326"/>
      <c r="AR87" s="326" t="s">
        <v>162</v>
      </c>
      <c r="AW87" s="334"/>
      <c r="AX87" s="334"/>
      <c r="AY87" s="334"/>
      <c r="BA87" s="334"/>
    </row>
    <row r="88" spans="1:53">
      <c r="A88" s="277" t="s">
        <v>1668</v>
      </c>
      <c r="B88" s="334" t="str">
        <f>'Bühring 2005'!A4</f>
        <v>Northern Germany sands</v>
      </c>
      <c r="C88" s="334">
        <f>'Bühring 2005'!D4</f>
        <v>2.5000000000000001E-3</v>
      </c>
      <c r="H88" s="27">
        <f>'Bühring 2005'!E4</f>
        <v>0.61</v>
      </c>
      <c r="O88" s="228" t="s">
        <v>73</v>
      </c>
      <c r="P88" s="293"/>
      <c r="Q88" s="301" t="b">
        <v>1</v>
      </c>
      <c r="R88" s="304" t="s">
        <v>53</v>
      </c>
      <c r="S88" t="s">
        <v>164</v>
      </c>
      <c r="T88" t="s">
        <v>165</v>
      </c>
      <c r="U88" t="s">
        <v>1464</v>
      </c>
      <c r="V88" s="313">
        <v>0.1</v>
      </c>
      <c r="W88" s="334" t="s">
        <v>243</v>
      </c>
      <c r="X88" s="306" t="s">
        <v>261</v>
      </c>
      <c r="Y88" s="306" t="s">
        <v>262</v>
      </c>
      <c r="Z88" s="306" t="s">
        <v>96</v>
      </c>
      <c r="AB88" s="306" t="s">
        <v>311</v>
      </c>
      <c r="AP88" s="322"/>
      <c r="AQ88" s="326"/>
      <c r="AR88" s="326" t="s">
        <v>162</v>
      </c>
      <c r="AW88" s="334"/>
      <c r="AX88" s="334"/>
      <c r="AY88" s="334"/>
      <c r="BA88" s="334"/>
    </row>
    <row r="89" spans="1:53">
      <c r="A89" s="277" t="s">
        <v>1667</v>
      </c>
      <c r="B89" s="334" t="str">
        <f>'Bühring 2005'!A6</f>
        <v>Northern Germany sands</v>
      </c>
      <c r="C89" s="334">
        <f>'Bühring 2005'!D6</f>
        <v>2.5000000000000001E-3</v>
      </c>
      <c r="H89" s="27">
        <f>'Bühring 2005'!E6</f>
        <v>0.65</v>
      </c>
      <c r="O89" s="228" t="s">
        <v>73</v>
      </c>
      <c r="P89" s="293"/>
      <c r="Q89" s="301" t="b">
        <v>1</v>
      </c>
      <c r="R89" s="304" t="s">
        <v>53</v>
      </c>
      <c r="S89" t="s">
        <v>164</v>
      </c>
      <c r="T89" t="s">
        <v>165</v>
      </c>
      <c r="U89" t="s">
        <v>1464</v>
      </c>
      <c r="V89" s="313">
        <v>0.1</v>
      </c>
      <c r="W89" s="334" t="s">
        <v>243</v>
      </c>
      <c r="X89" s="306" t="s">
        <v>261</v>
      </c>
      <c r="Y89" s="306" t="s">
        <v>262</v>
      </c>
      <c r="Z89" s="306" t="s">
        <v>96</v>
      </c>
      <c r="AB89" s="306" t="s">
        <v>311</v>
      </c>
      <c r="AQ89" s="326"/>
      <c r="AR89" s="322" t="s">
        <v>162</v>
      </c>
      <c r="AW89" s="334"/>
      <c r="AX89" s="334"/>
      <c r="AY89" s="334"/>
      <c r="BA89" s="334"/>
    </row>
    <row r="90" spans="1:53">
      <c r="A90" s="277" t="s">
        <v>1667</v>
      </c>
      <c r="B90" s="334" t="str">
        <f>'Bühring 2005'!A9</f>
        <v>Northern Germany sands</v>
      </c>
      <c r="C90" s="334">
        <f>'Bühring 2005'!D9</f>
        <v>9.5000000000000001E-2</v>
      </c>
      <c r="H90" s="27">
        <f>'Bühring 2005'!E9</f>
        <v>0.13</v>
      </c>
      <c r="O90" s="228" t="s">
        <v>73</v>
      </c>
      <c r="P90" s="293"/>
      <c r="Q90" s="301" t="b">
        <v>1</v>
      </c>
      <c r="R90" s="304" t="s">
        <v>53</v>
      </c>
      <c r="S90" t="s">
        <v>164</v>
      </c>
      <c r="T90" t="s">
        <v>165</v>
      </c>
      <c r="U90" t="s">
        <v>1464</v>
      </c>
      <c r="V90" s="313">
        <v>0.1</v>
      </c>
      <c r="W90" s="334" t="s">
        <v>243</v>
      </c>
      <c r="X90" s="306" t="s">
        <v>261</v>
      </c>
      <c r="Y90" s="306" t="s">
        <v>262</v>
      </c>
      <c r="Z90" s="306" t="s">
        <v>96</v>
      </c>
      <c r="AB90" s="306" t="s">
        <v>311</v>
      </c>
      <c r="AQ90" s="326"/>
      <c r="AR90" s="322" t="s">
        <v>162</v>
      </c>
      <c r="AW90" s="334"/>
      <c r="AX90" s="334"/>
      <c r="AY90" s="334"/>
      <c r="BA90" s="334"/>
    </row>
    <row r="91" spans="1:53">
      <c r="A91" s="277" t="s">
        <v>1667</v>
      </c>
      <c r="B91" s="334" t="str">
        <f>'Bühring 2005'!A7</f>
        <v>Northern Germany sands</v>
      </c>
      <c r="C91" s="334">
        <f>'Bühring 2005'!D7</f>
        <v>9.5000000000000001E-2</v>
      </c>
      <c r="H91" s="27">
        <f>'Bühring 2005'!E7</f>
        <v>0.51</v>
      </c>
      <c r="O91" s="228" t="s">
        <v>73</v>
      </c>
      <c r="P91" s="293"/>
      <c r="Q91" s="301" t="b">
        <v>1</v>
      </c>
      <c r="R91" s="304" t="s">
        <v>53</v>
      </c>
      <c r="S91" t="s">
        <v>164</v>
      </c>
      <c r="T91" t="s">
        <v>165</v>
      </c>
      <c r="U91" t="s">
        <v>1464</v>
      </c>
      <c r="V91" s="313">
        <v>0.1</v>
      </c>
      <c r="W91" s="334" t="s">
        <v>243</v>
      </c>
      <c r="X91" s="306" t="s">
        <v>261</v>
      </c>
      <c r="Y91" s="306" t="s">
        <v>262</v>
      </c>
      <c r="Z91" s="306" t="s">
        <v>96</v>
      </c>
      <c r="AB91" s="306" t="s">
        <v>311</v>
      </c>
      <c r="AQ91" s="326"/>
      <c r="AR91" s="322" t="s">
        <v>162</v>
      </c>
      <c r="AT91"/>
      <c r="AU91"/>
      <c r="AV91"/>
      <c r="AW91" s="334"/>
      <c r="AX91" s="334"/>
      <c r="AY91" s="334"/>
      <c r="BA91" s="334"/>
    </row>
    <row r="92" spans="1:53">
      <c r="A92" s="277" t="s">
        <v>1667</v>
      </c>
      <c r="B92" s="328" t="str">
        <f>'Bühring 2005'!A8</f>
        <v>Northern Germany sands</v>
      </c>
      <c r="C92" s="334">
        <f>'Bühring 2005'!D8</f>
        <v>9.5000000000000001E-2</v>
      </c>
      <c r="H92" s="27">
        <f>'Bühring 2005'!E8</f>
        <v>0.54</v>
      </c>
      <c r="O92" s="228" t="s">
        <v>73</v>
      </c>
      <c r="Q92" s="301" t="b">
        <v>1</v>
      </c>
      <c r="R92" s="304" t="s">
        <v>53</v>
      </c>
      <c r="S92" t="s">
        <v>164</v>
      </c>
      <c r="T92" t="s">
        <v>165</v>
      </c>
      <c r="U92" t="s">
        <v>1464</v>
      </c>
      <c r="V92" s="313">
        <v>0.1</v>
      </c>
      <c r="W92" s="334" t="s">
        <v>243</v>
      </c>
      <c r="X92" s="306" t="s">
        <v>261</v>
      </c>
      <c r="Y92" s="306" t="s">
        <v>262</v>
      </c>
      <c r="Z92" s="306" t="s">
        <v>96</v>
      </c>
      <c r="AB92" s="306" t="s">
        <v>311</v>
      </c>
      <c r="AQ92" s="326"/>
      <c r="AR92" s="322" t="s">
        <v>162</v>
      </c>
      <c r="AT92"/>
      <c r="AU92"/>
      <c r="AV92"/>
      <c r="AW92" s="334"/>
      <c r="AX92" s="334"/>
      <c r="AY92" s="334"/>
      <c r="BA92" s="334"/>
    </row>
    <row r="93" spans="1:53">
      <c r="A93" s="277" t="s">
        <v>358</v>
      </c>
      <c r="B93" s="334" t="s">
        <v>1685</v>
      </c>
      <c r="C93" s="334">
        <v>2.5000000000000001E-3</v>
      </c>
      <c r="D93" s="301">
        <f>'Burke 2003'!K3</f>
        <v>3295652173.9130435</v>
      </c>
      <c r="E93" s="301">
        <f>'Burke 2003'!M3</f>
        <v>1156521739.130435</v>
      </c>
      <c r="F93" s="301">
        <f>'Burke 2003'!L3</f>
        <v>2608695.6521739131</v>
      </c>
      <c r="G93" s="301">
        <f>E93+F93</f>
        <v>1159130434.782609</v>
      </c>
      <c r="H93" s="27">
        <f>G93/D93</f>
        <v>0.35171503957783651</v>
      </c>
      <c r="M93" s="27">
        <f>F93/G93</f>
        <v>2.2505626406601645E-3</v>
      </c>
      <c r="O93" s="228" t="s">
        <v>943</v>
      </c>
      <c r="P93" s="327"/>
      <c r="R93" s="304" t="s">
        <v>460</v>
      </c>
      <c r="S93" t="s">
        <v>142</v>
      </c>
      <c r="T93" t="s">
        <v>165</v>
      </c>
      <c r="U93" t="s">
        <v>165</v>
      </c>
      <c r="V93" s="313">
        <v>0.2</v>
      </c>
      <c r="W93" s="313">
        <v>0.3</v>
      </c>
      <c r="X93" s="306" t="s">
        <v>115</v>
      </c>
      <c r="Y93" s="313"/>
      <c r="Z93" s="313"/>
      <c r="AB93" s="306" t="s">
        <v>311</v>
      </c>
      <c r="AC93" s="334" t="s">
        <v>1702</v>
      </c>
      <c r="AQ93" s="326">
        <v>0.5</v>
      </c>
      <c r="AR93" s="322" t="s">
        <v>1686</v>
      </c>
      <c r="AT93"/>
      <c r="AU93"/>
      <c r="AV93"/>
      <c r="AW93" s="334"/>
      <c r="AX93" s="334"/>
      <c r="AY93" s="334"/>
    </row>
    <row r="94" spans="1:53">
      <c r="A94" s="277" t="s">
        <v>358</v>
      </c>
      <c r="B94" s="334" t="s">
        <v>1685</v>
      </c>
      <c r="C94" s="334">
        <v>2.5000000000000001E-3</v>
      </c>
      <c r="D94" s="301">
        <f>'Burke 2003'!K7</f>
        <v>3295652173.9130435</v>
      </c>
      <c r="E94" s="301">
        <f>'Burke 2003'!M7</f>
        <v>1156521739.130435</v>
      </c>
      <c r="F94" s="301">
        <f>'Burke 2003'!L7</f>
        <v>2608695.6521739131</v>
      </c>
      <c r="G94" s="301">
        <f>E94+F94</f>
        <v>1159130434.782609</v>
      </c>
      <c r="H94" s="27">
        <f>G94/D94</f>
        <v>0.35171503957783651</v>
      </c>
      <c r="M94" s="27">
        <f>F94/G94</f>
        <v>2.2505626406601645E-3</v>
      </c>
      <c r="O94" s="228" t="s">
        <v>943</v>
      </c>
      <c r="P94" s="293"/>
      <c r="R94" s="304" t="s">
        <v>460</v>
      </c>
      <c r="S94" t="s">
        <v>142</v>
      </c>
      <c r="T94" t="s">
        <v>165</v>
      </c>
      <c r="U94" t="s">
        <v>165</v>
      </c>
      <c r="V94" s="313">
        <v>0.2</v>
      </c>
      <c r="W94" s="313">
        <v>0.3</v>
      </c>
      <c r="X94" s="313"/>
      <c r="Y94" s="313"/>
      <c r="Z94" s="313"/>
      <c r="AB94" s="306" t="s">
        <v>311</v>
      </c>
      <c r="AC94" s="334" t="s">
        <v>1702</v>
      </c>
      <c r="AQ94" s="326">
        <v>0.5</v>
      </c>
      <c r="AR94" s="322" t="s">
        <v>1686</v>
      </c>
      <c r="AT94"/>
      <c r="AU94"/>
      <c r="AV94"/>
      <c r="AW94" s="334"/>
      <c r="AX94" s="334"/>
      <c r="AY94" s="334"/>
    </row>
    <row r="95" spans="1:53">
      <c r="A95" s="277" t="s">
        <v>358</v>
      </c>
      <c r="B95" s="334" t="s">
        <v>1685</v>
      </c>
      <c r="C95" s="334">
        <v>2.5000000000000001E-3</v>
      </c>
      <c r="D95" s="301">
        <f>'Burke 2003'!K10</f>
        <v>3530434782.608696</v>
      </c>
      <c r="E95" s="301">
        <f>'Burke 2003'!M10</f>
        <v>947826086.95652187</v>
      </c>
      <c r="F95" s="301">
        <f>'Burke 2003'!L10</f>
        <v>6956521.7391304355</v>
      </c>
      <c r="G95" s="301">
        <f>E95+F95</f>
        <v>954782608.69565225</v>
      </c>
      <c r="H95" s="27">
        <f>G95/D95</f>
        <v>0.27044334975369455</v>
      </c>
      <c r="I95" s="336"/>
      <c r="M95" s="27">
        <f>F95/G95</f>
        <v>7.2859744990892532E-3</v>
      </c>
      <c r="O95" s="228" t="s">
        <v>943</v>
      </c>
      <c r="P95" s="327"/>
      <c r="R95" s="304" t="s">
        <v>460</v>
      </c>
      <c r="S95" t="s">
        <v>142</v>
      </c>
      <c r="T95" t="s">
        <v>165</v>
      </c>
      <c r="U95" t="s">
        <v>165</v>
      </c>
      <c r="V95" s="313">
        <v>0.2</v>
      </c>
      <c r="W95" s="313">
        <v>0.3</v>
      </c>
      <c r="X95" s="313"/>
      <c r="Y95" s="313"/>
      <c r="Z95" s="313"/>
      <c r="AB95" s="306" t="s">
        <v>311</v>
      </c>
      <c r="AC95" s="334" t="s">
        <v>1702</v>
      </c>
      <c r="AQ95" s="326">
        <v>0.5</v>
      </c>
      <c r="AR95" s="322" t="s">
        <v>1686</v>
      </c>
      <c r="AT95"/>
      <c r="AU95"/>
      <c r="AV95"/>
      <c r="AW95" s="334"/>
      <c r="AX95" s="334"/>
      <c r="AY95" s="334"/>
    </row>
    <row r="96" spans="1:53">
      <c r="A96" s="277" t="s">
        <v>358</v>
      </c>
      <c r="B96" s="334" t="s">
        <v>1685</v>
      </c>
      <c r="C96" s="334">
        <v>2.5000000000000001E-3</v>
      </c>
      <c r="D96" s="301">
        <f>'Burke 2003'!K4</f>
        <v>3565217391.304348</v>
      </c>
      <c r="E96" s="301">
        <f>'Burke 2003'!M4</f>
        <v>1486956521.7391305</v>
      </c>
      <c r="F96" s="301">
        <f>'Burke 2003'!L4</f>
        <v>6086956.5217391308</v>
      </c>
      <c r="G96" s="301">
        <f>E96+F96</f>
        <v>1493043478.2608697</v>
      </c>
      <c r="H96" s="27">
        <f>G96/D96</f>
        <v>0.41878048780487809</v>
      </c>
      <c r="M96" s="27">
        <f>F96/G96</f>
        <v>4.0768782760628999E-3</v>
      </c>
      <c r="O96" s="228" t="s">
        <v>943</v>
      </c>
      <c r="P96" s="293"/>
      <c r="R96" s="304" t="s">
        <v>460</v>
      </c>
      <c r="S96" t="s">
        <v>142</v>
      </c>
      <c r="T96" t="s">
        <v>165</v>
      </c>
      <c r="U96" t="s">
        <v>165</v>
      </c>
      <c r="V96" s="313">
        <v>0.2</v>
      </c>
      <c r="W96" s="313">
        <v>0.3</v>
      </c>
      <c r="X96" s="313"/>
      <c r="Y96" s="313"/>
      <c r="Z96" s="313"/>
      <c r="AB96" s="306" t="s">
        <v>311</v>
      </c>
      <c r="AC96" s="334" t="s">
        <v>1702</v>
      </c>
      <c r="AQ96" s="326">
        <v>0.5</v>
      </c>
      <c r="AR96" s="322" t="s">
        <v>1686</v>
      </c>
      <c r="AT96"/>
      <c r="AU96"/>
      <c r="AV96"/>
      <c r="AW96" s="334"/>
      <c r="AX96" s="334"/>
      <c r="AY96" s="334"/>
    </row>
    <row r="97" spans="1:51">
      <c r="A97" s="277" t="s">
        <v>358</v>
      </c>
      <c r="B97" s="334" t="s">
        <v>1685</v>
      </c>
      <c r="C97" s="334">
        <v>2.5000000000000001E-3</v>
      </c>
      <c r="D97" s="301">
        <f>'Burke 2003'!K6</f>
        <v>3895652173.913044</v>
      </c>
      <c r="E97" s="301">
        <f>'Burke 2003'!M6</f>
        <v>1139130434.7826087</v>
      </c>
      <c r="F97" s="301">
        <f>'Burke 2003'!L6</f>
        <v>3478260.8695652178</v>
      </c>
      <c r="G97" s="301">
        <f>E97+F97</f>
        <v>1142608695.652174</v>
      </c>
      <c r="H97" s="27">
        <f>G97/D97</f>
        <v>0.29330357142857139</v>
      </c>
      <c r="M97" s="27">
        <f>F97/G97</f>
        <v>3.0441400304414006E-3</v>
      </c>
      <c r="O97" s="228" t="s">
        <v>943</v>
      </c>
      <c r="P97" s="293"/>
      <c r="R97" s="304" t="s">
        <v>460</v>
      </c>
      <c r="S97" t="s">
        <v>142</v>
      </c>
      <c r="T97" t="s">
        <v>165</v>
      </c>
      <c r="U97" t="s">
        <v>165</v>
      </c>
      <c r="V97" s="313">
        <v>0.2</v>
      </c>
      <c r="W97" s="313">
        <v>0.3</v>
      </c>
      <c r="X97" s="313"/>
      <c r="Y97" s="313"/>
      <c r="Z97" s="313"/>
      <c r="AB97" s="306" t="s">
        <v>311</v>
      </c>
      <c r="AC97" s="334" t="s">
        <v>1702</v>
      </c>
      <c r="AQ97" s="326">
        <v>0.5</v>
      </c>
      <c r="AR97" s="322" t="s">
        <v>1686</v>
      </c>
      <c r="AT97"/>
      <c r="AU97"/>
      <c r="AV97"/>
      <c r="AW97" s="334"/>
      <c r="AX97" s="334"/>
      <c r="AY97" s="334"/>
    </row>
    <row r="98" spans="1:51">
      <c r="A98" s="277" t="s">
        <v>358</v>
      </c>
      <c r="B98" s="334" t="s">
        <v>1685</v>
      </c>
      <c r="C98" s="334">
        <v>2.5000000000000001E-3</v>
      </c>
      <c r="D98" s="301">
        <f>'Burke 2003'!K8</f>
        <v>4086956521.739131</v>
      </c>
      <c r="E98" s="301">
        <f>'Burke 2003'!M8</f>
        <v>1739130434.7826087</v>
      </c>
      <c r="F98" s="301">
        <f>'Burke 2003'!L8</f>
        <v>9565217.3913043477</v>
      </c>
      <c r="G98" s="301">
        <f>E98+F98</f>
        <v>1748695652.173913</v>
      </c>
      <c r="H98" s="27">
        <f>G98/D98</f>
        <v>0.42787234042553185</v>
      </c>
      <c r="M98" s="27">
        <f>F98/G98</f>
        <v>5.4699154649428148E-3</v>
      </c>
      <c r="O98" s="228" t="s">
        <v>943</v>
      </c>
      <c r="P98" s="293"/>
      <c r="R98" s="304" t="s">
        <v>460</v>
      </c>
      <c r="S98" t="s">
        <v>142</v>
      </c>
      <c r="T98" t="s">
        <v>165</v>
      </c>
      <c r="U98" t="s">
        <v>165</v>
      </c>
      <c r="V98" s="313">
        <v>0.2</v>
      </c>
      <c r="W98" s="313">
        <v>0.3</v>
      </c>
      <c r="X98" s="313"/>
      <c r="Y98" s="313"/>
      <c r="Z98" s="313"/>
      <c r="AB98" s="306" t="s">
        <v>311</v>
      </c>
      <c r="AC98" s="334" t="s">
        <v>1702</v>
      </c>
      <c r="AQ98" s="326">
        <v>0.5</v>
      </c>
      <c r="AR98" s="322" t="s">
        <v>1686</v>
      </c>
      <c r="AT98"/>
      <c r="AU98"/>
      <c r="AV98"/>
      <c r="AW98" s="334"/>
      <c r="AX98" s="334"/>
      <c r="AY98" s="334"/>
    </row>
    <row r="99" spans="1:51">
      <c r="A99" s="277" t="s">
        <v>358</v>
      </c>
      <c r="B99" s="334" t="s">
        <v>1685</v>
      </c>
      <c r="C99" s="334">
        <v>2.5000000000000001E-3</v>
      </c>
      <c r="D99" s="301">
        <f>'Burke 2003'!K5</f>
        <v>4591304347.826087</v>
      </c>
      <c r="E99" s="301">
        <f>'Burke 2003'!M5</f>
        <v>1660869565.2173915</v>
      </c>
      <c r="F99" s="301">
        <f>'Burke 2003'!L5</f>
        <v>12173913.043478262</v>
      </c>
      <c r="G99" s="301">
        <f>E99+F99</f>
        <v>1673043478.2608697</v>
      </c>
      <c r="H99" s="27">
        <f>G99/D99</f>
        <v>0.36439393939393944</v>
      </c>
      <c r="M99" s="27">
        <f>F99/G99</f>
        <v>7.276507276507276E-3</v>
      </c>
      <c r="O99" s="228" t="s">
        <v>943</v>
      </c>
      <c r="P99" s="293"/>
      <c r="R99" s="304" t="s">
        <v>460</v>
      </c>
      <c r="S99" t="s">
        <v>142</v>
      </c>
      <c r="T99" t="s">
        <v>165</v>
      </c>
      <c r="U99" t="s">
        <v>165</v>
      </c>
      <c r="V99" s="313">
        <v>0.2</v>
      </c>
      <c r="W99" s="313">
        <v>0.3</v>
      </c>
      <c r="X99" s="313"/>
      <c r="Y99" s="313"/>
      <c r="Z99" s="313"/>
      <c r="AB99" s="306" t="s">
        <v>311</v>
      </c>
      <c r="AC99" s="334" t="s">
        <v>1702</v>
      </c>
      <c r="AQ99" s="326">
        <v>0.5</v>
      </c>
      <c r="AR99" s="322" t="s">
        <v>1686</v>
      </c>
      <c r="AT99"/>
      <c r="AU99"/>
      <c r="AV99"/>
      <c r="AW99" s="334"/>
      <c r="AX99" s="334"/>
      <c r="AY99" s="334"/>
    </row>
    <row r="100" spans="1:51">
      <c r="A100" s="277" t="s">
        <v>358</v>
      </c>
      <c r="B100" s="334" t="s">
        <v>1685</v>
      </c>
      <c r="C100" s="334">
        <v>2.5000000000000001E-3</v>
      </c>
      <c r="D100" s="301">
        <f>'Burke 2003'!K9</f>
        <v>5243478260.869566</v>
      </c>
      <c r="E100" s="301">
        <f>'Burke 2003'!M9</f>
        <v>1626086956.5217392</v>
      </c>
      <c r="F100" s="301">
        <f>'Burke 2003'!L9</f>
        <v>6956521.7391304355</v>
      </c>
      <c r="G100" s="301">
        <f>E100+F100</f>
        <v>1633043478.2608697</v>
      </c>
      <c r="H100" s="27">
        <f>G100/D100</f>
        <v>0.31144278606965176</v>
      </c>
      <c r="M100" s="27">
        <f>F100/G100</f>
        <v>4.2598509052183178E-3</v>
      </c>
      <c r="O100" s="228" t="s">
        <v>943</v>
      </c>
      <c r="R100" s="304" t="s">
        <v>460</v>
      </c>
      <c r="S100" t="s">
        <v>142</v>
      </c>
      <c r="T100" t="s">
        <v>165</v>
      </c>
      <c r="U100" t="s">
        <v>165</v>
      </c>
      <c r="V100" s="313">
        <v>0.2</v>
      </c>
      <c r="W100" s="313">
        <v>0.3</v>
      </c>
      <c r="X100" s="313"/>
      <c r="Y100" s="313"/>
      <c r="Z100" s="313"/>
      <c r="AB100" s="306" t="s">
        <v>311</v>
      </c>
      <c r="AC100" s="334" t="s">
        <v>1702</v>
      </c>
      <c r="AQ100" s="326">
        <v>0.5</v>
      </c>
      <c r="AR100" s="322" t="s">
        <v>1686</v>
      </c>
      <c r="AT100"/>
      <c r="AU100"/>
      <c r="AV100"/>
      <c r="AW100" s="334"/>
      <c r="AX100" s="334"/>
      <c r="AY100" s="334"/>
    </row>
    <row r="101" spans="1:51">
      <c r="A101" s="277" t="s">
        <v>408</v>
      </c>
      <c r="B101" s="334" t="str">
        <f>'FPA Danovaro 2009'!A7</f>
        <v>W. Mediterranean Marsili</v>
      </c>
      <c r="C101" s="334">
        <f>'FPA Danovaro 2009'!B7</f>
        <v>0.01</v>
      </c>
      <c r="D101" s="301">
        <f>'FPA Danovaro 2009'!G7</f>
        <v>194615384.61538461</v>
      </c>
      <c r="E101" s="301">
        <f>'FPA Danovaro 2009'!H7</f>
        <v>105384615.38461538</v>
      </c>
      <c r="F101" s="301">
        <f>'FPA Danovaro 2009'!I7</f>
        <v>33076923.076923076</v>
      </c>
      <c r="G101" s="301">
        <f>E101+F101</f>
        <v>138461538.46153846</v>
      </c>
      <c r="H101" s="27">
        <f>G101/D101</f>
        <v>0.71146245059288538</v>
      </c>
      <c r="I101" s="334"/>
      <c r="M101" s="27">
        <f>F101/G101</f>
        <v>0.23888888888888887</v>
      </c>
      <c r="O101" s="228" t="s">
        <v>440</v>
      </c>
      <c r="P101" s="328"/>
      <c r="R101" s="304" t="s">
        <v>1395</v>
      </c>
      <c r="S101" t="s">
        <v>140</v>
      </c>
      <c r="T101" t="s">
        <v>55</v>
      </c>
      <c r="U101" t="s">
        <v>56</v>
      </c>
      <c r="V101" s="313">
        <v>0.55000000000000004</v>
      </c>
      <c r="W101" s="313">
        <v>0.55000000000000004</v>
      </c>
      <c r="X101" s="306" t="s">
        <v>91</v>
      </c>
      <c r="Y101" s="181">
        <v>10</v>
      </c>
      <c r="Z101" s="314" t="s">
        <v>97</v>
      </c>
      <c r="AB101" s="334" t="s">
        <v>311</v>
      </c>
      <c r="AC101" s="334" t="s">
        <v>1702</v>
      </c>
      <c r="AQ101" s="326">
        <v>3500</v>
      </c>
      <c r="AR101" s="322" t="s">
        <v>1463</v>
      </c>
      <c r="AS101" t="b">
        <v>1</v>
      </c>
      <c r="AT101"/>
      <c r="AU101"/>
      <c r="AV101"/>
      <c r="AW101" s="334"/>
      <c r="AX101" s="334"/>
      <c r="AY101" s="334"/>
    </row>
    <row r="102" spans="1:51">
      <c r="A102" s="277" t="s">
        <v>408</v>
      </c>
      <c r="B102" s="334" t="str">
        <f>'FPA Danovaro 2009'!A8</f>
        <v>W. Mediterranean Non-Seamount 1</v>
      </c>
      <c r="C102" s="334">
        <f>'FPA Danovaro 2009'!B8</f>
        <v>0.01</v>
      </c>
      <c r="D102" s="301">
        <f>'FPA Danovaro 2009'!G8</f>
        <v>136923076.92307693</v>
      </c>
      <c r="E102" s="301">
        <f>'FPA Danovaro 2009'!H8</f>
        <v>106923076.92307691</v>
      </c>
      <c r="F102" s="301">
        <f>'FPA Danovaro 2009'!I8</f>
        <v>10307692.307692308</v>
      </c>
      <c r="G102" s="301">
        <f>E102+F102</f>
        <v>117230769.23076922</v>
      </c>
      <c r="H102" s="27">
        <f>G102/D102</f>
        <v>0.85617977528089872</v>
      </c>
      <c r="I102" s="334"/>
      <c r="M102" s="27">
        <f>F102/G102</f>
        <v>8.7926509186351726E-2</v>
      </c>
      <c r="O102" s="228" t="s">
        <v>440</v>
      </c>
      <c r="P102" s="327"/>
      <c r="R102" s="304" t="s">
        <v>1395</v>
      </c>
      <c r="S102" t="s">
        <v>140</v>
      </c>
      <c r="T102" t="s">
        <v>55</v>
      </c>
      <c r="U102" t="s">
        <v>56</v>
      </c>
      <c r="V102" s="313">
        <v>0.55000000000000004</v>
      </c>
      <c r="W102" s="313">
        <v>0.55000000000000004</v>
      </c>
      <c r="X102" s="306" t="s">
        <v>91</v>
      </c>
      <c r="Y102" s="181">
        <v>10</v>
      </c>
      <c r="Z102" s="314" t="s">
        <v>97</v>
      </c>
      <c r="AB102" s="334" t="s">
        <v>311</v>
      </c>
      <c r="AC102" s="334" t="s">
        <v>1702</v>
      </c>
      <c r="AQ102" s="326">
        <v>3500</v>
      </c>
      <c r="AR102" t="s">
        <v>1463</v>
      </c>
      <c r="AS102" t="b">
        <v>1</v>
      </c>
      <c r="AT102"/>
      <c r="AU102"/>
      <c r="AV102"/>
      <c r="AW102" s="334"/>
      <c r="AX102" s="334"/>
      <c r="AY102" s="334"/>
    </row>
    <row r="103" spans="1:51">
      <c r="A103" s="277" t="s">
        <v>408</v>
      </c>
      <c r="B103" s="334" t="str">
        <f>'FPA Danovaro 2009'!A10</f>
        <v>W. Mediterranean Non-Seamount 2</v>
      </c>
      <c r="C103" s="334">
        <f>'FPA Danovaro 2009'!B10</f>
        <v>0.01</v>
      </c>
      <c r="D103" s="301">
        <f>'FPA Danovaro 2009'!G10</f>
        <v>170000000</v>
      </c>
      <c r="E103" s="301">
        <f>'FPA Danovaro 2009'!H10</f>
        <v>114615384.61538461</v>
      </c>
      <c r="F103" s="301">
        <f>'FPA Danovaro 2009'!I10</f>
        <v>13307692.307692308</v>
      </c>
      <c r="G103" s="301">
        <f>E103+F103</f>
        <v>127923076.92307691</v>
      </c>
      <c r="H103" s="336">
        <f>G103/D103</f>
        <v>0.75248868778280542</v>
      </c>
      <c r="I103" s="334"/>
      <c r="M103" s="27">
        <f>F103/G103</f>
        <v>0.10402886349969935</v>
      </c>
      <c r="O103" s="228" t="s">
        <v>440</v>
      </c>
      <c r="P103" s="328"/>
      <c r="R103" s="304" t="s">
        <v>1395</v>
      </c>
      <c r="S103" t="s">
        <v>140</v>
      </c>
      <c r="T103" t="s">
        <v>55</v>
      </c>
      <c r="U103" t="s">
        <v>56</v>
      </c>
      <c r="V103" s="313">
        <v>0.55000000000000004</v>
      </c>
      <c r="W103" s="313">
        <v>0.55000000000000004</v>
      </c>
      <c r="X103" s="306" t="s">
        <v>91</v>
      </c>
      <c r="Y103" s="181">
        <v>10</v>
      </c>
      <c r="Z103" s="314" t="s">
        <v>97</v>
      </c>
      <c r="AB103" s="334" t="s">
        <v>311</v>
      </c>
      <c r="AC103" s="334" t="s">
        <v>1702</v>
      </c>
      <c r="AQ103">
        <v>3500</v>
      </c>
      <c r="AR103" t="s">
        <v>1463</v>
      </c>
      <c r="AS103" t="b">
        <v>1</v>
      </c>
      <c r="AT103"/>
      <c r="AU103"/>
      <c r="AV103"/>
      <c r="AW103" s="334"/>
      <c r="AX103" s="334"/>
      <c r="AY103" s="334"/>
    </row>
    <row r="104" spans="1:51">
      <c r="A104" s="277" t="s">
        <v>408</v>
      </c>
      <c r="B104" s="334" t="str">
        <f>'FPA Danovaro 2009'!A9</f>
        <v>W. Mediterranean Palinuro</v>
      </c>
      <c r="C104" s="334">
        <f>'FPA Danovaro 2009'!B9</f>
        <v>0.01</v>
      </c>
      <c r="D104" s="301">
        <f>'FPA Danovaro 2009'!G9</f>
        <v>214615384.61538461</v>
      </c>
      <c r="E104" s="301">
        <f>'FPA Danovaro 2009'!H9</f>
        <v>159230769.23076922</v>
      </c>
      <c r="F104" s="301">
        <f>'FPA Danovaro 2009'!I9</f>
        <v>13923076.923076922</v>
      </c>
      <c r="G104" s="301">
        <f>E104+F104</f>
        <v>173153846.15384614</v>
      </c>
      <c r="H104" s="27">
        <f>G104/D104</f>
        <v>0.80681003584229394</v>
      </c>
      <c r="I104" s="334"/>
      <c r="M104" s="27">
        <f>F104/G104</f>
        <v>8.0408707241226118E-2</v>
      </c>
      <c r="O104" s="228" t="s">
        <v>440</v>
      </c>
      <c r="R104" s="304" t="s">
        <v>1395</v>
      </c>
      <c r="S104" t="s">
        <v>140</v>
      </c>
      <c r="T104" t="s">
        <v>55</v>
      </c>
      <c r="U104" t="s">
        <v>56</v>
      </c>
      <c r="V104" s="313">
        <v>0.55000000000000004</v>
      </c>
      <c r="W104" s="313">
        <v>0.55000000000000004</v>
      </c>
      <c r="X104" s="306" t="s">
        <v>91</v>
      </c>
      <c r="Y104" s="181">
        <v>10</v>
      </c>
      <c r="Z104" s="314" t="s">
        <v>97</v>
      </c>
      <c r="AB104" s="334" t="s">
        <v>311</v>
      </c>
      <c r="AC104" s="334" t="s">
        <v>1702</v>
      </c>
      <c r="AQ104" s="322">
        <v>3500</v>
      </c>
      <c r="AR104" t="s">
        <v>1463</v>
      </c>
      <c r="AS104" t="b">
        <v>1</v>
      </c>
      <c r="AT104"/>
      <c r="AU104"/>
      <c r="AV104"/>
      <c r="AW104" s="334"/>
      <c r="AX104" s="334"/>
      <c r="AY104" s="334"/>
    </row>
    <row r="105" spans="1:51">
      <c r="A105" s="277" t="s">
        <v>422</v>
      </c>
      <c r="B105" s="334" t="s">
        <v>423</v>
      </c>
      <c r="C105" s="334">
        <f>'EXD 2008 Engelen'!B4</f>
        <v>2.8125</v>
      </c>
      <c r="D105" s="301">
        <f>'EXD 2008 Engelen'!J4</f>
        <v>796692312.28694689</v>
      </c>
      <c r="O105" s="228"/>
      <c r="P105">
        <f>'EXD 2008 Engelen'!N4</f>
        <v>26.946803869742599</v>
      </c>
      <c r="R105" s="304" t="s">
        <v>1395</v>
      </c>
      <c r="S105" t="s">
        <v>143</v>
      </c>
      <c r="V105" s="334"/>
      <c r="W105" s="334"/>
      <c r="X105" s="334"/>
      <c r="Y105" s="327"/>
      <c r="Z105" s="334"/>
      <c r="AA105" s="326" t="s">
        <v>1411</v>
      </c>
      <c r="AD105" s="326" t="s">
        <v>1451</v>
      </c>
      <c r="AE105" s="326" t="s">
        <v>1452</v>
      </c>
      <c r="AG105" s="326" t="s">
        <v>1711</v>
      </c>
      <c r="AH105" s="326" t="s">
        <v>1715</v>
      </c>
      <c r="AM105" s="326" t="s">
        <v>1450</v>
      </c>
      <c r="AN105" s="326" t="s">
        <v>1450</v>
      </c>
      <c r="AO105" s="326" t="s">
        <v>1449</v>
      </c>
      <c r="AQ105" s="322">
        <v>2656</v>
      </c>
      <c r="AR105" t="s">
        <v>1463</v>
      </c>
      <c r="AT105"/>
      <c r="AU105"/>
      <c r="AV105"/>
      <c r="AW105" s="334"/>
      <c r="AX105" s="334"/>
      <c r="AY105" s="334"/>
    </row>
    <row r="106" spans="1:51">
      <c r="A106" s="277" t="s">
        <v>422</v>
      </c>
      <c r="B106" s="334" t="s">
        <v>423</v>
      </c>
      <c r="C106" s="334">
        <f>'EXD 2008 Engelen'!B5</f>
        <v>8.4375</v>
      </c>
      <c r="J106" s="301">
        <f>'EXD 2008 Engelen'!E5</f>
        <v>2437404.2839667564</v>
      </c>
      <c r="O106" s="228"/>
      <c r="P106">
        <f>'EXD 2008 Engelen'!N5</f>
        <v>21.804511278195399</v>
      </c>
      <c r="R106" s="304" t="s">
        <v>1395</v>
      </c>
      <c r="S106" t="s">
        <v>143</v>
      </c>
      <c r="V106" s="334"/>
      <c r="W106" s="334"/>
      <c r="X106" s="334"/>
      <c r="Y106" s="327"/>
      <c r="Z106" s="334"/>
      <c r="AA106" s="326" t="s">
        <v>1411</v>
      </c>
      <c r="AD106" s="326" t="s">
        <v>1451</v>
      </c>
      <c r="AE106" s="326" t="s">
        <v>1452</v>
      </c>
      <c r="AG106" s="326" t="s">
        <v>1711</v>
      </c>
      <c r="AH106" s="326" t="s">
        <v>1715</v>
      </c>
      <c r="AM106" s="326" t="s">
        <v>1450</v>
      </c>
      <c r="AN106" s="326" t="s">
        <v>1450</v>
      </c>
      <c r="AO106" s="326" t="s">
        <v>1449</v>
      </c>
      <c r="AQ106" s="322">
        <v>2656</v>
      </c>
      <c r="AR106" t="s">
        <v>1463</v>
      </c>
      <c r="AT106"/>
      <c r="AU106"/>
      <c r="AV106"/>
      <c r="AW106" s="334"/>
      <c r="AX106" s="334"/>
      <c r="AY106" s="334"/>
    </row>
    <row r="107" spans="1:51">
      <c r="A107" s="277" t="s">
        <v>422</v>
      </c>
      <c r="B107" s="328" t="s">
        <v>423</v>
      </c>
      <c r="C107" s="334">
        <f>'EXD 2008 Engelen'!B6</f>
        <v>9.84375</v>
      </c>
      <c r="D107" s="301">
        <f>'EXD 2008 Engelen'!J6</f>
        <v>152698982.20748571</v>
      </c>
      <c r="H107" s="336"/>
      <c r="O107" s="229"/>
      <c r="P107" s="327">
        <f>'EXD 2008 Engelen'!N6</f>
        <v>15.8556801560214</v>
      </c>
      <c r="R107" s="304" t="s">
        <v>1395</v>
      </c>
      <c r="S107" t="s">
        <v>143</v>
      </c>
      <c r="V107" s="334"/>
      <c r="W107" s="334"/>
      <c r="X107" s="334"/>
      <c r="Y107" s="327"/>
      <c r="Z107" s="334"/>
      <c r="AA107" s="326" t="s">
        <v>1411</v>
      </c>
      <c r="AD107" s="326" t="s">
        <v>1451</v>
      </c>
      <c r="AE107" s="326" t="s">
        <v>1452</v>
      </c>
      <c r="AG107" s="326" t="s">
        <v>1711</v>
      </c>
      <c r="AH107" s="326" t="s">
        <v>1715</v>
      </c>
      <c r="AM107" s="326" t="s">
        <v>1450</v>
      </c>
      <c r="AN107" s="326" t="s">
        <v>1450</v>
      </c>
      <c r="AO107" s="326" t="s">
        <v>1449</v>
      </c>
      <c r="AQ107" s="322">
        <v>2656</v>
      </c>
      <c r="AR107" t="s">
        <v>1463</v>
      </c>
      <c r="AV107"/>
      <c r="AW107" s="334"/>
      <c r="AX107" s="334"/>
      <c r="AY107" s="334"/>
    </row>
    <row r="108" spans="1:51">
      <c r="A108" s="277" t="s">
        <v>422</v>
      </c>
      <c r="B108" s="334" t="s">
        <v>423</v>
      </c>
      <c r="C108" s="334">
        <f>'EXD 2008 Engelen'!B7</f>
        <v>11.25</v>
      </c>
      <c r="D108" s="301">
        <f>'EXD 2008 Engelen'!J7</f>
        <v>152698982.20748571</v>
      </c>
      <c r="I108" s="301">
        <f>'EXD 2008 Engelen'!H7</f>
        <v>10068940.831419867</v>
      </c>
      <c r="J108" s="301">
        <f>'EXD 2008 Engelen'!E7</f>
        <v>204524.73750972078</v>
      </c>
      <c r="K108" s="301">
        <f>I108+J108</f>
        <v>10273465.568929587</v>
      </c>
      <c r="N108" s="27">
        <f>(J108/K108)</f>
        <v>1.9908056939254494E-2</v>
      </c>
      <c r="O108" s="229"/>
      <c r="P108" s="327">
        <f>'EXD 2008 Engelen'!N7</f>
        <v>12.961584849495701</v>
      </c>
      <c r="R108" s="304" t="s">
        <v>1395</v>
      </c>
      <c r="S108" t="s">
        <v>143</v>
      </c>
      <c r="V108" s="334"/>
      <c r="W108" s="334"/>
      <c r="X108" s="334"/>
      <c r="Y108" s="327"/>
      <c r="Z108" s="334"/>
      <c r="AA108" s="326" t="s">
        <v>1411</v>
      </c>
      <c r="AD108" s="326" t="s">
        <v>1451</v>
      </c>
      <c r="AE108" s="326" t="s">
        <v>1452</v>
      </c>
      <c r="AG108" s="326" t="s">
        <v>1711</v>
      </c>
      <c r="AH108" s="326" t="s">
        <v>1715</v>
      </c>
      <c r="AM108" s="326" t="s">
        <v>1450</v>
      </c>
      <c r="AN108" s="326" t="s">
        <v>1450</v>
      </c>
      <c r="AO108" s="326" t="s">
        <v>1449</v>
      </c>
      <c r="AQ108" s="322">
        <v>2656</v>
      </c>
      <c r="AR108" t="s">
        <v>1463</v>
      </c>
      <c r="AU108" s="326" t="s">
        <v>1562</v>
      </c>
      <c r="AV108"/>
      <c r="AW108" s="334"/>
      <c r="AX108" s="334"/>
      <c r="AY108" s="334"/>
    </row>
    <row r="109" spans="1:51">
      <c r="A109" s="277" t="s">
        <v>422</v>
      </c>
      <c r="B109" s="334" t="s">
        <v>423</v>
      </c>
      <c r="C109" s="334">
        <f>'EXD 2008 Engelen'!B8</f>
        <v>21.09375</v>
      </c>
      <c r="D109" s="301">
        <f>'EXD 2008 Engelen'!J8</f>
        <v>428790539.54909134</v>
      </c>
      <c r="O109" s="229"/>
      <c r="P109" s="328">
        <f>'EXD 2008 Engelen'!N8</f>
        <v>9.42338782108855</v>
      </c>
      <c r="R109" s="304" t="s">
        <v>1395</v>
      </c>
      <c r="S109" t="s">
        <v>143</v>
      </c>
      <c r="V109" s="334"/>
      <c r="W109" s="334"/>
      <c r="X109" s="334"/>
      <c r="Y109" s="327"/>
      <c r="Z109" s="334"/>
      <c r="AA109" s="328" t="s">
        <v>1411</v>
      </c>
      <c r="AD109" s="326" t="s">
        <v>1451</v>
      </c>
      <c r="AE109" s="328" t="s">
        <v>1452</v>
      </c>
      <c r="AG109" s="326" t="s">
        <v>1711</v>
      </c>
      <c r="AH109" s="326" t="s">
        <v>1715</v>
      </c>
      <c r="AM109" s="326" t="s">
        <v>1450</v>
      </c>
      <c r="AN109" s="326" t="s">
        <v>1450</v>
      </c>
      <c r="AO109" s="326" t="s">
        <v>1449</v>
      </c>
      <c r="AQ109" s="322">
        <v>2656</v>
      </c>
      <c r="AR109" t="s">
        <v>1463</v>
      </c>
      <c r="AV109"/>
      <c r="AW109" s="334"/>
      <c r="AX109" s="334"/>
      <c r="AY109" s="334"/>
    </row>
    <row r="110" spans="1:51">
      <c r="A110" s="277" t="s">
        <v>422</v>
      </c>
      <c r="B110" s="334" t="s">
        <v>423</v>
      </c>
      <c r="C110" s="334">
        <f>'EXD 2008 Engelen'!B9</f>
        <v>33.75</v>
      </c>
      <c r="D110" s="301">
        <f>'EXD 2008 Engelen'!J9</f>
        <v>283714527.2530365</v>
      </c>
      <c r="H110" s="336"/>
      <c r="O110" s="229"/>
      <c r="P110">
        <f>'EXD 2008 Engelen'!N9</f>
        <v>7.7346095614462698</v>
      </c>
      <c r="R110" s="304" t="s">
        <v>1395</v>
      </c>
      <c r="S110" t="s">
        <v>143</v>
      </c>
      <c r="V110" s="334"/>
      <c r="W110" s="334"/>
      <c r="X110" s="334"/>
      <c r="Y110" s="327"/>
      <c r="Z110" s="334"/>
      <c r="AA110" s="326" t="s">
        <v>1411</v>
      </c>
      <c r="AD110" s="326" t="s">
        <v>1451</v>
      </c>
      <c r="AE110" s="326" t="s">
        <v>1452</v>
      </c>
      <c r="AG110" s="326" t="s">
        <v>1711</v>
      </c>
      <c r="AH110" s="326" t="s">
        <v>1715</v>
      </c>
      <c r="AM110" s="326" t="s">
        <v>1450</v>
      </c>
      <c r="AN110" s="326" t="s">
        <v>1450</v>
      </c>
      <c r="AO110" s="326" t="s">
        <v>1449</v>
      </c>
      <c r="AQ110" s="322">
        <v>2656</v>
      </c>
      <c r="AR110" t="s">
        <v>1463</v>
      </c>
      <c r="AV110"/>
      <c r="AW110" s="334"/>
      <c r="AX110" s="334"/>
      <c r="AY110" s="334"/>
    </row>
    <row r="111" spans="1:51">
      <c r="A111" s="277" t="s">
        <v>422</v>
      </c>
      <c r="B111" s="334" t="s">
        <v>423</v>
      </c>
      <c r="C111" s="334">
        <f>'EXD 2008 Engelen'!B11</f>
        <v>36.5625</v>
      </c>
      <c r="I111" s="301">
        <f>'EXD 2008 Engelen'!H11</f>
        <v>244743.51865946018</v>
      </c>
      <c r="J111" s="301">
        <f>'EXD 2008 Engelen'!E11</f>
        <v>1067088.2260701312</v>
      </c>
      <c r="K111" s="301">
        <f>I111+J111</f>
        <v>1311831.7447295913</v>
      </c>
      <c r="N111" s="27">
        <f>(J111/K111)</f>
        <v>0.81343375806940144</v>
      </c>
      <c r="O111" s="229"/>
      <c r="P111" s="328">
        <f>'EXD 2008 Engelen'!N11</f>
        <v>2.98724627267827</v>
      </c>
      <c r="R111" s="304" t="s">
        <v>1395</v>
      </c>
      <c r="S111" t="s">
        <v>143</v>
      </c>
      <c r="V111" s="334"/>
      <c r="W111" s="334"/>
      <c r="X111" s="334"/>
      <c r="Y111" s="327"/>
      <c r="Z111" s="334"/>
      <c r="AA111" s="326" t="s">
        <v>1411</v>
      </c>
      <c r="AD111" s="326" t="s">
        <v>1451</v>
      </c>
      <c r="AE111" s="326" t="s">
        <v>1452</v>
      </c>
      <c r="AG111" s="326" t="s">
        <v>1711</v>
      </c>
      <c r="AH111" s="326" t="s">
        <v>1715</v>
      </c>
      <c r="AM111" s="326" t="s">
        <v>1450</v>
      </c>
      <c r="AN111" s="326" t="s">
        <v>1450</v>
      </c>
      <c r="AO111" s="326" t="s">
        <v>1449</v>
      </c>
      <c r="AQ111" s="322">
        <v>2656</v>
      </c>
      <c r="AR111" t="s">
        <v>1463</v>
      </c>
      <c r="AU111" s="326" t="s">
        <v>1562</v>
      </c>
      <c r="AV111"/>
      <c r="AW111" s="334"/>
      <c r="AX111" s="334"/>
      <c r="AY111" s="334"/>
    </row>
    <row r="112" spans="1:51">
      <c r="A112" s="277" t="s">
        <v>422</v>
      </c>
      <c r="B112" s="334" t="s">
        <v>423</v>
      </c>
      <c r="C112" s="334">
        <f>'EXD 2008 Engelen'!B10</f>
        <v>39.375</v>
      </c>
      <c r="D112" s="301">
        <f>'EXD 2008 Engelen'!J10</f>
        <v>187723201.7736679</v>
      </c>
      <c r="O112" s="229"/>
      <c r="P112">
        <f>'EXD 2008 Engelen'!N10</f>
        <v>4.1140393646231601</v>
      </c>
      <c r="R112" s="304" t="s">
        <v>1395</v>
      </c>
      <c r="S112" t="s">
        <v>143</v>
      </c>
      <c r="V112" s="334"/>
      <c r="W112" s="334"/>
      <c r="X112" s="334"/>
      <c r="Y112" s="327"/>
      <c r="Z112" s="334"/>
      <c r="AA112" s="326" t="s">
        <v>1411</v>
      </c>
      <c r="AD112" s="326" t="s">
        <v>1451</v>
      </c>
      <c r="AE112" s="326" t="s">
        <v>1452</v>
      </c>
      <c r="AG112" s="326" t="s">
        <v>1711</v>
      </c>
      <c r="AH112" s="326" t="s">
        <v>1715</v>
      </c>
      <c r="AM112" s="326" t="s">
        <v>1450</v>
      </c>
      <c r="AN112" s="326" t="s">
        <v>1450</v>
      </c>
      <c r="AO112" s="326" t="s">
        <v>1449</v>
      </c>
      <c r="AQ112" s="322">
        <v>2656</v>
      </c>
      <c r="AR112" t="s">
        <v>1463</v>
      </c>
      <c r="AV112"/>
      <c r="AW112" s="334"/>
      <c r="AX112" s="334"/>
      <c r="AY112" s="334"/>
    </row>
    <row r="113" spans="1:51">
      <c r="A113" s="277" t="s">
        <v>422</v>
      </c>
      <c r="B113" s="328" t="s">
        <v>423</v>
      </c>
      <c r="C113" s="334">
        <f>'EXD 2008 Engelen'!B12</f>
        <v>53.4375</v>
      </c>
      <c r="H113" s="336"/>
      <c r="I113" s="301">
        <f>'EXD 2008 Engelen'!H12</f>
        <v>1276925.8640709545</v>
      </c>
      <c r="J113" s="301">
        <f>'EXD 2008 Engelen'!E12</f>
        <v>1454531.2081588439</v>
      </c>
      <c r="K113" s="301">
        <f>I113+J113</f>
        <v>2731457.0722297984</v>
      </c>
      <c r="N113" s="27">
        <f>(J113/K113)</f>
        <v>0.53251109927620111</v>
      </c>
      <c r="O113" s="229"/>
      <c r="P113">
        <f>'EXD 2008 Engelen'!N12</f>
        <v>3.1445507967871902</v>
      </c>
      <c r="R113" s="304" t="s">
        <v>1395</v>
      </c>
      <c r="S113" t="s">
        <v>143</v>
      </c>
      <c r="V113" s="334"/>
      <c r="W113" s="334"/>
      <c r="X113" s="334"/>
      <c r="Y113" s="327"/>
      <c r="Z113" s="334"/>
      <c r="AA113" s="326" t="s">
        <v>1411</v>
      </c>
      <c r="AD113" s="326" t="s">
        <v>1451</v>
      </c>
      <c r="AE113" s="326" t="s">
        <v>1452</v>
      </c>
      <c r="AG113" s="326" t="s">
        <v>1711</v>
      </c>
      <c r="AH113" s="326" t="s">
        <v>1715</v>
      </c>
      <c r="AM113" s="326" t="s">
        <v>1450</v>
      </c>
      <c r="AN113" s="326" t="s">
        <v>1450</v>
      </c>
      <c r="AO113" s="326" t="s">
        <v>1449</v>
      </c>
      <c r="AQ113" s="322">
        <v>2656</v>
      </c>
      <c r="AR113" s="322" t="s">
        <v>1463</v>
      </c>
      <c r="AU113" s="326" t="s">
        <v>1562</v>
      </c>
      <c r="AV113"/>
      <c r="AW113" s="334"/>
      <c r="AX113" s="334"/>
      <c r="AY113" s="334"/>
    </row>
    <row r="114" spans="1:51">
      <c r="A114" s="277" t="s">
        <v>422</v>
      </c>
      <c r="B114" s="334" t="s">
        <v>423</v>
      </c>
      <c r="C114" s="334">
        <f>'EXD 2008 Engelen'!B13</f>
        <v>56.25</v>
      </c>
      <c r="D114" s="301">
        <f>'EXD 2008 Engelen'!J13</f>
        <v>648050449.11507285</v>
      </c>
      <c r="H114" s="336"/>
      <c r="O114" s="229"/>
      <c r="P114" s="327">
        <f>'EXD 2008 Engelen'!N13</f>
        <v>0.80576868793143597</v>
      </c>
      <c r="R114" s="304" t="s">
        <v>1395</v>
      </c>
      <c r="S114" t="s">
        <v>143</v>
      </c>
      <c r="V114" s="334"/>
      <c r="W114" s="334"/>
      <c r="X114" s="334"/>
      <c r="Y114" s="327"/>
      <c r="Z114" s="334"/>
      <c r="AA114" s="326" t="s">
        <v>1411</v>
      </c>
      <c r="AD114" s="326" t="s">
        <v>1451</v>
      </c>
      <c r="AE114" s="326" t="s">
        <v>1452</v>
      </c>
      <c r="AG114" s="326" t="s">
        <v>1711</v>
      </c>
      <c r="AH114" s="326" t="s">
        <v>1715</v>
      </c>
      <c r="AM114" s="326" t="s">
        <v>1450</v>
      </c>
      <c r="AN114" s="326" t="s">
        <v>1450</v>
      </c>
      <c r="AO114" s="326" t="s">
        <v>1449</v>
      </c>
      <c r="AQ114" s="322">
        <v>2656</v>
      </c>
      <c r="AR114" s="322" t="s">
        <v>1463</v>
      </c>
      <c r="AV114"/>
      <c r="AW114" s="334"/>
      <c r="AX114" s="334"/>
      <c r="AY114" s="334"/>
    </row>
    <row r="115" spans="1:51">
      <c r="A115" s="277" t="s">
        <v>422</v>
      </c>
      <c r="B115" s="334" t="s">
        <v>423</v>
      </c>
      <c r="C115" s="334">
        <f>'EXD 2008 Engelen'!B14</f>
        <v>67.5</v>
      </c>
      <c r="D115" s="301">
        <f>'EXD 2008 Engelen'!J14</f>
        <v>428790539.54909134</v>
      </c>
      <c r="O115" s="229"/>
      <c r="P115" s="327">
        <f>'EXD 2008 Engelen'!N14</f>
        <v>0.80268931714952996</v>
      </c>
      <c r="R115" s="304" t="s">
        <v>1395</v>
      </c>
      <c r="S115" t="s">
        <v>143</v>
      </c>
      <c r="V115" s="334"/>
      <c r="W115" s="334"/>
      <c r="X115" s="334"/>
      <c r="Y115" s="328"/>
      <c r="Z115" s="334"/>
      <c r="AA115" s="326" t="s">
        <v>1411</v>
      </c>
      <c r="AD115" s="326" t="s">
        <v>1451</v>
      </c>
      <c r="AE115" s="326" t="s">
        <v>1452</v>
      </c>
      <c r="AG115" s="326" t="s">
        <v>1711</v>
      </c>
      <c r="AH115" s="326" t="s">
        <v>1715</v>
      </c>
      <c r="AM115" s="326" t="s">
        <v>1450</v>
      </c>
      <c r="AN115" s="326" t="s">
        <v>1450</v>
      </c>
      <c r="AO115" s="326" t="s">
        <v>1449</v>
      </c>
      <c r="AQ115">
        <v>2656</v>
      </c>
      <c r="AR115" t="s">
        <v>1463</v>
      </c>
      <c r="AV115"/>
      <c r="AW115" s="334"/>
      <c r="AX115" s="334"/>
      <c r="AY115" s="334"/>
    </row>
    <row r="116" spans="1:51">
      <c r="A116" s="277" t="s">
        <v>422</v>
      </c>
      <c r="B116" s="334" t="s">
        <v>423</v>
      </c>
      <c r="C116" s="334">
        <f>'EXD 2008 Engelen'!B15</f>
        <v>77.34375</v>
      </c>
      <c r="D116" s="301">
        <f>'EXD 2008 Engelen'!J15</f>
        <v>428790539.54909134</v>
      </c>
      <c r="H116" s="336"/>
      <c r="I116" s="301">
        <f>'EXD 2008 Engelen'!H15</f>
        <v>34759590.536826365</v>
      </c>
      <c r="J116" s="301">
        <f>'EXD 2008 Engelen'!E15</f>
        <v>1311843.8346935418</v>
      </c>
      <c r="K116" s="301">
        <f>I116+J116</f>
        <v>36071434.371519908</v>
      </c>
      <c r="N116" s="27">
        <f>(J116/K116)</f>
        <v>3.636794204472512E-2</v>
      </c>
      <c r="O116" s="229"/>
      <c r="P116" s="328">
        <f>'EXD 2008 Engelen'!N15</f>
        <v>0.47678924273141199</v>
      </c>
      <c r="R116" s="304" t="s">
        <v>1395</v>
      </c>
      <c r="S116" t="s">
        <v>143</v>
      </c>
      <c r="V116" s="334"/>
      <c r="W116" s="334"/>
      <c r="X116" s="334"/>
      <c r="Y116" s="327"/>
      <c r="Z116" s="334"/>
      <c r="AA116" s="326" t="s">
        <v>1411</v>
      </c>
      <c r="AD116" s="326" t="s">
        <v>1451</v>
      </c>
      <c r="AE116" s="326" t="s">
        <v>1452</v>
      </c>
      <c r="AG116" s="326" t="s">
        <v>1711</v>
      </c>
      <c r="AH116" s="326" t="s">
        <v>1715</v>
      </c>
      <c r="AM116" s="326" t="s">
        <v>1450</v>
      </c>
      <c r="AN116" s="326" t="s">
        <v>1450</v>
      </c>
      <c r="AO116" s="326" t="s">
        <v>1449</v>
      </c>
      <c r="AQ116">
        <v>2656</v>
      </c>
      <c r="AR116" t="s">
        <v>1463</v>
      </c>
      <c r="AU116" s="326" t="s">
        <v>1562</v>
      </c>
      <c r="AV116"/>
      <c r="AW116" s="334"/>
      <c r="AX116" s="334"/>
      <c r="AY116" s="334"/>
    </row>
    <row r="117" spans="1:51">
      <c r="A117" s="277" t="s">
        <v>422</v>
      </c>
      <c r="B117" s="334" t="s">
        <v>423</v>
      </c>
      <c r="C117" s="334">
        <f>'EXD 2008 Engelen'!B16</f>
        <v>84.375</v>
      </c>
      <c r="D117" s="301">
        <f>'EXD 2008 Engelen'!J16</f>
        <v>348789485.53353059</v>
      </c>
      <c r="H117" s="336"/>
      <c r="O117" s="229"/>
      <c r="P117" s="328">
        <f>'EXD 2008 Engelen'!N16</f>
        <v>0.39082347506992499</v>
      </c>
      <c r="R117" s="304" t="s">
        <v>1395</v>
      </c>
      <c r="S117" s="304" t="s">
        <v>143</v>
      </c>
      <c r="T117" s="304"/>
      <c r="U117" s="304"/>
      <c r="V117" s="334"/>
      <c r="W117" s="334"/>
      <c r="X117" s="334"/>
      <c r="Y117" s="327"/>
      <c r="Z117" s="334"/>
      <c r="AA117" s="326" t="s">
        <v>1411</v>
      </c>
      <c r="AD117" s="326" t="s">
        <v>1451</v>
      </c>
      <c r="AE117" s="326" t="s">
        <v>1452</v>
      </c>
      <c r="AG117" s="326" t="s">
        <v>1711</v>
      </c>
      <c r="AH117" s="326" t="s">
        <v>1715</v>
      </c>
      <c r="AM117" s="326" t="s">
        <v>1450</v>
      </c>
      <c r="AN117" s="326" t="s">
        <v>1450</v>
      </c>
      <c r="AO117" s="326" t="s">
        <v>1449</v>
      </c>
      <c r="AQ117">
        <v>2656</v>
      </c>
      <c r="AR117" t="s">
        <v>1463</v>
      </c>
      <c r="AV117"/>
      <c r="AW117" s="334"/>
      <c r="AX117" s="334"/>
      <c r="AY117" s="334"/>
    </row>
    <row r="118" spans="1:51">
      <c r="A118" s="277" t="s">
        <v>422</v>
      </c>
      <c r="B118" s="334" t="s">
        <v>423</v>
      </c>
      <c r="C118" s="334">
        <f>'EXD 2008 Engelen'!B17</f>
        <v>92.8125</v>
      </c>
      <c r="D118" s="301">
        <f>'EXD 2008 Engelen'!J17</f>
        <v>584477652.64390779</v>
      </c>
      <c r="H118" s="336"/>
      <c r="O118" s="229"/>
      <c r="P118" s="323">
        <f>'EXD 2008 Engelen'!N17</f>
        <v>0.37901922040595598</v>
      </c>
      <c r="R118" s="304" t="s">
        <v>1395</v>
      </c>
      <c r="S118" s="304" t="s">
        <v>143</v>
      </c>
      <c r="T118" s="304"/>
      <c r="U118" s="304"/>
      <c r="V118" s="334"/>
      <c r="W118" s="334"/>
      <c r="X118" s="334"/>
      <c r="Y118" s="327"/>
      <c r="Z118" s="334"/>
      <c r="AA118" s="326" t="s">
        <v>1411</v>
      </c>
      <c r="AD118" s="326" t="s">
        <v>1451</v>
      </c>
      <c r="AE118" s="326" t="s">
        <v>1452</v>
      </c>
      <c r="AG118" s="326" t="s">
        <v>1711</v>
      </c>
      <c r="AH118" s="326" t="s">
        <v>1715</v>
      </c>
      <c r="AM118" s="326" t="s">
        <v>1450</v>
      </c>
      <c r="AN118" s="326" t="s">
        <v>1450</v>
      </c>
      <c r="AO118" s="326" t="s">
        <v>1449</v>
      </c>
      <c r="AQ118">
        <v>2656</v>
      </c>
      <c r="AR118" t="s">
        <v>1463</v>
      </c>
      <c r="AV118"/>
      <c r="AW118" s="334"/>
      <c r="AX118" s="334"/>
      <c r="AY118" s="334"/>
    </row>
    <row r="119" spans="1:51">
      <c r="A119" s="277" t="s">
        <v>422</v>
      </c>
      <c r="B119" s="334" t="s">
        <v>423</v>
      </c>
      <c r="C119" s="334">
        <f>'EXD 2008 Engelen'!B18</f>
        <v>98.4375</v>
      </c>
      <c r="I119" s="301">
        <f>'EXD 2008 Engelen'!H18</f>
        <v>687258.7092593502</v>
      </c>
      <c r="J119" s="301">
        <f>'EXD 2008 Engelen'!E18</f>
        <v>1067088.2260701312</v>
      </c>
      <c r="K119" s="301">
        <f>I119+J119</f>
        <v>1754346.9353294815</v>
      </c>
      <c r="N119" s="27">
        <f>(J119/K119)</f>
        <v>0.60825382059890154</v>
      </c>
      <c r="O119" s="229"/>
      <c r="P119" s="323">
        <f>'EXD 2008 Engelen'!N18</f>
        <v>0.29484975236726602</v>
      </c>
      <c r="R119" s="304" t="s">
        <v>1395</v>
      </c>
      <c r="S119" s="304" t="s">
        <v>143</v>
      </c>
      <c r="T119" s="304"/>
      <c r="U119" s="304"/>
      <c r="V119" s="334"/>
      <c r="W119" s="334"/>
      <c r="X119" s="334"/>
      <c r="Y119" s="327"/>
      <c r="Z119" s="334"/>
      <c r="AA119" s="326" t="s">
        <v>1411</v>
      </c>
      <c r="AD119" s="326" t="s">
        <v>1451</v>
      </c>
      <c r="AE119" s="326" t="s">
        <v>1452</v>
      </c>
      <c r="AG119" s="326" t="s">
        <v>1711</v>
      </c>
      <c r="AH119" s="326" t="s">
        <v>1715</v>
      </c>
      <c r="AM119" s="326" t="s">
        <v>1450</v>
      </c>
      <c r="AN119" s="326" t="s">
        <v>1450</v>
      </c>
      <c r="AO119" s="326" t="s">
        <v>1449</v>
      </c>
      <c r="AQ119">
        <v>2656</v>
      </c>
      <c r="AR119" t="s">
        <v>1463</v>
      </c>
      <c r="AU119" s="326" t="s">
        <v>1562</v>
      </c>
      <c r="AV119"/>
      <c r="AW119" s="334"/>
      <c r="AX119" s="334"/>
      <c r="AY119" s="334"/>
    </row>
    <row r="120" spans="1:51">
      <c r="A120" s="277" t="s">
        <v>422</v>
      </c>
      <c r="B120" s="334" t="s">
        <v>423</v>
      </c>
      <c r="C120" s="334">
        <f>'EXD 2008 Engelen'!B19</f>
        <v>101.25</v>
      </c>
      <c r="D120" s="301">
        <f>'EXD 2008 Engelen'!J19</f>
        <v>796692312.28694689</v>
      </c>
      <c r="O120" s="229"/>
      <c r="P120" s="323">
        <f>'EXD 2008 Engelen'!N19</f>
        <v>0.84990633580539099</v>
      </c>
      <c r="R120" s="304" t="s">
        <v>1395</v>
      </c>
      <c r="S120" s="304" t="s">
        <v>143</v>
      </c>
      <c r="T120" s="304"/>
      <c r="U120" s="304"/>
      <c r="V120" s="334"/>
      <c r="W120" s="334"/>
      <c r="X120" s="334"/>
      <c r="Y120" s="334"/>
      <c r="Z120" s="334"/>
      <c r="AA120" s="326" t="s">
        <v>1411</v>
      </c>
      <c r="AD120" s="326" t="s">
        <v>1451</v>
      </c>
      <c r="AE120" s="326" t="s">
        <v>1452</v>
      </c>
      <c r="AG120" s="326" t="s">
        <v>1711</v>
      </c>
      <c r="AH120" s="326" t="s">
        <v>1715</v>
      </c>
      <c r="AM120" s="326" t="s">
        <v>1450</v>
      </c>
      <c r="AN120" s="326" t="s">
        <v>1450</v>
      </c>
      <c r="AO120" s="326" t="s">
        <v>1449</v>
      </c>
      <c r="AQ120">
        <v>2656</v>
      </c>
      <c r="AR120" t="s">
        <v>1463</v>
      </c>
      <c r="AV120"/>
      <c r="AW120" s="334"/>
      <c r="AX120" s="334"/>
      <c r="AY120" s="334"/>
    </row>
    <row r="121" spans="1:51">
      <c r="A121" s="277" t="s">
        <v>422</v>
      </c>
      <c r="B121" s="334" t="s">
        <v>423</v>
      </c>
      <c r="C121" s="334">
        <f>'EXD 2008 Engelen'!B20</f>
        <v>112.5</v>
      </c>
      <c r="D121" s="301">
        <f>'EXD 2008 Engelen'!J20</f>
        <v>230780847.22446695</v>
      </c>
      <c r="I121" s="301">
        <f>'EXD 2008 Engelen'!H20</f>
        <v>2372526.7360970438</v>
      </c>
      <c r="J121" s="301">
        <f>'EXD 2008 Engelen'!E20</f>
        <v>2437404.2839667564</v>
      </c>
      <c r="K121" s="301">
        <f>I121+J121</f>
        <v>4809931.0200638007</v>
      </c>
      <c r="N121" s="27">
        <f>(J121/K121)</f>
        <v>0.50674412456219087</v>
      </c>
      <c r="O121" s="229"/>
      <c r="P121">
        <f>'EXD 2008 Engelen'!N20</f>
        <v>-5.7994816392501002E-2</v>
      </c>
      <c r="R121" s="304" t="s">
        <v>1395</v>
      </c>
      <c r="S121" s="304" t="s">
        <v>143</v>
      </c>
      <c r="T121" s="304"/>
      <c r="U121" s="304"/>
      <c r="V121" s="334"/>
      <c r="W121" s="334"/>
      <c r="X121" s="334"/>
      <c r="Z121" s="334"/>
      <c r="AA121" s="326" t="s">
        <v>1411</v>
      </c>
      <c r="AD121" s="326" t="s">
        <v>1451</v>
      </c>
      <c r="AE121" s="326" t="s">
        <v>1452</v>
      </c>
      <c r="AG121" s="326" t="s">
        <v>1711</v>
      </c>
      <c r="AH121" s="326" t="s">
        <v>1715</v>
      </c>
      <c r="AM121" s="326" t="s">
        <v>1450</v>
      </c>
      <c r="AN121" s="326" t="s">
        <v>1450</v>
      </c>
      <c r="AO121" s="326" t="s">
        <v>1449</v>
      </c>
      <c r="AQ121">
        <v>2656</v>
      </c>
      <c r="AR121" t="s">
        <v>1463</v>
      </c>
      <c r="AU121" s="326" t="s">
        <v>1562</v>
      </c>
      <c r="AV121"/>
      <c r="AW121" s="334"/>
      <c r="AX121" s="334"/>
      <c r="AY121" s="334"/>
    </row>
    <row r="122" spans="1:51">
      <c r="A122" s="277" t="s">
        <v>422</v>
      </c>
      <c r="B122" s="334" t="s">
        <v>423</v>
      </c>
      <c r="C122" s="334">
        <f>'EXD 2008 Engelen'!B21</f>
        <v>120.9375</v>
      </c>
      <c r="I122" s="301">
        <f>'EXD 2008 Engelen'!H21</f>
        <v>131724.26016750015</v>
      </c>
      <c r="J122" s="301">
        <f>'EXD 2008 Engelen'!E21</f>
        <v>204524.73750972078</v>
      </c>
      <c r="K122" s="301">
        <f>I122+J122</f>
        <v>336248.99767722096</v>
      </c>
      <c r="N122" s="27">
        <f>(J122/K122)</f>
        <v>0.60825382059890143</v>
      </c>
      <c r="O122" s="229"/>
      <c r="P122" s="326">
        <f>'EXD 2008 Engelen'!N21</f>
        <v>1.8607097949652101</v>
      </c>
      <c r="R122" s="304" t="s">
        <v>1395</v>
      </c>
      <c r="S122" s="304" t="s">
        <v>143</v>
      </c>
      <c r="T122" s="304"/>
      <c r="U122" s="304"/>
      <c r="V122" s="334"/>
      <c r="W122" s="334"/>
      <c r="X122" s="334"/>
      <c r="Y122" s="328"/>
      <c r="Z122" s="334"/>
      <c r="AA122" s="326" t="s">
        <v>1411</v>
      </c>
      <c r="AD122" s="326" t="s">
        <v>1451</v>
      </c>
      <c r="AE122" s="326" t="s">
        <v>1452</v>
      </c>
      <c r="AG122" s="326" t="s">
        <v>1711</v>
      </c>
      <c r="AH122" s="326" t="s">
        <v>1715</v>
      </c>
      <c r="AM122" s="326" t="s">
        <v>1450</v>
      </c>
      <c r="AN122" s="326" t="s">
        <v>1450</v>
      </c>
      <c r="AO122" s="326" t="s">
        <v>1449</v>
      </c>
      <c r="AQ122">
        <v>2656</v>
      </c>
      <c r="AR122" t="s">
        <v>1463</v>
      </c>
      <c r="AU122" s="326" t="s">
        <v>1562</v>
      </c>
      <c r="AV122"/>
      <c r="AW122" s="334"/>
      <c r="AX122" s="334"/>
      <c r="AY122" s="334"/>
    </row>
    <row r="123" spans="1:51">
      <c r="A123" s="277" t="s">
        <v>422</v>
      </c>
      <c r="B123" s="334" t="s">
        <v>423</v>
      </c>
      <c r="C123" s="334">
        <f>'EXD 2008 Engelen'!B22</f>
        <v>132.1875</v>
      </c>
      <c r="D123" s="301">
        <f>'EXD 2008 Engelen'!J22</f>
        <v>44232886.323452815</v>
      </c>
      <c r="H123" s="336"/>
      <c r="I123" s="301">
        <f>'EXD 2008 Engelen'!H22</f>
        <v>1740557.5981627728</v>
      </c>
      <c r="J123" s="301">
        <f>'EXD 2008 Engelen'!E22</f>
        <v>867997.58637696737</v>
      </c>
      <c r="K123" s="301">
        <f>I123+J123</f>
        <v>2608555.18453974</v>
      </c>
      <c r="N123" s="27">
        <f>(J123/K123)</f>
        <v>0.33275032536071075</v>
      </c>
      <c r="O123" s="229"/>
      <c r="P123" s="326">
        <f>'EXD 2008 Engelen'!N22</f>
        <v>2.7362775539531401</v>
      </c>
      <c r="R123" s="304" t="s">
        <v>1395</v>
      </c>
      <c r="S123" s="304" t="s">
        <v>143</v>
      </c>
      <c r="T123" s="304"/>
      <c r="U123" s="304"/>
      <c r="V123" s="334"/>
      <c r="W123" s="334"/>
      <c r="X123" s="334"/>
      <c r="Y123" s="328"/>
      <c r="Z123" s="334"/>
      <c r="AA123" s="326" t="s">
        <v>1411</v>
      </c>
      <c r="AD123" s="326" t="s">
        <v>1451</v>
      </c>
      <c r="AE123" s="326" t="s">
        <v>1452</v>
      </c>
      <c r="AG123" s="326" t="s">
        <v>1711</v>
      </c>
      <c r="AH123" s="326" t="s">
        <v>1715</v>
      </c>
      <c r="AM123" s="326" t="s">
        <v>1450</v>
      </c>
      <c r="AN123" s="326" t="s">
        <v>1450</v>
      </c>
      <c r="AO123" s="326" t="s">
        <v>1449</v>
      </c>
      <c r="AQ123">
        <v>2656</v>
      </c>
      <c r="AR123" t="s">
        <v>1463</v>
      </c>
      <c r="AU123" s="326" t="s">
        <v>1562</v>
      </c>
      <c r="AW123" s="334"/>
      <c r="AX123" s="334"/>
      <c r="AY123" s="334"/>
    </row>
    <row r="124" spans="1:51">
      <c r="A124" s="277" t="s">
        <v>422</v>
      </c>
      <c r="B124" s="334" t="s">
        <v>423</v>
      </c>
      <c r="C124" s="334">
        <f>'EXD 2008 Engelen'!B23</f>
        <v>140.625</v>
      </c>
      <c r="I124" s="301">
        <f>'EXD 2008 Engelen'!H23</f>
        <v>8190340.8973332057</v>
      </c>
      <c r="J124" s="301">
        <f>'EXD 2008 Engelen'!E23</f>
        <v>251436.11314366473</v>
      </c>
      <c r="K124" s="301">
        <f>I124+J124</f>
        <v>8441777.0104768705</v>
      </c>
      <c r="N124" s="27">
        <f>(J124/K124)</f>
        <v>2.9784737601054125E-2</v>
      </c>
      <c r="O124" s="229"/>
      <c r="P124">
        <f>'EXD 2008 Engelen'!N23</f>
        <v>2.8094126100233701</v>
      </c>
      <c r="R124" s="304" t="s">
        <v>1395</v>
      </c>
      <c r="S124" s="304" t="s">
        <v>143</v>
      </c>
      <c r="T124" s="304"/>
      <c r="U124" s="304"/>
      <c r="V124" s="334"/>
      <c r="W124" s="334"/>
      <c r="X124" s="334"/>
      <c r="Y124" s="323"/>
      <c r="Z124" s="334"/>
      <c r="AA124" s="326" t="s">
        <v>1411</v>
      </c>
      <c r="AD124" s="326" t="s">
        <v>1451</v>
      </c>
      <c r="AE124" s="326" t="s">
        <v>1452</v>
      </c>
      <c r="AG124" s="326" t="s">
        <v>1711</v>
      </c>
      <c r="AH124" s="326" t="s">
        <v>1715</v>
      </c>
      <c r="AM124" s="326" t="s">
        <v>1450</v>
      </c>
      <c r="AN124" s="326" t="s">
        <v>1450</v>
      </c>
      <c r="AO124" s="326" t="s">
        <v>1449</v>
      </c>
      <c r="AQ124">
        <v>2656</v>
      </c>
      <c r="AR124" t="s">
        <v>1463</v>
      </c>
      <c r="AU124" s="326" t="s">
        <v>1562</v>
      </c>
      <c r="AW124" s="334"/>
      <c r="AX124" s="334"/>
      <c r="AY124" s="334"/>
    </row>
    <row r="125" spans="1:51">
      <c r="A125" s="277" t="s">
        <v>422</v>
      </c>
      <c r="B125" s="334" t="s">
        <v>423</v>
      </c>
      <c r="C125" s="334">
        <f>'EXD 2008 Engelen'!B24</f>
        <v>149.0625</v>
      </c>
      <c r="H125" s="336"/>
      <c r="I125" s="301">
        <f>'EXD 2008 Engelen'!H24</f>
        <v>52533734.261334859</v>
      </c>
      <c r="J125" s="301">
        <f>'EXD 2008 Engelen'!E24</f>
        <v>517981.19265514088</v>
      </c>
      <c r="K125" s="301">
        <f>I125+J125</f>
        <v>53051715.453989998</v>
      </c>
      <c r="N125" s="27">
        <f>(J125/K125)</f>
        <v>9.7637029872176123E-3</v>
      </c>
      <c r="O125" s="229"/>
      <c r="P125" s="327">
        <f>'EXD 2008 Engelen'!N24</f>
        <v>4.0075444584156799</v>
      </c>
      <c r="R125" s="304" t="s">
        <v>1395</v>
      </c>
      <c r="S125" s="304" t="s">
        <v>143</v>
      </c>
      <c r="T125" s="304"/>
      <c r="U125" s="304"/>
      <c r="V125" s="334"/>
      <c r="W125" s="334"/>
      <c r="X125" s="334"/>
      <c r="Y125" s="322"/>
      <c r="Z125" s="334"/>
      <c r="AA125" s="326" t="s">
        <v>1411</v>
      </c>
      <c r="AD125" s="326" t="s">
        <v>1451</v>
      </c>
      <c r="AE125" s="326" t="s">
        <v>1452</v>
      </c>
      <c r="AG125" s="326" t="s">
        <v>1711</v>
      </c>
      <c r="AH125" s="326" t="s">
        <v>1715</v>
      </c>
      <c r="AM125" s="326" t="s">
        <v>1450</v>
      </c>
      <c r="AN125" s="326" t="s">
        <v>1450</v>
      </c>
      <c r="AO125" s="326" t="s">
        <v>1449</v>
      </c>
      <c r="AQ125">
        <v>2656</v>
      </c>
      <c r="AR125" t="s">
        <v>1463</v>
      </c>
      <c r="AS125" s="322"/>
      <c r="AU125" s="326" t="s">
        <v>1562</v>
      </c>
      <c r="AW125" s="334"/>
      <c r="AX125" s="334"/>
      <c r="AY125" s="334"/>
    </row>
    <row r="126" spans="1:51">
      <c r="A126" s="277" t="s">
        <v>422</v>
      </c>
      <c r="B126" s="334" t="s">
        <v>423</v>
      </c>
      <c r="C126" s="334">
        <f>'EXD 2008 Engelen'!B25</f>
        <v>163.125</v>
      </c>
      <c r="I126" s="301">
        <f>'EXD 2008 Engelen'!H25</f>
        <v>10068940.831419867</v>
      </c>
      <c r="J126" s="301">
        <f>'EXD 2008 Engelen'!E25</f>
        <v>89540.311704680556</v>
      </c>
      <c r="K126" s="301">
        <f>I126+J126</f>
        <v>10158481.143124547</v>
      </c>
      <c r="N126" s="27">
        <f>(J126/K126)</f>
        <v>8.8143404947188531E-3</v>
      </c>
      <c r="O126" s="229"/>
      <c r="P126">
        <f>'EXD 2008 Engelen'!N25</f>
        <v>3.9233749903769599</v>
      </c>
      <c r="R126" s="304" t="s">
        <v>1395</v>
      </c>
      <c r="S126" s="304" t="s">
        <v>143</v>
      </c>
      <c r="T126" s="304"/>
      <c r="U126" s="304"/>
      <c r="V126" s="334"/>
      <c r="W126" s="334"/>
      <c r="X126" s="334"/>
      <c r="Y126" s="334"/>
      <c r="Z126" s="334"/>
      <c r="AA126" s="326" t="s">
        <v>1411</v>
      </c>
      <c r="AD126" s="326" t="s">
        <v>1451</v>
      </c>
      <c r="AE126" s="326" t="s">
        <v>1452</v>
      </c>
      <c r="AG126" s="326" t="s">
        <v>1711</v>
      </c>
      <c r="AH126" s="326" t="s">
        <v>1715</v>
      </c>
      <c r="AM126" s="326" t="s">
        <v>1450</v>
      </c>
      <c r="AN126" s="326" t="s">
        <v>1450</v>
      </c>
      <c r="AO126" s="326" t="s">
        <v>1449</v>
      </c>
      <c r="AQ126">
        <v>2656</v>
      </c>
      <c r="AR126" s="322" t="s">
        <v>1463</v>
      </c>
      <c r="AS126" s="322"/>
      <c r="AU126" s="326" t="s">
        <v>1562</v>
      </c>
      <c r="AW126" s="334"/>
      <c r="AX126" s="334"/>
      <c r="AY126" s="334"/>
    </row>
    <row r="127" spans="1:51">
      <c r="A127" s="277" t="s">
        <v>422</v>
      </c>
      <c r="B127" s="334" t="s">
        <v>423</v>
      </c>
      <c r="C127" s="334">
        <f>'EXD 2008 Engelen'!B26</f>
        <v>168.75</v>
      </c>
      <c r="I127" s="301">
        <f>'EXD 2008 Engelen'!H26</f>
        <v>4408151.8527237764</v>
      </c>
      <c r="J127" s="301">
        <f>'EXD 2008 Engelen'!E26</f>
        <v>309107.44471577229</v>
      </c>
      <c r="K127" s="301">
        <f>I127+J127</f>
        <v>4717259.2974395491</v>
      </c>
      <c r="N127" s="27">
        <f>(J127/K127)</f>
        <v>6.5526914088345906E-2</v>
      </c>
      <c r="O127" s="229"/>
      <c r="P127">
        <f>'EXD 2008 Engelen'!N26</f>
        <v>5.1230465241602197</v>
      </c>
      <c r="R127" s="304" t="s">
        <v>1395</v>
      </c>
      <c r="S127" s="304" t="s">
        <v>143</v>
      </c>
      <c r="T127" s="304"/>
      <c r="U127" s="304"/>
      <c r="V127" s="334"/>
      <c r="W127" s="334"/>
      <c r="X127" s="334"/>
      <c r="Y127" s="334"/>
      <c r="Z127" s="334"/>
      <c r="AA127" s="326" t="s">
        <v>1411</v>
      </c>
      <c r="AD127" s="326" t="s">
        <v>1451</v>
      </c>
      <c r="AE127" s="326" t="s">
        <v>1452</v>
      </c>
      <c r="AG127" s="326" t="s">
        <v>1711</v>
      </c>
      <c r="AH127" s="326" t="s">
        <v>1715</v>
      </c>
      <c r="AM127" s="326" t="s">
        <v>1450</v>
      </c>
      <c r="AN127" s="326" t="s">
        <v>1450</v>
      </c>
      <c r="AO127" s="326" t="s">
        <v>1449</v>
      </c>
      <c r="AQ127" s="322">
        <v>2656</v>
      </c>
      <c r="AR127" s="322" t="s">
        <v>1463</v>
      </c>
      <c r="AS127" s="322"/>
      <c r="AU127" s="326" t="s">
        <v>1562</v>
      </c>
      <c r="AW127" s="334"/>
      <c r="AX127" s="334"/>
      <c r="AY127" s="334"/>
    </row>
    <row r="128" spans="1:51">
      <c r="A128" s="277" t="s">
        <v>422</v>
      </c>
      <c r="B128" s="334" t="s">
        <v>423</v>
      </c>
      <c r="C128" s="334">
        <f>'EXD 2008 Engelen'!B27</f>
        <v>182.8125</v>
      </c>
      <c r="D128" s="301">
        <f>'EXD 2008 Engelen'!J27</f>
        <v>718537967.53134942</v>
      </c>
      <c r="O128" s="229"/>
      <c r="P128" s="327">
        <f>'EXD 2008 Engelen'!N27</f>
        <v>9.9350765993482106</v>
      </c>
      <c r="R128" s="304" t="s">
        <v>1395</v>
      </c>
      <c r="S128" s="304" t="s">
        <v>143</v>
      </c>
      <c r="T128" s="304"/>
      <c r="U128" s="304"/>
      <c r="V128" s="334"/>
      <c r="W128" s="334"/>
      <c r="X128" s="334"/>
      <c r="Y128" s="334"/>
      <c r="Z128" s="334"/>
      <c r="AA128" s="326" t="s">
        <v>1411</v>
      </c>
      <c r="AD128" s="326" t="s">
        <v>1451</v>
      </c>
      <c r="AE128" s="326" t="s">
        <v>1452</v>
      </c>
      <c r="AG128" s="326" t="s">
        <v>1711</v>
      </c>
      <c r="AH128" s="326" t="s">
        <v>1715</v>
      </c>
      <c r="AM128" s="326" t="s">
        <v>1450</v>
      </c>
      <c r="AN128" s="326" t="s">
        <v>1450</v>
      </c>
      <c r="AO128" s="326" t="s">
        <v>1449</v>
      </c>
      <c r="AQ128" s="322">
        <v>2656</v>
      </c>
      <c r="AR128" s="322" t="s">
        <v>1463</v>
      </c>
      <c r="AS128" s="322"/>
      <c r="AW128" s="334"/>
      <c r="AX128" s="334"/>
      <c r="AY128" s="334"/>
    </row>
    <row r="129" spans="1:51">
      <c r="A129" s="277" t="s">
        <v>422</v>
      </c>
      <c r="B129" s="334" t="s">
        <v>423</v>
      </c>
      <c r="C129" s="334">
        <f>'EXD 2008 Engelen'!B28</f>
        <v>185.625</v>
      </c>
      <c r="D129" s="301">
        <f>'EXD 2008 Engelen'!J28</f>
        <v>428790539.54909134</v>
      </c>
      <c r="I129" s="301">
        <f>'EXD 2008 Engelen'!H28</f>
        <v>369891.89955555875</v>
      </c>
      <c r="J129" s="301">
        <f>'EXD 2008 Engelen'!E28</f>
        <v>421339.50504648912</v>
      </c>
      <c r="K129" s="301">
        <f>I129+J129</f>
        <v>791231.40460204787</v>
      </c>
      <c r="N129" s="27">
        <f>(J129/K129)</f>
        <v>0.53251109927620111</v>
      </c>
      <c r="O129" s="229"/>
      <c r="P129" s="327">
        <f>'EXD 2008 Engelen'!N28</f>
        <v>6.9593779671020801</v>
      </c>
      <c r="R129" s="304" t="s">
        <v>1395</v>
      </c>
      <c r="S129" s="304" t="s">
        <v>143</v>
      </c>
      <c r="T129" s="304"/>
      <c r="U129" s="304"/>
      <c r="V129" s="334"/>
      <c r="W129" s="334"/>
      <c r="X129" s="334"/>
      <c r="Y129" s="334"/>
      <c r="Z129" s="334"/>
      <c r="AA129" s="326" t="s">
        <v>1411</v>
      </c>
      <c r="AD129" s="326" t="s">
        <v>1451</v>
      </c>
      <c r="AE129" s="326" t="s">
        <v>1452</v>
      </c>
      <c r="AG129" s="326" t="s">
        <v>1711</v>
      </c>
      <c r="AH129" s="326" t="s">
        <v>1715</v>
      </c>
      <c r="AM129" s="326" t="s">
        <v>1450</v>
      </c>
      <c r="AN129" s="326" t="s">
        <v>1450</v>
      </c>
      <c r="AO129" s="326" t="s">
        <v>1449</v>
      </c>
      <c r="AQ129" s="322">
        <v>2656</v>
      </c>
      <c r="AR129" s="322" t="s">
        <v>1463</v>
      </c>
      <c r="AS129" s="322"/>
      <c r="AU129" s="326" t="s">
        <v>1562</v>
      </c>
      <c r="AW129" s="334"/>
      <c r="AX129" s="334"/>
      <c r="AY129" s="334"/>
    </row>
    <row r="130" spans="1:51">
      <c r="A130" s="277" t="s">
        <v>422</v>
      </c>
      <c r="B130" s="334" t="s">
        <v>423</v>
      </c>
      <c r="C130" s="334">
        <f>'EXD 2008 Engelen'!B29</f>
        <v>188.4375</v>
      </c>
      <c r="D130" s="301">
        <f>'EXD 2008 Engelen'!J29</f>
        <v>187723201.7736679</v>
      </c>
      <c r="O130" s="229"/>
      <c r="P130" s="293">
        <f>'EXD 2008 Engelen'!N29</f>
        <v>6.3917472863045104</v>
      </c>
      <c r="R130" s="304" t="s">
        <v>1395</v>
      </c>
      <c r="S130" s="304" t="s">
        <v>143</v>
      </c>
      <c r="T130" s="304"/>
      <c r="U130" s="304"/>
      <c r="V130" s="334"/>
      <c r="W130" s="334"/>
      <c r="X130" s="334"/>
      <c r="Y130" s="334"/>
      <c r="Z130" s="334"/>
      <c r="AA130" s="326" t="s">
        <v>1411</v>
      </c>
      <c r="AD130" s="326" t="s">
        <v>1451</v>
      </c>
      <c r="AE130" s="326" t="s">
        <v>1452</v>
      </c>
      <c r="AG130" s="326" t="s">
        <v>1711</v>
      </c>
      <c r="AH130" s="326" t="s">
        <v>1715</v>
      </c>
      <c r="AM130" s="326" t="s">
        <v>1450</v>
      </c>
      <c r="AN130" s="326" t="s">
        <v>1450</v>
      </c>
      <c r="AO130" s="326" t="s">
        <v>1449</v>
      </c>
      <c r="AQ130" s="322">
        <v>2656</v>
      </c>
      <c r="AR130" s="322" t="s">
        <v>1463</v>
      </c>
      <c r="AS130" s="322"/>
      <c r="AW130" s="334"/>
      <c r="AX130" s="334"/>
      <c r="AY130" s="334"/>
    </row>
    <row r="131" spans="1:51" s="304" customFormat="1">
      <c r="A131" s="277" t="s">
        <v>422</v>
      </c>
      <c r="B131" s="334" t="s">
        <v>423</v>
      </c>
      <c r="C131" s="334">
        <f>'EXD 2008 Engelen'!B30</f>
        <v>239.0625</v>
      </c>
      <c r="D131" s="301">
        <f>'EXD 2008 Engelen'!J30</f>
        <v>44232886.323452815</v>
      </c>
      <c r="E131" s="301"/>
      <c r="F131" s="301"/>
      <c r="G131" s="301"/>
      <c r="H131" s="27"/>
      <c r="I131" s="301">
        <f>'EXD 2008 Engelen'!H30</f>
        <v>244743.51865946018</v>
      </c>
      <c r="J131" s="301">
        <f>'EXD 2008 Engelen'!E30</f>
        <v>867997.58637696737</v>
      </c>
      <c r="K131" s="301">
        <f>I131+J131</f>
        <v>1112741.1050364275</v>
      </c>
      <c r="L131" s="301"/>
      <c r="M131" s="27"/>
      <c r="N131" s="27">
        <f>(J131/K131)</f>
        <v>0.78005349352898401</v>
      </c>
      <c r="P131" s="334">
        <f>'EXD 2008 Engelen'!N30</f>
        <v>13.4211809386948</v>
      </c>
      <c r="Q131" s="301"/>
      <c r="R131" s="304" t="s">
        <v>1395</v>
      </c>
      <c r="S131" s="304" t="s">
        <v>143</v>
      </c>
      <c r="V131" s="334"/>
      <c r="W131" s="334"/>
      <c r="X131" s="334"/>
      <c r="Y131" s="323"/>
      <c r="Z131" s="334"/>
      <c r="AA131" s="326" t="s">
        <v>1411</v>
      </c>
      <c r="AB131" s="334"/>
      <c r="AC131" s="334"/>
      <c r="AD131" s="326" t="s">
        <v>1451</v>
      </c>
      <c r="AE131" s="326" t="s">
        <v>1452</v>
      </c>
      <c r="AF131" s="326"/>
      <c r="AG131" s="326" t="s">
        <v>1711</v>
      </c>
      <c r="AH131" s="326" t="s">
        <v>1715</v>
      </c>
      <c r="AI131" s="326"/>
      <c r="AJ131" s="326"/>
      <c r="AK131" s="326"/>
      <c r="AL131" s="326"/>
      <c r="AM131" s="326" t="s">
        <v>1450</v>
      </c>
      <c r="AN131" s="326" t="s">
        <v>1450</v>
      </c>
      <c r="AO131" s="326" t="s">
        <v>1449</v>
      </c>
      <c r="AQ131" s="322">
        <v>2656</v>
      </c>
      <c r="AR131" s="322" t="s">
        <v>1463</v>
      </c>
      <c r="AS131" s="322"/>
      <c r="AT131" s="326"/>
      <c r="AU131" s="326" t="s">
        <v>1562</v>
      </c>
      <c r="AV131" s="326"/>
      <c r="AW131" s="334"/>
      <c r="AX131" s="334"/>
      <c r="AY131" s="334"/>
    </row>
    <row r="132" spans="1:51" s="304" customFormat="1">
      <c r="A132" s="277" t="s">
        <v>422</v>
      </c>
      <c r="B132" s="334" t="s">
        <v>423</v>
      </c>
      <c r="C132" s="334">
        <f>'EXD 2008 Engelen'!B31</f>
        <v>247.50000000000003</v>
      </c>
      <c r="D132" s="301">
        <f>'EXD 2008 Engelen'!J31</f>
        <v>17465343.516100563</v>
      </c>
      <c r="E132" s="301"/>
      <c r="F132" s="301"/>
      <c r="G132" s="301"/>
      <c r="H132" s="27"/>
      <c r="I132" s="301"/>
      <c r="J132" s="301"/>
      <c r="K132" s="301"/>
      <c r="L132" s="301"/>
      <c r="M132" s="27"/>
      <c r="N132" s="27"/>
      <c r="P132" s="304">
        <f>'EXD 2008 Engelen'!N31</f>
        <v>13.4973953655469</v>
      </c>
      <c r="Q132" s="301"/>
      <c r="R132" s="304" t="s">
        <v>1395</v>
      </c>
      <c r="S132" s="304" t="s">
        <v>143</v>
      </c>
      <c r="V132" s="334"/>
      <c r="W132" s="334"/>
      <c r="X132" s="334"/>
      <c r="Y132" s="327"/>
      <c r="Z132" s="334"/>
      <c r="AA132" s="326" t="s">
        <v>1411</v>
      </c>
      <c r="AB132" s="334"/>
      <c r="AC132" s="334"/>
      <c r="AD132" s="326" t="s">
        <v>1451</v>
      </c>
      <c r="AE132" s="326" t="s">
        <v>1452</v>
      </c>
      <c r="AF132" s="326"/>
      <c r="AG132" s="326" t="s">
        <v>1711</v>
      </c>
      <c r="AH132" s="326" t="s">
        <v>1715</v>
      </c>
      <c r="AI132" s="326"/>
      <c r="AJ132" s="326"/>
      <c r="AK132" s="326"/>
      <c r="AL132" s="326"/>
      <c r="AM132" s="326" t="s">
        <v>1450</v>
      </c>
      <c r="AN132" s="326" t="s">
        <v>1450</v>
      </c>
      <c r="AO132" s="326" t="s">
        <v>1449</v>
      </c>
      <c r="AQ132" s="322">
        <v>2656</v>
      </c>
      <c r="AR132" s="323" t="s">
        <v>1463</v>
      </c>
      <c r="AT132" s="326"/>
      <c r="AU132" s="326"/>
      <c r="AV132" s="326"/>
      <c r="AW132" s="334"/>
      <c r="AX132" s="334"/>
      <c r="AY132" s="334"/>
    </row>
    <row r="133" spans="1:51" s="304" customFormat="1">
      <c r="A133" s="277" t="s">
        <v>422</v>
      </c>
      <c r="B133" s="334" t="s">
        <v>423</v>
      </c>
      <c r="C133" s="334">
        <f>'EXD 2008 Engelen'!B32</f>
        <v>253.125</v>
      </c>
      <c r="D133" s="301">
        <f>'EXD 2008 Engelen'!J32</f>
        <v>23806735.548887398</v>
      </c>
      <c r="E133" s="301"/>
      <c r="F133" s="301"/>
      <c r="G133" s="301"/>
      <c r="H133" s="27"/>
      <c r="I133" s="301">
        <f>'EXD 2008 Engelen'!H32</f>
        <v>1038685.0317689365</v>
      </c>
      <c r="J133" s="301">
        <f>'EXD 2008 Engelen'!E32</f>
        <v>1183153.882825125</v>
      </c>
      <c r="K133" s="301">
        <f>I133+J133</f>
        <v>2221838.9145940617</v>
      </c>
      <c r="L133" s="301"/>
      <c r="M133" s="27"/>
      <c r="N133" s="27">
        <f>(J133/K133)</f>
        <v>0.53251109927620099</v>
      </c>
      <c r="P133" s="327">
        <f>'EXD 2008 Engelen'!N32</f>
        <v>14.2156586004259</v>
      </c>
      <c r="Q133" s="301"/>
      <c r="R133" s="304" t="s">
        <v>1395</v>
      </c>
      <c r="S133" s="304" t="s">
        <v>143</v>
      </c>
      <c r="V133" s="334"/>
      <c r="W133" s="334"/>
      <c r="X133" s="334"/>
      <c r="Y133" s="327"/>
      <c r="Z133" s="334"/>
      <c r="AA133" s="326" t="s">
        <v>1411</v>
      </c>
      <c r="AB133" s="334"/>
      <c r="AC133" s="334"/>
      <c r="AD133" s="326" t="s">
        <v>1451</v>
      </c>
      <c r="AE133" s="326" t="s">
        <v>1452</v>
      </c>
      <c r="AF133" s="326"/>
      <c r="AG133" s="326" t="s">
        <v>1711</v>
      </c>
      <c r="AH133" s="326" t="s">
        <v>1715</v>
      </c>
      <c r="AI133" s="326"/>
      <c r="AJ133" s="326"/>
      <c r="AK133" s="326"/>
      <c r="AL133" s="326"/>
      <c r="AM133" s="326" t="s">
        <v>1450</v>
      </c>
      <c r="AN133" s="326" t="s">
        <v>1450</v>
      </c>
      <c r="AO133" s="326" t="s">
        <v>1449</v>
      </c>
      <c r="AQ133" s="322">
        <v>2656</v>
      </c>
      <c r="AR133" s="323" t="s">
        <v>1463</v>
      </c>
      <c r="AT133" s="326"/>
      <c r="AU133" s="326" t="s">
        <v>1562</v>
      </c>
      <c r="AV133" s="326"/>
      <c r="AW133" s="334"/>
      <c r="AX133" s="334"/>
      <c r="AY133" s="334"/>
    </row>
    <row r="134" spans="1:51" s="304" customFormat="1">
      <c r="A134" s="277" t="s">
        <v>422</v>
      </c>
      <c r="B134" s="334" t="s">
        <v>423</v>
      </c>
      <c r="C134" s="334">
        <f>'EXD 2008 Engelen'!B33</f>
        <v>258.75</v>
      </c>
      <c r="D134" s="301">
        <f>'EXD 2008 Engelen'!J33</f>
        <v>82184650.158595055</v>
      </c>
      <c r="E134" s="301"/>
      <c r="F134" s="301"/>
      <c r="G134" s="301"/>
      <c r="H134" s="27"/>
      <c r="I134" s="301"/>
      <c r="J134" s="301"/>
      <c r="K134" s="301"/>
      <c r="L134" s="301"/>
      <c r="M134" s="27"/>
      <c r="N134" s="27"/>
      <c r="P134" s="328">
        <f>'EXD 2008 Engelen'!N33</f>
        <v>15.096358644050399</v>
      </c>
      <c r="Q134" s="301"/>
      <c r="R134" s="304" t="s">
        <v>1395</v>
      </c>
      <c r="S134" s="304" t="s">
        <v>143</v>
      </c>
      <c r="V134" s="334"/>
      <c r="W134" s="334"/>
      <c r="X134" s="334"/>
      <c r="Y134" s="327"/>
      <c r="Z134" s="334"/>
      <c r="AA134" s="326" t="s">
        <v>1411</v>
      </c>
      <c r="AB134" s="334"/>
      <c r="AC134" s="334"/>
      <c r="AD134" s="326" t="s">
        <v>1451</v>
      </c>
      <c r="AE134" s="326" t="s">
        <v>1452</v>
      </c>
      <c r="AF134" s="326"/>
      <c r="AG134" s="326" t="s">
        <v>1711</v>
      </c>
      <c r="AH134" s="326" t="s">
        <v>1715</v>
      </c>
      <c r="AI134" s="326"/>
      <c r="AJ134" s="326"/>
      <c r="AK134" s="326"/>
      <c r="AL134" s="326"/>
      <c r="AM134" s="326" t="s">
        <v>1450</v>
      </c>
      <c r="AN134" s="326" t="s">
        <v>1450</v>
      </c>
      <c r="AO134" s="326" t="s">
        <v>1449</v>
      </c>
      <c r="AQ134" s="322">
        <v>2656</v>
      </c>
      <c r="AR134" s="323" t="s">
        <v>1463</v>
      </c>
      <c r="AT134" s="326"/>
      <c r="AU134" s="326"/>
      <c r="AV134" s="326"/>
      <c r="AW134" s="334"/>
      <c r="AX134" s="334"/>
      <c r="AY134" s="334"/>
    </row>
    <row r="135" spans="1:51" s="304" customFormat="1">
      <c r="A135" s="277" t="s">
        <v>422</v>
      </c>
      <c r="B135" s="334" t="s">
        <v>423</v>
      </c>
      <c r="C135" s="334">
        <f>'EXD 2008 Engelen'!B34</f>
        <v>261.5625</v>
      </c>
      <c r="D135" s="301">
        <f>'EXD 2008 Engelen'!J34</f>
        <v>29267232.540840495</v>
      </c>
      <c r="E135" s="301"/>
      <c r="F135" s="301"/>
      <c r="G135" s="301"/>
      <c r="H135" s="27"/>
      <c r="I135" s="301">
        <f>'EXD 2008 Engelen'!H34</f>
        <v>11164125.09254685</v>
      </c>
      <c r="J135" s="301"/>
      <c r="K135" s="301"/>
      <c r="L135" s="301"/>
      <c r="M135" s="27"/>
      <c r="N135" s="27"/>
      <c r="P135" s="304">
        <f>'EXD 2008 Engelen'!N34</f>
        <v>15.0914829736457</v>
      </c>
      <c r="Q135" s="301"/>
      <c r="R135" s="304" t="s">
        <v>1395</v>
      </c>
      <c r="S135" s="304" t="s">
        <v>143</v>
      </c>
      <c r="V135" s="334"/>
      <c r="W135" s="334"/>
      <c r="X135" s="334"/>
      <c r="Y135" s="328"/>
      <c r="Z135" s="334"/>
      <c r="AA135" s="326" t="s">
        <v>1411</v>
      </c>
      <c r="AB135" s="334"/>
      <c r="AC135" s="334"/>
      <c r="AD135" s="326" t="s">
        <v>1451</v>
      </c>
      <c r="AE135" s="326" t="s">
        <v>1452</v>
      </c>
      <c r="AF135" s="326"/>
      <c r="AG135" s="326" t="s">
        <v>1711</v>
      </c>
      <c r="AH135" s="326" t="s">
        <v>1715</v>
      </c>
      <c r="AI135" s="326"/>
      <c r="AJ135" s="326"/>
      <c r="AK135" s="326"/>
      <c r="AL135" s="326"/>
      <c r="AM135" s="326" t="s">
        <v>1450</v>
      </c>
      <c r="AN135" s="326" t="s">
        <v>1450</v>
      </c>
      <c r="AO135" s="326" t="s">
        <v>1449</v>
      </c>
      <c r="AQ135" s="322">
        <v>2656</v>
      </c>
      <c r="AR135" s="323" t="s">
        <v>1463</v>
      </c>
      <c r="AT135" s="326"/>
      <c r="AU135" s="326"/>
      <c r="AV135" s="326"/>
      <c r="AW135" s="334"/>
      <c r="AX135" s="334"/>
      <c r="AY135" s="334"/>
    </row>
    <row r="136" spans="1:51" s="304" customFormat="1">
      <c r="A136" s="277" t="s">
        <v>422</v>
      </c>
      <c r="B136" s="334" t="s">
        <v>423</v>
      </c>
      <c r="C136" s="334">
        <f>'EXD 2008 Engelen'!B35</f>
        <v>262.96875</v>
      </c>
      <c r="D136" s="301">
        <f>'EXD 2008 Engelen'!J35</f>
        <v>230780847.22446695</v>
      </c>
      <c r="E136" s="301"/>
      <c r="F136" s="301"/>
      <c r="G136" s="301"/>
      <c r="H136" s="27"/>
      <c r="I136" s="301"/>
      <c r="J136" s="301"/>
      <c r="K136" s="301"/>
      <c r="L136" s="301"/>
      <c r="M136" s="27"/>
      <c r="N136" s="27"/>
      <c r="P136" s="304">
        <f>'EXD 2008 Engelen'!N35</f>
        <v>16.053016500295101</v>
      </c>
      <c r="Q136" s="301"/>
      <c r="R136" s="304" t="s">
        <v>1395</v>
      </c>
      <c r="S136" s="304" t="s">
        <v>143</v>
      </c>
      <c r="V136" s="334"/>
      <c r="W136" s="334"/>
      <c r="X136" s="334"/>
      <c r="Y136" s="328"/>
      <c r="Z136" s="334"/>
      <c r="AA136" s="326" t="s">
        <v>1411</v>
      </c>
      <c r="AB136" s="334"/>
      <c r="AC136" s="334"/>
      <c r="AD136" s="326" t="s">
        <v>1451</v>
      </c>
      <c r="AE136" s="326" t="s">
        <v>1452</v>
      </c>
      <c r="AF136" s="326"/>
      <c r="AG136" s="326" t="s">
        <v>1711</v>
      </c>
      <c r="AH136" s="326" t="s">
        <v>1715</v>
      </c>
      <c r="AI136" s="326"/>
      <c r="AJ136" s="326"/>
      <c r="AK136" s="326"/>
      <c r="AL136" s="326"/>
      <c r="AM136" s="326" t="s">
        <v>1450</v>
      </c>
      <c r="AN136" s="326" t="s">
        <v>1450</v>
      </c>
      <c r="AO136" s="326" t="s">
        <v>1449</v>
      </c>
      <c r="AQ136" s="322">
        <v>2656</v>
      </c>
      <c r="AR136" s="323" t="s">
        <v>1463</v>
      </c>
      <c r="AT136" s="326"/>
      <c r="AU136" s="326"/>
      <c r="AV136" s="326"/>
      <c r="AW136" s="334"/>
      <c r="AX136" s="334"/>
      <c r="AY136" s="334"/>
    </row>
    <row r="137" spans="1:51" s="304" customFormat="1">
      <c r="A137" s="277" t="s">
        <v>1527</v>
      </c>
      <c r="B137" s="334" t="s">
        <v>1528</v>
      </c>
      <c r="C137" s="334">
        <f>'Gittel 2008'!D5</f>
        <v>0</v>
      </c>
      <c r="D137" s="301">
        <f>'Gittel 2008'!E5</f>
        <v>630000000</v>
      </c>
      <c r="E137" s="301">
        <f>'Gittel 2008'!F5</f>
        <v>600000000</v>
      </c>
      <c r="F137" s="301"/>
      <c r="G137" s="301">
        <f>E137</f>
        <v>600000000</v>
      </c>
      <c r="H137" s="27">
        <f>G137/D137</f>
        <v>0.95238095238095233</v>
      </c>
      <c r="I137" s="301"/>
      <c r="J137" s="301"/>
      <c r="K137" s="301"/>
      <c r="L137" s="301"/>
      <c r="M137" s="27"/>
      <c r="N137" s="27"/>
      <c r="O137" s="304" t="s">
        <v>440</v>
      </c>
      <c r="P137" s="328"/>
      <c r="Q137" s="301" t="b">
        <v>1</v>
      </c>
      <c r="R137" s="304" t="s">
        <v>460</v>
      </c>
      <c r="S137" s="304" t="s">
        <v>142</v>
      </c>
      <c r="T137" s="304" t="s">
        <v>1529</v>
      </c>
      <c r="V137" s="334"/>
      <c r="W137" s="334"/>
      <c r="X137" s="334"/>
      <c r="Y137" s="328"/>
      <c r="Z137" s="334"/>
      <c r="AA137" s="326"/>
      <c r="AB137" s="334"/>
      <c r="AC137" s="334"/>
      <c r="AD137" s="326"/>
      <c r="AE137" s="326"/>
      <c r="AF137" s="326"/>
      <c r="AG137" s="326"/>
      <c r="AH137" s="326"/>
      <c r="AI137" s="326"/>
      <c r="AJ137" s="326"/>
      <c r="AK137" s="326"/>
      <c r="AL137" s="326"/>
      <c r="AM137" s="326"/>
      <c r="AN137" s="326"/>
      <c r="AO137" s="326"/>
      <c r="AQ137" s="322"/>
      <c r="AR137" s="323" t="s">
        <v>162</v>
      </c>
      <c r="AT137" s="326"/>
      <c r="AU137" s="326"/>
      <c r="AV137" s="326"/>
      <c r="AW137" s="334"/>
      <c r="AX137" s="334"/>
      <c r="AY137" s="334"/>
    </row>
    <row r="138" spans="1:51" s="304" customFormat="1">
      <c r="A138" s="277" t="s">
        <v>1527</v>
      </c>
      <c r="B138" s="334" t="s">
        <v>1528</v>
      </c>
      <c r="C138" s="334">
        <f>'Gittel 2008'!D6</f>
        <v>0.05</v>
      </c>
      <c r="D138" s="301">
        <f>'Gittel 2008'!E6</f>
        <v>310000000</v>
      </c>
      <c r="E138" s="301">
        <f>'Gittel 2008'!F6</f>
        <v>300000000</v>
      </c>
      <c r="F138" s="301"/>
      <c r="G138" s="301">
        <f>E138</f>
        <v>300000000</v>
      </c>
      <c r="H138" s="27">
        <f>G138/D138</f>
        <v>0.967741935483871</v>
      </c>
      <c r="I138" s="301"/>
      <c r="J138" s="301"/>
      <c r="K138" s="301"/>
      <c r="L138" s="301"/>
      <c r="M138" s="27"/>
      <c r="N138" s="27"/>
      <c r="O138" s="304" t="s">
        <v>440</v>
      </c>
      <c r="P138" s="328"/>
      <c r="Q138" s="301" t="b">
        <v>1</v>
      </c>
      <c r="R138" s="304" t="s">
        <v>460</v>
      </c>
      <c r="S138" s="304" t="s">
        <v>142</v>
      </c>
      <c r="T138" s="304" t="s">
        <v>1529</v>
      </c>
      <c r="V138" s="334"/>
      <c r="W138" s="334"/>
      <c r="X138" s="334"/>
      <c r="Y138" s="323"/>
      <c r="Z138" s="334"/>
      <c r="AA138" s="326"/>
      <c r="AB138" s="334"/>
      <c r="AC138" s="334"/>
      <c r="AD138" s="326"/>
      <c r="AE138" s="326"/>
      <c r="AF138" s="326"/>
      <c r="AG138" s="326"/>
      <c r="AH138" s="326"/>
      <c r="AI138" s="326"/>
      <c r="AJ138" s="326"/>
      <c r="AK138" s="326"/>
      <c r="AL138" s="326"/>
      <c r="AM138" s="326"/>
      <c r="AN138" s="326"/>
      <c r="AO138" s="326"/>
      <c r="AQ138" s="322"/>
      <c r="AR138" s="323" t="s">
        <v>162</v>
      </c>
      <c r="AT138" s="326"/>
      <c r="AU138" s="326"/>
      <c r="AV138" s="326"/>
      <c r="AW138" s="334"/>
      <c r="AX138" s="334"/>
      <c r="AY138" s="334"/>
    </row>
    <row r="139" spans="1:51" s="304" customFormat="1">
      <c r="A139" s="277" t="s">
        <v>1527</v>
      </c>
      <c r="B139" s="334" t="s">
        <v>1528</v>
      </c>
      <c r="C139" s="334">
        <f>'Gittel 2008'!D7</f>
        <v>0.5</v>
      </c>
      <c r="D139" s="301">
        <f>'Gittel 2008'!E7</f>
        <v>500000000</v>
      </c>
      <c r="E139" s="301">
        <f>'Gittel 2008'!F7</f>
        <v>470000000</v>
      </c>
      <c r="F139" s="301"/>
      <c r="G139" s="301">
        <f>E139</f>
        <v>470000000</v>
      </c>
      <c r="H139" s="27">
        <f>G139/D139</f>
        <v>0.94</v>
      </c>
      <c r="I139" s="301"/>
      <c r="J139" s="301"/>
      <c r="K139" s="301"/>
      <c r="L139" s="301"/>
      <c r="M139" s="27"/>
      <c r="N139" s="27"/>
      <c r="O139" s="304" t="s">
        <v>440</v>
      </c>
      <c r="P139" s="319"/>
      <c r="Q139" s="301" t="b">
        <v>1</v>
      </c>
      <c r="R139" s="304" t="s">
        <v>460</v>
      </c>
      <c r="S139" s="304" t="s">
        <v>142</v>
      </c>
      <c r="T139" s="304" t="s">
        <v>1529</v>
      </c>
      <c r="V139" s="334"/>
      <c r="W139" s="334"/>
      <c r="X139" s="334"/>
      <c r="Y139" s="321"/>
      <c r="Z139" s="334"/>
      <c r="AA139" s="326"/>
      <c r="AB139" s="334"/>
      <c r="AC139" s="334"/>
      <c r="AD139" s="326"/>
      <c r="AE139" s="326"/>
      <c r="AF139" s="326"/>
      <c r="AG139" s="326"/>
      <c r="AH139" s="326"/>
      <c r="AI139" s="326"/>
      <c r="AJ139" s="326"/>
      <c r="AK139" s="326"/>
      <c r="AL139" s="326"/>
      <c r="AM139" s="326"/>
      <c r="AN139" s="326"/>
      <c r="AO139" s="326"/>
      <c r="AQ139" s="322"/>
      <c r="AR139" s="323" t="s">
        <v>162</v>
      </c>
      <c r="AT139" s="326"/>
      <c r="AU139" s="326"/>
      <c r="AV139" s="326"/>
      <c r="AW139" s="334"/>
      <c r="AX139" s="334"/>
      <c r="AY139" s="334"/>
    </row>
    <row r="140" spans="1:51" s="304" customFormat="1">
      <c r="A140" s="277" t="s">
        <v>1527</v>
      </c>
      <c r="B140" s="334" t="s">
        <v>1528</v>
      </c>
      <c r="C140" s="334">
        <f>'Gittel 2008'!D8</f>
        <v>1</v>
      </c>
      <c r="D140" s="301">
        <f>'Gittel 2008'!E8</f>
        <v>650000000</v>
      </c>
      <c r="E140" s="301">
        <f>'Gittel 2008'!F8</f>
        <v>630000000</v>
      </c>
      <c r="F140" s="301"/>
      <c r="G140" s="301">
        <f>E140</f>
        <v>630000000</v>
      </c>
      <c r="H140" s="27">
        <f>G140/D140</f>
        <v>0.96923076923076923</v>
      </c>
      <c r="I140" s="301"/>
      <c r="J140" s="301"/>
      <c r="K140" s="301"/>
      <c r="L140" s="301"/>
      <c r="M140" s="27"/>
      <c r="N140" s="27"/>
      <c r="O140" s="304" t="s">
        <v>440</v>
      </c>
      <c r="Q140" s="301" t="b">
        <v>1</v>
      </c>
      <c r="R140" s="304" t="s">
        <v>460</v>
      </c>
      <c r="S140" s="304" t="s">
        <v>142</v>
      </c>
      <c r="T140" s="304" t="s">
        <v>1529</v>
      </c>
      <c r="V140" s="334"/>
      <c r="W140" s="334"/>
      <c r="X140" s="334"/>
      <c r="Y140" s="328"/>
      <c r="Z140" s="334"/>
      <c r="AA140" s="326"/>
      <c r="AB140" s="334"/>
      <c r="AC140" s="334"/>
      <c r="AD140" s="326"/>
      <c r="AE140" s="326"/>
      <c r="AF140" s="326"/>
      <c r="AG140" s="326"/>
      <c r="AH140" s="326"/>
      <c r="AI140" s="326"/>
      <c r="AJ140" s="326"/>
      <c r="AK140" s="326"/>
      <c r="AL140" s="326"/>
      <c r="AM140" s="326"/>
      <c r="AN140" s="326"/>
      <c r="AO140" s="326"/>
      <c r="AQ140" s="322"/>
      <c r="AR140" s="323" t="s">
        <v>162</v>
      </c>
      <c r="AT140" s="326"/>
      <c r="AU140" s="326"/>
      <c r="AV140" s="326"/>
      <c r="AW140" s="334"/>
      <c r="AX140" s="334"/>
      <c r="AY140" s="334"/>
    </row>
    <row r="141" spans="1:51" s="304" customFormat="1">
      <c r="A141" s="277" t="s">
        <v>1527</v>
      </c>
      <c r="B141" s="334" t="s">
        <v>1528</v>
      </c>
      <c r="C141" s="334">
        <f>'Gittel 2008'!D9</f>
        <v>1.5</v>
      </c>
      <c r="D141" s="301">
        <f>'Gittel 2008'!E9</f>
        <v>600000000</v>
      </c>
      <c r="E141" s="301">
        <f>'Gittel 2008'!F9</f>
        <v>560000000</v>
      </c>
      <c r="F141" s="301"/>
      <c r="G141" s="301">
        <f>E141</f>
        <v>560000000</v>
      </c>
      <c r="H141" s="27">
        <f>G141/D141</f>
        <v>0.93333333333333335</v>
      </c>
      <c r="I141" s="301"/>
      <c r="J141" s="301"/>
      <c r="K141" s="301"/>
      <c r="L141" s="301"/>
      <c r="M141" s="27"/>
      <c r="N141" s="27"/>
      <c r="O141" s="304" t="s">
        <v>440</v>
      </c>
      <c r="P141" s="319"/>
      <c r="Q141" s="301" t="b">
        <v>1</v>
      </c>
      <c r="R141" s="304" t="s">
        <v>460</v>
      </c>
      <c r="S141" s="304" t="s">
        <v>142</v>
      </c>
      <c r="T141" s="304" t="s">
        <v>1529</v>
      </c>
      <c r="V141" s="334"/>
      <c r="W141" s="334"/>
      <c r="X141" s="334"/>
      <c r="Y141" s="328"/>
      <c r="Z141" s="334"/>
      <c r="AA141" s="326"/>
      <c r="AB141" s="334"/>
      <c r="AC141" s="334"/>
      <c r="AD141" s="326"/>
      <c r="AE141" s="326"/>
      <c r="AF141" s="326"/>
      <c r="AG141" s="326"/>
      <c r="AH141" s="326"/>
      <c r="AI141" s="326"/>
      <c r="AJ141" s="326"/>
      <c r="AK141" s="326"/>
      <c r="AL141" s="326"/>
      <c r="AM141" s="326"/>
      <c r="AN141" s="326"/>
      <c r="AO141" s="326"/>
      <c r="AQ141" s="322"/>
      <c r="AR141" s="323" t="s">
        <v>162</v>
      </c>
      <c r="AT141" s="326"/>
      <c r="AU141" s="326"/>
      <c r="AV141" s="326"/>
      <c r="AW141" s="334"/>
      <c r="AX141" s="334"/>
      <c r="AY141" s="334"/>
    </row>
    <row r="142" spans="1:51" s="304" customFormat="1">
      <c r="A142" s="277" t="s">
        <v>1527</v>
      </c>
      <c r="B142" s="334" t="s">
        <v>1528</v>
      </c>
      <c r="C142" s="334">
        <f>'Gittel 2008'!D10</f>
        <v>2</v>
      </c>
      <c r="D142" s="301">
        <f>'Gittel 2008'!E10</f>
        <v>270000000</v>
      </c>
      <c r="E142" s="301">
        <f>'Gittel 2008'!F10</f>
        <v>220000000.00000003</v>
      </c>
      <c r="F142" s="301"/>
      <c r="G142" s="301">
        <f>E142</f>
        <v>220000000.00000003</v>
      </c>
      <c r="H142" s="27">
        <f>G142/D142</f>
        <v>0.81481481481481488</v>
      </c>
      <c r="I142" s="301"/>
      <c r="J142" s="301"/>
      <c r="K142" s="301"/>
      <c r="L142" s="301"/>
      <c r="M142" s="27"/>
      <c r="N142" s="27"/>
      <c r="O142" s="304" t="s">
        <v>440</v>
      </c>
      <c r="Q142" s="301" t="b">
        <v>1</v>
      </c>
      <c r="R142" s="304" t="s">
        <v>460</v>
      </c>
      <c r="S142" s="304" t="s">
        <v>142</v>
      </c>
      <c r="T142" s="304" t="s">
        <v>1529</v>
      </c>
      <c r="V142" s="334"/>
      <c r="W142" s="334"/>
      <c r="X142" s="334"/>
      <c r="Y142" s="326"/>
      <c r="Z142" s="334"/>
      <c r="AA142" s="326"/>
      <c r="AB142" s="334"/>
      <c r="AC142" s="334"/>
      <c r="AD142" s="326"/>
      <c r="AE142" s="326"/>
      <c r="AF142" s="326"/>
      <c r="AG142" s="326"/>
      <c r="AH142" s="326"/>
      <c r="AI142" s="326"/>
      <c r="AJ142" s="326"/>
      <c r="AK142" s="326"/>
      <c r="AL142" s="326"/>
      <c r="AM142" s="326"/>
      <c r="AN142" s="326"/>
      <c r="AO142" s="326"/>
      <c r="AQ142" s="322"/>
      <c r="AR142" s="323" t="s">
        <v>162</v>
      </c>
      <c r="AT142" s="326"/>
      <c r="AU142" s="326"/>
      <c r="AV142" s="326"/>
      <c r="AW142" s="334"/>
      <c r="AX142" s="334"/>
      <c r="AY142" s="334"/>
    </row>
    <row r="143" spans="1:51" s="304" customFormat="1">
      <c r="A143" s="277" t="s">
        <v>1527</v>
      </c>
      <c r="B143" s="334" t="s">
        <v>1528</v>
      </c>
      <c r="C143" s="334">
        <f>'Gittel 2008'!D11</f>
        <v>2.5</v>
      </c>
      <c r="D143" s="301">
        <f>'Gittel 2008'!E11</f>
        <v>300000000</v>
      </c>
      <c r="E143" s="301">
        <f>'Gittel 2008'!F11</f>
        <v>270000000</v>
      </c>
      <c r="F143" s="301"/>
      <c r="G143" s="301">
        <f>E143</f>
        <v>270000000</v>
      </c>
      <c r="H143" s="27">
        <f>G143/D143</f>
        <v>0.9</v>
      </c>
      <c r="I143" s="301"/>
      <c r="J143" s="301"/>
      <c r="K143" s="301"/>
      <c r="L143" s="301"/>
      <c r="M143" s="27"/>
      <c r="N143" s="27"/>
      <c r="O143" s="304" t="s">
        <v>440</v>
      </c>
      <c r="P143" s="328"/>
      <c r="Q143" s="301" t="b">
        <v>1</v>
      </c>
      <c r="R143" s="304" t="s">
        <v>460</v>
      </c>
      <c r="S143" s="304" t="s">
        <v>142</v>
      </c>
      <c r="T143" s="304" t="s">
        <v>1529</v>
      </c>
      <c r="V143" s="334"/>
      <c r="W143" s="334"/>
      <c r="X143" s="334"/>
      <c r="Y143" s="328"/>
      <c r="Z143" s="334"/>
      <c r="AA143" s="326"/>
      <c r="AB143" s="334"/>
      <c r="AC143" s="334"/>
      <c r="AD143" s="326"/>
      <c r="AE143" s="326"/>
      <c r="AF143" s="326"/>
      <c r="AG143" s="326"/>
      <c r="AH143" s="326"/>
      <c r="AI143" s="326"/>
      <c r="AJ143" s="326"/>
      <c r="AK143" s="326"/>
      <c r="AL143" s="326"/>
      <c r="AM143" s="326"/>
      <c r="AN143" s="326"/>
      <c r="AO143" s="326"/>
      <c r="AQ143" s="322"/>
      <c r="AR143" s="323" t="s">
        <v>162</v>
      </c>
      <c r="AT143" s="326"/>
      <c r="AU143" s="326"/>
      <c r="AV143" s="326"/>
      <c r="AW143" s="334"/>
      <c r="AX143" s="334"/>
      <c r="AY143" s="334"/>
    </row>
    <row r="144" spans="1:51" s="304" customFormat="1">
      <c r="A144" s="277" t="s">
        <v>1527</v>
      </c>
      <c r="B144" s="334" t="s">
        <v>1528</v>
      </c>
      <c r="C144" s="334">
        <f>'Gittel 2008'!D12</f>
        <v>3</v>
      </c>
      <c r="D144" s="301">
        <f>'Gittel 2008'!E12</f>
        <v>459999999.99999994</v>
      </c>
      <c r="E144" s="301">
        <f>'Gittel 2008'!F12</f>
        <v>400000000</v>
      </c>
      <c r="F144" s="301"/>
      <c r="G144" s="301">
        <f>E144</f>
        <v>400000000</v>
      </c>
      <c r="H144" s="27">
        <f>G144/D144</f>
        <v>0.86956521739130443</v>
      </c>
      <c r="I144" s="301"/>
      <c r="J144" s="301"/>
      <c r="K144" s="301"/>
      <c r="L144" s="301"/>
      <c r="M144" s="27"/>
      <c r="N144" s="27"/>
      <c r="O144" s="304" t="s">
        <v>440</v>
      </c>
      <c r="Q144" s="301" t="b">
        <v>1</v>
      </c>
      <c r="R144" s="304" t="s">
        <v>460</v>
      </c>
      <c r="S144" s="304" t="s">
        <v>142</v>
      </c>
      <c r="T144" s="304" t="s">
        <v>1529</v>
      </c>
      <c r="V144" s="334"/>
      <c r="W144" s="334"/>
      <c r="X144" s="334"/>
      <c r="Y144" s="328"/>
      <c r="Z144" s="334"/>
      <c r="AA144" s="326"/>
      <c r="AB144" s="334"/>
      <c r="AC144" s="334"/>
      <c r="AD144" s="326"/>
      <c r="AE144" s="326"/>
      <c r="AF144" s="326"/>
      <c r="AG144" s="326"/>
      <c r="AH144" s="326"/>
      <c r="AI144" s="326"/>
      <c r="AJ144" s="326"/>
      <c r="AK144" s="326"/>
      <c r="AL144" s="326"/>
      <c r="AM144" s="326"/>
      <c r="AN144" s="326"/>
      <c r="AO144" s="326"/>
      <c r="AQ144" s="322"/>
      <c r="AR144" s="323" t="s">
        <v>162</v>
      </c>
      <c r="AT144" s="326"/>
      <c r="AU144" s="326"/>
      <c r="AV144" s="326"/>
      <c r="AW144" s="334"/>
      <c r="AX144" s="334"/>
      <c r="AY144" s="334"/>
    </row>
    <row r="145" spans="1:51" s="304" customFormat="1">
      <c r="A145" s="277" t="s">
        <v>1527</v>
      </c>
      <c r="B145" s="334" t="s">
        <v>1528</v>
      </c>
      <c r="C145" s="334">
        <f>'Gittel 2008'!D13</f>
        <v>3.5</v>
      </c>
      <c r="D145" s="301">
        <f>'Gittel 2008'!E13</f>
        <v>400000000</v>
      </c>
      <c r="E145" s="301">
        <f>'Gittel 2008'!F13</f>
        <v>330000000</v>
      </c>
      <c r="F145" s="301"/>
      <c r="G145" s="301">
        <f>E145</f>
        <v>330000000</v>
      </c>
      <c r="H145" s="27">
        <f>G145/D145</f>
        <v>0.82499999999999996</v>
      </c>
      <c r="I145" s="301"/>
      <c r="J145" s="301"/>
      <c r="K145" s="301"/>
      <c r="L145" s="301"/>
      <c r="M145" s="27"/>
      <c r="N145" s="27"/>
      <c r="O145" s="304" t="s">
        <v>440</v>
      </c>
      <c r="Q145" s="301" t="b">
        <v>1</v>
      </c>
      <c r="R145" s="304" t="s">
        <v>460</v>
      </c>
      <c r="S145" s="304" t="s">
        <v>142</v>
      </c>
      <c r="T145" s="304" t="s">
        <v>1529</v>
      </c>
      <c r="V145" s="334"/>
      <c r="W145" s="334"/>
      <c r="X145" s="334"/>
      <c r="Y145" s="334"/>
      <c r="Z145" s="334"/>
      <c r="AA145" s="326"/>
      <c r="AB145" s="334"/>
      <c r="AC145" s="334"/>
      <c r="AD145" s="326"/>
      <c r="AE145" s="326"/>
      <c r="AF145" s="326"/>
      <c r="AG145" s="326"/>
      <c r="AH145" s="326"/>
      <c r="AI145" s="326"/>
      <c r="AJ145" s="326"/>
      <c r="AK145" s="326"/>
      <c r="AL145" s="326"/>
      <c r="AM145" s="326"/>
      <c r="AN145" s="326"/>
      <c r="AO145" s="326"/>
      <c r="AQ145" s="322"/>
      <c r="AR145" s="323" t="s">
        <v>162</v>
      </c>
      <c r="AT145" s="326"/>
      <c r="AU145" s="326"/>
      <c r="AV145" s="326"/>
      <c r="AW145" s="334"/>
      <c r="AX145" s="334"/>
      <c r="AY145" s="334"/>
    </row>
    <row r="146" spans="1:51" s="304" customFormat="1">
      <c r="A146" s="277" t="s">
        <v>1527</v>
      </c>
      <c r="B146" s="334" t="s">
        <v>1528</v>
      </c>
      <c r="C146" s="334">
        <f>'Gittel 2008'!D14</f>
        <v>4</v>
      </c>
      <c r="D146" s="301">
        <f>'Gittel 2008'!E14</f>
        <v>590000000</v>
      </c>
      <c r="E146" s="301">
        <f>'Gittel 2008'!F14</f>
        <v>360000000</v>
      </c>
      <c r="F146" s="301"/>
      <c r="G146" s="301">
        <f>E146</f>
        <v>360000000</v>
      </c>
      <c r="H146" s="27">
        <f>G146/D146</f>
        <v>0.61016949152542377</v>
      </c>
      <c r="I146" s="301"/>
      <c r="J146" s="301"/>
      <c r="K146" s="301"/>
      <c r="L146" s="301"/>
      <c r="M146" s="27"/>
      <c r="N146" s="27"/>
      <c r="O146" s="304" t="s">
        <v>440</v>
      </c>
      <c r="Q146" s="301" t="b">
        <v>1</v>
      </c>
      <c r="R146" s="304" t="s">
        <v>460</v>
      </c>
      <c r="S146" s="304" t="s">
        <v>142</v>
      </c>
      <c r="T146" s="304" t="s">
        <v>1529</v>
      </c>
      <c r="V146" s="334"/>
      <c r="W146" s="334"/>
      <c r="X146" s="334"/>
      <c r="Y146" s="311"/>
      <c r="Z146" s="334"/>
      <c r="AA146" s="326"/>
      <c r="AB146" s="334"/>
      <c r="AC146" s="334"/>
      <c r="AD146" s="326"/>
      <c r="AE146" s="326"/>
      <c r="AF146" s="326"/>
      <c r="AG146" s="326"/>
      <c r="AH146" s="326"/>
      <c r="AI146" s="326"/>
      <c r="AJ146" s="326"/>
      <c r="AK146" s="326"/>
      <c r="AL146" s="326"/>
      <c r="AM146" s="326"/>
      <c r="AN146" s="326"/>
      <c r="AO146" s="326"/>
      <c r="AQ146" s="322"/>
      <c r="AR146" s="323" t="s">
        <v>162</v>
      </c>
      <c r="AT146" s="326"/>
      <c r="AU146" s="326"/>
      <c r="AV146" s="326"/>
      <c r="AW146" s="334"/>
      <c r="AX146" s="334"/>
      <c r="AY146" s="334"/>
    </row>
    <row r="147" spans="1:51" s="304" customFormat="1">
      <c r="A147" s="277" t="s">
        <v>1527</v>
      </c>
      <c r="B147" s="334" t="s">
        <v>1528</v>
      </c>
      <c r="C147" s="334">
        <f>'Gittel 2008'!D15</f>
        <v>4.5</v>
      </c>
      <c r="D147" s="301">
        <f>'Gittel 2008'!E15</f>
        <v>610000000</v>
      </c>
      <c r="E147" s="301">
        <f>'Gittel 2008'!F15</f>
        <v>560000000</v>
      </c>
      <c r="F147" s="301"/>
      <c r="G147" s="301">
        <f>E147</f>
        <v>560000000</v>
      </c>
      <c r="H147" s="27">
        <f>G147/D147</f>
        <v>0.91803278688524592</v>
      </c>
      <c r="I147" s="301"/>
      <c r="J147" s="301"/>
      <c r="K147" s="301"/>
      <c r="L147" s="301"/>
      <c r="M147" s="27"/>
      <c r="N147" s="27"/>
      <c r="O147" s="304" t="s">
        <v>440</v>
      </c>
      <c r="P147" s="334"/>
      <c r="Q147" s="301" t="b">
        <v>1</v>
      </c>
      <c r="R147" s="304" t="s">
        <v>460</v>
      </c>
      <c r="S147" s="304" t="s">
        <v>142</v>
      </c>
      <c r="T147" s="304" t="s">
        <v>1529</v>
      </c>
      <c r="V147" s="334"/>
      <c r="W147" s="334"/>
      <c r="X147" s="334"/>
      <c r="Y147" s="334"/>
      <c r="Z147" s="334"/>
      <c r="AA147" s="326"/>
      <c r="AB147" s="334"/>
      <c r="AC147" s="334"/>
      <c r="AD147" s="326"/>
      <c r="AE147" s="326"/>
      <c r="AF147" s="326"/>
      <c r="AG147" s="326"/>
      <c r="AH147" s="326"/>
      <c r="AI147" s="326"/>
      <c r="AJ147" s="326"/>
      <c r="AK147" s="326"/>
      <c r="AL147" s="326"/>
      <c r="AM147" s="326"/>
      <c r="AN147" s="326"/>
      <c r="AO147" s="326"/>
      <c r="AQ147" s="322"/>
      <c r="AR147" s="323" t="s">
        <v>162</v>
      </c>
      <c r="AT147" s="326"/>
      <c r="AU147" s="326"/>
      <c r="AV147" s="326"/>
      <c r="AW147" s="334"/>
      <c r="AX147" s="334"/>
      <c r="AY147" s="334"/>
    </row>
    <row r="148" spans="1:51" s="304" customFormat="1">
      <c r="A148" s="277" t="s">
        <v>1527</v>
      </c>
      <c r="B148" s="334" t="s">
        <v>1528</v>
      </c>
      <c r="C148" s="334">
        <f>'Gittel 2008'!D16</f>
        <v>5</v>
      </c>
      <c r="D148" s="301">
        <f>'Gittel 2008'!E16</f>
        <v>450000000</v>
      </c>
      <c r="E148" s="301">
        <f>'Gittel 2008'!F16</f>
        <v>380000000</v>
      </c>
      <c r="F148" s="301"/>
      <c r="G148" s="301">
        <f>E148</f>
        <v>380000000</v>
      </c>
      <c r="H148" s="27">
        <f>G148/D148</f>
        <v>0.84444444444444444</v>
      </c>
      <c r="I148" s="301"/>
      <c r="J148" s="301"/>
      <c r="K148" s="301"/>
      <c r="L148" s="301"/>
      <c r="M148" s="27"/>
      <c r="N148" s="27"/>
      <c r="O148" s="304" t="s">
        <v>440</v>
      </c>
      <c r="P148" s="326"/>
      <c r="Q148" s="301" t="b">
        <v>1</v>
      </c>
      <c r="R148" s="304" t="s">
        <v>460</v>
      </c>
      <c r="S148" s="304" t="s">
        <v>142</v>
      </c>
      <c r="T148" s="304" t="s">
        <v>1529</v>
      </c>
      <c r="V148" s="334"/>
      <c r="W148" s="334"/>
      <c r="X148" s="334"/>
      <c r="Y148" s="328"/>
      <c r="Z148" s="334"/>
      <c r="AA148" s="326"/>
      <c r="AB148" s="334"/>
      <c r="AC148" s="334"/>
      <c r="AD148" s="326"/>
      <c r="AE148" s="326"/>
      <c r="AF148" s="326"/>
      <c r="AG148" s="326"/>
      <c r="AH148" s="326"/>
      <c r="AI148" s="326"/>
      <c r="AJ148" s="326"/>
      <c r="AK148" s="326"/>
      <c r="AL148" s="326"/>
      <c r="AM148" s="326"/>
      <c r="AN148" s="326"/>
      <c r="AO148" s="326"/>
      <c r="AQ148" s="322"/>
      <c r="AR148" s="323" t="s">
        <v>162</v>
      </c>
      <c r="AT148" s="326"/>
      <c r="AU148" s="326"/>
      <c r="AV148" s="326"/>
      <c r="AW148" s="334"/>
      <c r="AX148" s="334"/>
      <c r="AY148" s="334"/>
    </row>
    <row r="149" spans="1:51">
      <c r="A149" s="277" t="s">
        <v>611</v>
      </c>
      <c r="B149" s="334" t="s">
        <v>1665</v>
      </c>
      <c r="C149" s="334">
        <f>'EXD Inagaki 2006'!C6</f>
        <v>0</v>
      </c>
      <c r="N149" s="27">
        <f>'EXD Inagaki 2006'!H6</f>
        <v>8.4717607973421899E-2</v>
      </c>
      <c r="O149" s="229"/>
      <c r="P149" s="327">
        <f>'EXD Inagaki 2006'!I6</f>
        <v>24.7</v>
      </c>
      <c r="R149" s="304" t="s">
        <v>1395</v>
      </c>
      <c r="S149" s="304"/>
      <c r="T149" s="304"/>
      <c r="U149" s="304"/>
      <c r="V149" s="334"/>
      <c r="W149" s="334"/>
      <c r="X149" s="334"/>
      <c r="Y149" s="328"/>
      <c r="Z149" s="334"/>
      <c r="AA149" s="326" t="s">
        <v>1453</v>
      </c>
      <c r="AD149" s="326" t="s">
        <v>1717</v>
      </c>
      <c r="AE149" s="326" t="s">
        <v>1725</v>
      </c>
      <c r="AF149" s="326" t="s">
        <v>1735</v>
      </c>
      <c r="AJ149" s="326" t="s">
        <v>1350</v>
      </c>
      <c r="AK149" s="326" t="s">
        <v>1349</v>
      </c>
      <c r="AL149" s="326" t="s">
        <v>1351</v>
      </c>
      <c r="AO149" s="326" t="s">
        <v>1454</v>
      </c>
      <c r="AQ149" s="322">
        <v>427</v>
      </c>
      <c r="AR149" s="323"/>
      <c r="AV149" s="326" t="b">
        <v>1</v>
      </c>
      <c r="AW149" s="334" t="b">
        <v>1</v>
      </c>
      <c r="AX149" s="334" t="b">
        <v>1</v>
      </c>
      <c r="AY149" s="334"/>
    </row>
    <row r="150" spans="1:51">
      <c r="A150" s="277" t="s">
        <v>611</v>
      </c>
      <c r="B150" s="334" t="s">
        <v>1665</v>
      </c>
      <c r="C150" s="334">
        <f>'EXD Inagaki 2006'!C7</f>
        <v>7.8650999999999991</v>
      </c>
      <c r="N150" s="27">
        <f>'EXD Inagaki 2006'!H7</f>
        <v>5.4817275747508096E-2</v>
      </c>
      <c r="O150" s="229"/>
      <c r="P150">
        <f>'EXD Inagaki 2006'!I7</f>
        <v>12.6</v>
      </c>
      <c r="R150" s="304" t="s">
        <v>1395</v>
      </c>
      <c r="S150" s="304"/>
      <c r="T150" s="304"/>
      <c r="U150" s="304"/>
      <c r="V150" s="334"/>
      <c r="W150" s="334"/>
      <c r="X150" s="334"/>
      <c r="Y150" s="328"/>
      <c r="Z150" s="334"/>
      <c r="AA150" s="326" t="s">
        <v>1453</v>
      </c>
      <c r="AD150" s="326" t="s">
        <v>1717</v>
      </c>
      <c r="AE150" s="326" t="s">
        <v>1725</v>
      </c>
      <c r="AF150" s="326" t="s">
        <v>1735</v>
      </c>
      <c r="AJ150" s="326" t="s">
        <v>1350</v>
      </c>
      <c r="AK150" s="326" t="s">
        <v>1349</v>
      </c>
      <c r="AL150" s="326" t="s">
        <v>1351</v>
      </c>
      <c r="AO150" s="326" t="s">
        <v>1454</v>
      </c>
      <c r="AQ150" s="322">
        <v>427</v>
      </c>
      <c r="AR150" s="323"/>
      <c r="AV150" s="326" t="b">
        <v>1</v>
      </c>
      <c r="AW150" s="334" t="b">
        <v>1</v>
      </c>
      <c r="AX150" s="334" t="b">
        <v>1</v>
      </c>
      <c r="AY150" s="334"/>
    </row>
    <row r="151" spans="1:51">
      <c r="A151" s="277" t="s">
        <v>875</v>
      </c>
      <c r="B151" s="334" t="s">
        <v>1665</v>
      </c>
      <c r="C151" s="334">
        <f>'EXD Inagaki 2006'!C8</f>
        <v>13.108499999999999</v>
      </c>
      <c r="N151" s="27">
        <f>'EXD Inagaki 2006'!H8</f>
        <v>3.4883720930232301E-2</v>
      </c>
      <c r="O151" s="229"/>
      <c r="P151" s="326">
        <f>'EXD Inagaki 2006'!I8</f>
        <v>6.5</v>
      </c>
      <c r="R151" s="304" t="s">
        <v>1395</v>
      </c>
      <c r="S151" s="304"/>
      <c r="T151" s="304"/>
      <c r="U151" s="304"/>
      <c r="V151" s="334"/>
      <c r="W151" s="334"/>
      <c r="X151" s="334"/>
      <c r="Y151" s="328"/>
      <c r="Z151" s="334"/>
      <c r="AA151" s="326" t="s">
        <v>1453</v>
      </c>
      <c r="AD151" s="326" t="s">
        <v>1717</v>
      </c>
      <c r="AE151" s="326" t="s">
        <v>1725</v>
      </c>
      <c r="AF151" s="326" t="s">
        <v>1735</v>
      </c>
      <c r="AJ151" s="326" t="s">
        <v>1350</v>
      </c>
      <c r="AK151" s="326" t="s">
        <v>1349</v>
      </c>
      <c r="AL151" s="326" t="s">
        <v>1351</v>
      </c>
      <c r="AO151" s="326" t="s">
        <v>1454</v>
      </c>
      <c r="AQ151" s="322">
        <v>427</v>
      </c>
      <c r="AR151" s="323"/>
      <c r="AV151" s="326" t="b">
        <v>1</v>
      </c>
      <c r="AW151" s="334" t="b">
        <v>1</v>
      </c>
      <c r="AX151" s="334" t="b">
        <v>1</v>
      </c>
      <c r="AY151" s="334"/>
    </row>
    <row r="152" spans="1:51">
      <c r="A152" s="277" t="s">
        <v>875</v>
      </c>
      <c r="B152" s="334" t="s">
        <v>1665</v>
      </c>
      <c r="C152" s="334">
        <f>'EXD Inagaki 2006'!C9</f>
        <v>15.730199999999998</v>
      </c>
      <c r="N152" s="27">
        <f>'EXD Inagaki 2006'!H9</f>
        <v>6.6445182724249995E-3</v>
      </c>
      <c r="O152" s="229"/>
      <c r="P152" s="326">
        <f>'EXD Inagaki 2006'!I9</f>
        <v>5.7</v>
      </c>
      <c r="R152" s="304" t="s">
        <v>1395</v>
      </c>
      <c r="S152" s="304"/>
      <c r="T152" s="304"/>
      <c r="U152" s="304"/>
      <c r="V152" s="334"/>
      <c r="W152" s="334"/>
      <c r="X152" s="334"/>
      <c r="Y152" s="328"/>
      <c r="Z152" s="334"/>
      <c r="AA152" s="326" t="s">
        <v>1453</v>
      </c>
      <c r="AD152" s="326" t="s">
        <v>1717</v>
      </c>
      <c r="AE152" s="326" t="s">
        <v>1725</v>
      </c>
      <c r="AF152" s="326" t="s">
        <v>1735</v>
      </c>
      <c r="AJ152" s="326" t="s">
        <v>1350</v>
      </c>
      <c r="AK152" s="326" t="s">
        <v>1349</v>
      </c>
      <c r="AL152" s="326" t="s">
        <v>1351</v>
      </c>
      <c r="AO152" s="326" t="s">
        <v>1454</v>
      </c>
      <c r="AQ152">
        <v>427</v>
      </c>
      <c r="AR152" s="323"/>
      <c r="AV152" s="326" t="b">
        <v>1</v>
      </c>
      <c r="AW152" s="334" t="b">
        <v>1</v>
      </c>
      <c r="AX152" s="334" t="b">
        <v>1</v>
      </c>
      <c r="AY152" s="334"/>
    </row>
    <row r="153" spans="1:51">
      <c r="A153" s="277" t="s">
        <v>875</v>
      </c>
      <c r="B153" s="334" t="s">
        <v>1665</v>
      </c>
      <c r="C153" s="334">
        <f>'EXD Inagaki 2006'!C10</f>
        <v>20.973600000000001</v>
      </c>
      <c r="N153" s="27">
        <f>'EXD Inagaki 2006'!H10</f>
        <v>0</v>
      </c>
      <c r="O153" s="229"/>
      <c r="P153" s="327">
        <f>'EXD Inagaki 2006'!I10</f>
        <v>3.8</v>
      </c>
      <c r="R153" t="s">
        <v>1395</v>
      </c>
      <c r="V153" s="334"/>
      <c r="W153" s="334"/>
      <c r="X153" s="334"/>
      <c r="Y153" s="328"/>
      <c r="Z153" s="334"/>
      <c r="AA153" s="326" t="s">
        <v>1453</v>
      </c>
      <c r="AD153" s="326" t="s">
        <v>1717</v>
      </c>
      <c r="AE153" s="326" t="s">
        <v>1725</v>
      </c>
      <c r="AF153" s="326" t="s">
        <v>1735</v>
      </c>
      <c r="AJ153" s="326" t="s">
        <v>1350</v>
      </c>
      <c r="AK153" s="326" t="s">
        <v>1349</v>
      </c>
      <c r="AL153" s="326" t="s">
        <v>1351</v>
      </c>
      <c r="AO153" s="326" t="s">
        <v>1454</v>
      </c>
      <c r="AP153" s="322"/>
      <c r="AQ153">
        <v>427</v>
      </c>
      <c r="AR153" s="323"/>
      <c r="AV153" s="326" t="b">
        <v>1</v>
      </c>
      <c r="AW153" s="334" t="b">
        <v>1</v>
      </c>
      <c r="AX153" s="334" t="b">
        <v>1</v>
      </c>
      <c r="AY153" s="334"/>
    </row>
    <row r="154" spans="1:51">
      <c r="A154" s="277" t="s">
        <v>875</v>
      </c>
      <c r="B154" s="334" t="s">
        <v>1665</v>
      </c>
      <c r="C154" s="334">
        <f>'EXD Inagaki 2006'!C11</f>
        <v>31.460399999999996</v>
      </c>
      <c r="N154" s="27">
        <f>'EXD Inagaki 2006'!H11</f>
        <v>0</v>
      </c>
      <c r="O154" s="229"/>
      <c r="P154" s="327">
        <f>'EXD Inagaki 2006'!I11</f>
        <v>2.8</v>
      </c>
      <c r="R154" t="s">
        <v>1395</v>
      </c>
      <c r="V154" s="334"/>
      <c r="W154" s="334"/>
      <c r="X154" s="334"/>
      <c r="Y154" s="328"/>
      <c r="Z154" s="334"/>
      <c r="AA154" s="326" t="s">
        <v>1453</v>
      </c>
      <c r="AD154" s="326" t="s">
        <v>1717</v>
      </c>
      <c r="AE154" s="326" t="s">
        <v>1725</v>
      </c>
      <c r="AF154" s="326" t="s">
        <v>1735</v>
      </c>
      <c r="AJ154" s="326" t="s">
        <v>1350</v>
      </c>
      <c r="AK154" s="326" t="s">
        <v>1349</v>
      </c>
      <c r="AL154" s="326" t="s">
        <v>1351</v>
      </c>
      <c r="AO154" s="326" t="s">
        <v>1454</v>
      </c>
      <c r="AP154" s="322"/>
      <c r="AQ154" s="322">
        <v>427</v>
      </c>
      <c r="AR154" s="323"/>
      <c r="AV154" s="326" t="b">
        <v>1</v>
      </c>
      <c r="AW154" s="334" t="b">
        <v>1</v>
      </c>
      <c r="AX154" s="334" t="b">
        <v>1</v>
      </c>
      <c r="AY154" s="334"/>
    </row>
    <row r="155" spans="1:51">
      <c r="A155" s="277" t="s">
        <v>875</v>
      </c>
      <c r="B155" s="334" t="s">
        <v>1665</v>
      </c>
      <c r="C155" s="334">
        <f>'EXD Inagaki 2006'!C12</f>
        <v>36.703799999999994</v>
      </c>
      <c r="N155" s="27">
        <f>'EXD Inagaki 2006'!H12</f>
        <v>0</v>
      </c>
      <c r="O155" s="229"/>
      <c r="P155">
        <f>'EXD Inagaki 2006'!I12</f>
        <v>1.2</v>
      </c>
      <c r="R155" t="s">
        <v>1395</v>
      </c>
      <c r="V155" s="334"/>
      <c r="W155" s="334"/>
      <c r="X155" s="334"/>
      <c r="Y155" s="328"/>
      <c r="Z155" s="334"/>
      <c r="AA155" s="326" t="s">
        <v>1453</v>
      </c>
      <c r="AD155" s="326" t="s">
        <v>1717</v>
      </c>
      <c r="AE155" s="326" t="s">
        <v>1725</v>
      </c>
      <c r="AF155" s="326" t="s">
        <v>1735</v>
      </c>
      <c r="AJ155" s="326" t="s">
        <v>1350</v>
      </c>
      <c r="AK155" s="326" t="s">
        <v>1349</v>
      </c>
      <c r="AL155" s="326" t="s">
        <v>1351</v>
      </c>
      <c r="AO155" s="326" t="s">
        <v>1454</v>
      </c>
      <c r="AP155" s="322"/>
      <c r="AQ155" s="322">
        <v>427</v>
      </c>
      <c r="AR155" s="323"/>
      <c r="AV155" s="326" t="b">
        <v>1</v>
      </c>
      <c r="AW155" s="334" t="b">
        <v>1</v>
      </c>
      <c r="AX155" s="334" t="b">
        <v>1</v>
      </c>
      <c r="AY155" s="334"/>
    </row>
    <row r="156" spans="1:51">
      <c r="A156" s="277" t="s">
        <v>875</v>
      </c>
      <c r="B156" s="334" t="s">
        <v>1665</v>
      </c>
      <c r="C156" s="334">
        <f>'EXD Inagaki 2006'!C13</f>
        <v>41.947200000000002</v>
      </c>
      <c r="N156" s="27">
        <f>'EXD Inagaki 2006'!H13</f>
        <v>0</v>
      </c>
      <c r="O156" s="286"/>
      <c r="P156" s="327">
        <f>'EXD Inagaki 2006'!I13</f>
        <v>0</v>
      </c>
      <c r="R156" t="s">
        <v>1395</v>
      </c>
      <c r="V156" s="334"/>
      <c r="W156" s="334"/>
      <c r="X156" s="334"/>
      <c r="Y156" s="328"/>
      <c r="Z156" s="334"/>
      <c r="AA156" s="326" t="s">
        <v>1453</v>
      </c>
      <c r="AD156" s="326" t="s">
        <v>1717</v>
      </c>
      <c r="AE156" s="326" t="s">
        <v>1725</v>
      </c>
      <c r="AF156" s="326" t="s">
        <v>1735</v>
      </c>
      <c r="AJ156" s="326" t="s">
        <v>1350</v>
      </c>
      <c r="AK156" s="326" t="s">
        <v>1349</v>
      </c>
      <c r="AL156" s="326" t="s">
        <v>1351</v>
      </c>
      <c r="AO156" s="326" t="s">
        <v>1454</v>
      </c>
      <c r="AP156" s="322"/>
      <c r="AQ156" s="322">
        <v>427</v>
      </c>
      <c r="AR156" s="323"/>
      <c r="AV156" s="326" t="b">
        <v>1</v>
      </c>
      <c r="AW156" s="334" t="b">
        <v>1</v>
      </c>
      <c r="AX156" s="334" t="b">
        <v>1</v>
      </c>
      <c r="AY156" s="334"/>
    </row>
    <row r="157" spans="1:51">
      <c r="A157" s="277" t="s">
        <v>875</v>
      </c>
      <c r="B157" s="334" t="s">
        <v>1665</v>
      </c>
      <c r="C157" s="334">
        <f>'EXD Inagaki 2006'!C14</f>
        <v>47.190599999999996</v>
      </c>
      <c r="H157" s="336"/>
      <c r="N157" s="27">
        <f>'EXD Inagaki 2006'!H14</f>
        <v>0</v>
      </c>
      <c r="O157" s="286"/>
      <c r="P157" s="326">
        <f>'EXD Inagaki 2006'!I14</f>
        <v>0</v>
      </c>
      <c r="R157" t="s">
        <v>1395</v>
      </c>
      <c r="V157" s="334"/>
      <c r="W157" s="334"/>
      <c r="X157" s="334"/>
      <c r="Y157" s="328"/>
      <c r="Z157" s="334"/>
      <c r="AA157" s="326" t="s">
        <v>1453</v>
      </c>
      <c r="AD157" s="326" t="s">
        <v>1717</v>
      </c>
      <c r="AE157" s="326" t="s">
        <v>1725</v>
      </c>
      <c r="AF157" s="326" t="s">
        <v>1735</v>
      </c>
      <c r="AJ157" s="326" t="s">
        <v>1350</v>
      </c>
      <c r="AK157" s="326" t="s">
        <v>1349</v>
      </c>
      <c r="AL157" s="326" t="s">
        <v>1351</v>
      </c>
      <c r="AO157" s="326" t="s">
        <v>1454</v>
      </c>
      <c r="AP157" s="322"/>
      <c r="AQ157" s="322">
        <v>427</v>
      </c>
      <c r="AR157" s="323"/>
      <c r="AV157" s="326" t="b">
        <v>1</v>
      </c>
      <c r="AW157" s="334" t="b">
        <v>1</v>
      </c>
      <c r="AX157" s="334" t="b">
        <v>1</v>
      </c>
      <c r="AY157" s="334"/>
    </row>
    <row r="158" spans="1:51">
      <c r="A158" s="277" t="s">
        <v>875</v>
      </c>
      <c r="B158" s="334" t="s">
        <v>1665</v>
      </c>
      <c r="C158" s="334">
        <f>'EXD Inagaki 2006'!C15</f>
        <v>49.812299999999993</v>
      </c>
      <c r="N158" s="27">
        <f>'EXD Inagaki 2006'!H15</f>
        <v>0</v>
      </c>
      <c r="O158" s="286"/>
      <c r="P158" s="323">
        <f>'EXD Inagaki 2006'!I15</f>
        <v>0</v>
      </c>
      <c r="R158" t="s">
        <v>1395</v>
      </c>
      <c r="V158" s="334"/>
      <c r="W158" s="334"/>
      <c r="X158" s="334"/>
      <c r="Y158" s="334"/>
      <c r="Z158" s="334"/>
      <c r="AA158" s="326" t="s">
        <v>1453</v>
      </c>
      <c r="AD158" s="326" t="s">
        <v>1717</v>
      </c>
      <c r="AE158" s="326" t="s">
        <v>1725</v>
      </c>
      <c r="AF158" s="326" t="s">
        <v>1735</v>
      </c>
      <c r="AJ158" s="326" t="s">
        <v>1350</v>
      </c>
      <c r="AK158" s="326" t="s">
        <v>1349</v>
      </c>
      <c r="AL158" s="326" t="s">
        <v>1351</v>
      </c>
      <c r="AO158" s="326" t="s">
        <v>1454</v>
      </c>
      <c r="AP158" s="322"/>
      <c r="AQ158" s="322">
        <v>427</v>
      </c>
      <c r="AR158" s="323"/>
      <c r="AV158" s="326" t="b">
        <v>1</v>
      </c>
      <c r="AW158" s="334" t="b">
        <v>1</v>
      </c>
      <c r="AX158" s="334" t="b">
        <v>1</v>
      </c>
      <c r="AY158" s="334"/>
    </row>
    <row r="159" spans="1:51">
      <c r="A159" s="277" t="s">
        <v>875</v>
      </c>
      <c r="B159" s="334" t="s">
        <v>1665</v>
      </c>
      <c r="C159" s="334">
        <f>'EXD Inagaki 2006'!C16</f>
        <v>55.055700000000002</v>
      </c>
      <c r="N159" s="27">
        <f>'EXD Inagaki 2006'!H16</f>
        <v>0</v>
      </c>
      <c r="O159" s="286"/>
      <c r="P159" s="327">
        <f>'EXD Inagaki 2006'!I16</f>
        <v>0</v>
      </c>
      <c r="R159" t="s">
        <v>1395</v>
      </c>
      <c r="V159" s="334"/>
      <c r="W159" s="334"/>
      <c r="X159" s="334"/>
      <c r="Y159" s="328"/>
      <c r="Z159" s="334"/>
      <c r="AA159" s="326" t="s">
        <v>1453</v>
      </c>
      <c r="AD159" s="326" t="s">
        <v>1717</v>
      </c>
      <c r="AE159" s="326" t="s">
        <v>1725</v>
      </c>
      <c r="AF159" s="326" t="s">
        <v>1735</v>
      </c>
      <c r="AJ159" s="326" t="s">
        <v>1350</v>
      </c>
      <c r="AK159" s="326" t="s">
        <v>1349</v>
      </c>
      <c r="AL159" s="326" t="s">
        <v>1351</v>
      </c>
      <c r="AO159" s="326" t="s">
        <v>1454</v>
      </c>
      <c r="AP159" s="322"/>
      <c r="AQ159" s="322">
        <v>427</v>
      </c>
      <c r="AR159" s="323"/>
      <c r="AV159" s="326" t="b">
        <v>1</v>
      </c>
      <c r="AW159" s="334" t="b">
        <v>1</v>
      </c>
      <c r="AX159" s="334" t="b">
        <v>1</v>
      </c>
      <c r="AY159" s="334"/>
    </row>
    <row r="160" spans="1:51">
      <c r="A160" s="277" t="s">
        <v>875</v>
      </c>
      <c r="B160" s="334" t="s">
        <v>1665</v>
      </c>
      <c r="C160" s="334">
        <f>'EXD Inagaki 2006'!C17</f>
        <v>76.029299999999992</v>
      </c>
      <c r="N160" s="27">
        <f>'EXD Inagaki 2006'!H17</f>
        <v>0</v>
      </c>
      <c r="O160" s="286"/>
      <c r="P160">
        <f>'EXD Inagaki 2006'!I17</f>
        <v>0</v>
      </c>
      <c r="R160" t="s">
        <v>1395</v>
      </c>
      <c r="V160" s="334"/>
      <c r="W160" s="334"/>
      <c r="X160" s="334"/>
      <c r="Y160" s="334"/>
      <c r="Z160" s="334"/>
      <c r="AA160" s="326" t="s">
        <v>1453</v>
      </c>
      <c r="AD160" s="326" t="s">
        <v>1717</v>
      </c>
      <c r="AE160" s="326" t="s">
        <v>1725</v>
      </c>
      <c r="AF160" s="326" t="s">
        <v>1735</v>
      </c>
      <c r="AJ160" s="326" t="s">
        <v>1350</v>
      </c>
      <c r="AK160" s="326" t="s">
        <v>1349</v>
      </c>
      <c r="AL160" s="326" t="s">
        <v>1351</v>
      </c>
      <c r="AO160" s="326" t="s">
        <v>1454</v>
      </c>
      <c r="AP160" s="322"/>
      <c r="AQ160" s="322">
        <v>427</v>
      </c>
      <c r="AR160" s="323"/>
      <c r="AV160" s="326" t="b">
        <v>1</v>
      </c>
      <c r="AW160" s="334" t="b">
        <v>1</v>
      </c>
      <c r="AX160" s="334" t="b">
        <v>1</v>
      </c>
      <c r="AY160" s="334"/>
    </row>
    <row r="161" spans="1:51">
      <c r="A161" s="277" t="s">
        <v>875</v>
      </c>
      <c r="B161" s="334" t="s">
        <v>1665</v>
      </c>
      <c r="C161" s="334">
        <f>'EXD Inagaki 2006'!C18</f>
        <v>83.894400000000005</v>
      </c>
      <c r="N161" s="27">
        <f>'EXD Inagaki 2006'!H18</f>
        <v>0</v>
      </c>
      <c r="O161" s="286"/>
      <c r="P161" s="328">
        <f>'EXD Inagaki 2006'!I18</f>
        <v>0</v>
      </c>
      <c r="R161" t="s">
        <v>1395</v>
      </c>
      <c r="V161" s="334"/>
      <c r="W161" s="334"/>
      <c r="X161" s="334"/>
      <c r="Y161" s="328"/>
      <c r="Z161" s="334"/>
      <c r="AA161" s="326" t="s">
        <v>1453</v>
      </c>
      <c r="AD161" s="326" t="s">
        <v>1717</v>
      </c>
      <c r="AE161" s="326" t="s">
        <v>1725</v>
      </c>
      <c r="AF161" s="326" t="s">
        <v>1735</v>
      </c>
      <c r="AJ161" s="326" t="s">
        <v>1350</v>
      </c>
      <c r="AK161" s="326" t="s">
        <v>1349</v>
      </c>
      <c r="AL161" s="326" t="s">
        <v>1351</v>
      </c>
      <c r="AO161" s="326" t="s">
        <v>1454</v>
      </c>
      <c r="AP161" s="322"/>
      <c r="AQ161" s="322">
        <v>427</v>
      </c>
      <c r="AR161" s="323"/>
      <c r="AV161" s="326" t="b">
        <v>1</v>
      </c>
      <c r="AW161" s="334" t="b">
        <v>1</v>
      </c>
      <c r="AX161" s="334" t="b">
        <v>1</v>
      </c>
      <c r="AY161" s="334"/>
    </row>
    <row r="162" spans="1:51">
      <c r="A162" s="277" t="s">
        <v>875</v>
      </c>
      <c r="B162" s="334" t="s">
        <v>1665</v>
      </c>
      <c r="C162" s="334">
        <f>'EXD Inagaki 2006'!C19</f>
        <v>91.759500000000003</v>
      </c>
      <c r="N162" s="27">
        <f>'EXD Inagaki 2006'!H19</f>
        <v>0</v>
      </c>
      <c r="O162" s="286"/>
      <c r="P162">
        <f>'EXD Inagaki 2006'!I19</f>
        <v>0</v>
      </c>
      <c r="R162" t="s">
        <v>1395</v>
      </c>
      <c r="V162" s="334"/>
      <c r="W162" s="334"/>
      <c r="X162" s="334"/>
      <c r="Y162" s="328"/>
      <c r="Z162" s="334"/>
      <c r="AA162" s="326" t="s">
        <v>1453</v>
      </c>
      <c r="AD162" s="326" t="s">
        <v>1717</v>
      </c>
      <c r="AE162" s="326" t="s">
        <v>1725</v>
      </c>
      <c r="AF162" s="326" t="s">
        <v>1735</v>
      </c>
      <c r="AJ162" s="326" t="s">
        <v>1350</v>
      </c>
      <c r="AK162" s="326" t="s">
        <v>1349</v>
      </c>
      <c r="AL162" s="326" t="s">
        <v>1351</v>
      </c>
      <c r="AO162" s="326" t="s">
        <v>1454</v>
      </c>
      <c r="AP162" s="322"/>
      <c r="AQ162" s="322">
        <v>427</v>
      </c>
      <c r="AR162" s="323"/>
      <c r="AV162" s="326" t="b">
        <v>1</v>
      </c>
      <c r="AW162" s="334" t="b">
        <v>1</v>
      </c>
      <c r="AX162" s="334" t="b">
        <v>1</v>
      </c>
      <c r="AY162" s="334"/>
    </row>
    <row r="163" spans="1:51">
      <c r="A163" s="277" t="s">
        <v>875</v>
      </c>
      <c r="B163" s="334" t="s">
        <v>1665</v>
      </c>
      <c r="C163" s="334">
        <f>'EXD Inagaki 2006'!C20</f>
        <v>102.24629999999999</v>
      </c>
      <c r="N163" s="27">
        <f>'EXD Inagaki 2006'!H20</f>
        <v>0</v>
      </c>
      <c r="O163" s="286"/>
      <c r="P163" s="304">
        <f>'EXD Inagaki 2006'!I20</f>
        <v>0</v>
      </c>
      <c r="R163" t="s">
        <v>1395</v>
      </c>
      <c r="V163" s="334"/>
      <c r="W163" s="334"/>
      <c r="X163" s="334"/>
      <c r="Y163" s="328"/>
      <c r="Z163" s="334"/>
      <c r="AA163" s="326" t="s">
        <v>1453</v>
      </c>
      <c r="AD163" s="326" t="s">
        <v>1717</v>
      </c>
      <c r="AE163" s="326" t="s">
        <v>1725</v>
      </c>
      <c r="AF163" s="326" t="s">
        <v>1735</v>
      </c>
      <c r="AJ163" s="326" t="s">
        <v>1350</v>
      </c>
      <c r="AK163" s="326" t="s">
        <v>1349</v>
      </c>
      <c r="AL163" s="326" t="s">
        <v>1351</v>
      </c>
      <c r="AO163" s="326" t="s">
        <v>1454</v>
      </c>
      <c r="AP163" s="322"/>
      <c r="AQ163" s="322">
        <v>427</v>
      </c>
      <c r="AR163" s="323"/>
      <c r="AV163" s="326" t="b">
        <v>1</v>
      </c>
      <c r="AW163" s="334" t="b">
        <v>1</v>
      </c>
      <c r="AX163" s="334" t="b">
        <v>1</v>
      </c>
      <c r="AY163" s="334"/>
    </row>
    <row r="164" spans="1:51">
      <c r="A164" s="277" t="s">
        <v>875</v>
      </c>
      <c r="B164" s="334" t="s">
        <v>1665</v>
      </c>
      <c r="C164" s="334">
        <f>'EXD Inagaki 2006'!C21</f>
        <v>114.04394999999998</v>
      </c>
      <c r="N164" s="27">
        <f>'EXD Inagaki 2006'!H21</f>
        <v>0</v>
      </c>
      <c r="O164" s="286"/>
      <c r="P164" s="322">
        <f>'EXD Inagaki 2006'!I21</f>
        <v>0</v>
      </c>
      <c r="R164" t="s">
        <v>1395</v>
      </c>
      <c r="V164" s="334"/>
      <c r="W164" s="334"/>
      <c r="X164" s="334"/>
      <c r="Y164" s="328"/>
      <c r="Z164" s="334"/>
      <c r="AA164" s="326" t="s">
        <v>1453</v>
      </c>
      <c r="AD164" s="326" t="s">
        <v>1717</v>
      </c>
      <c r="AE164" s="326" t="s">
        <v>1725</v>
      </c>
      <c r="AF164" s="326" t="s">
        <v>1735</v>
      </c>
      <c r="AJ164" s="326" t="s">
        <v>1350</v>
      </c>
      <c r="AK164" s="326" t="s">
        <v>1349</v>
      </c>
      <c r="AL164" s="326" t="s">
        <v>1351</v>
      </c>
      <c r="AO164" s="326" t="s">
        <v>1454</v>
      </c>
      <c r="AP164" s="322"/>
      <c r="AQ164" s="322">
        <v>427</v>
      </c>
      <c r="AR164" s="323"/>
      <c r="AV164" s="326" t="b">
        <v>1</v>
      </c>
      <c r="AW164" s="334" t="b">
        <v>1</v>
      </c>
      <c r="AX164" s="334" t="b">
        <v>1</v>
      </c>
      <c r="AY164" s="334"/>
    </row>
    <row r="165" spans="1:51">
      <c r="A165" s="277" t="s">
        <v>875</v>
      </c>
      <c r="B165" s="334" t="s">
        <v>1665</v>
      </c>
      <c r="C165" s="334">
        <f>'EXD Inagaki 2006'!C22</f>
        <v>120.59819999999999</v>
      </c>
      <c r="N165" s="27">
        <f>'EXD Inagaki 2006'!H22</f>
        <v>0</v>
      </c>
      <c r="O165" s="286"/>
      <c r="P165" s="328">
        <f>'EXD Inagaki 2006'!I22</f>
        <v>0</v>
      </c>
      <c r="R165" t="s">
        <v>1395</v>
      </c>
      <c r="V165" s="334"/>
      <c r="W165" s="334"/>
      <c r="X165" s="334"/>
      <c r="Y165" s="334"/>
      <c r="Z165" s="334"/>
      <c r="AA165" s="326" t="s">
        <v>1453</v>
      </c>
      <c r="AD165" s="326" t="s">
        <v>1717</v>
      </c>
      <c r="AE165" s="326" t="s">
        <v>1725</v>
      </c>
      <c r="AF165" s="326" t="s">
        <v>1735</v>
      </c>
      <c r="AJ165" s="326" t="s">
        <v>1350</v>
      </c>
      <c r="AK165" s="326" t="s">
        <v>1349</v>
      </c>
      <c r="AL165" s="326" t="s">
        <v>1351</v>
      </c>
      <c r="AO165" s="326" t="s">
        <v>1454</v>
      </c>
      <c r="AP165" s="322"/>
      <c r="AQ165" s="322">
        <v>427</v>
      </c>
      <c r="AR165" s="323"/>
      <c r="AV165" s="326" t="b">
        <v>1</v>
      </c>
      <c r="AW165" s="334" t="b">
        <v>1</v>
      </c>
      <c r="AX165" s="334" t="b">
        <v>1</v>
      </c>
      <c r="AY165" s="334"/>
    </row>
    <row r="166" spans="1:51">
      <c r="A166" s="277" t="s">
        <v>875</v>
      </c>
      <c r="B166" s="334" t="s">
        <v>1671</v>
      </c>
      <c r="C166" s="334">
        <f>'EXD Inagaki 2006'!K6</f>
        <v>0</v>
      </c>
      <c r="N166" s="27">
        <f>'EXD Inagaki 2006'!P6</f>
        <v>0.11754550420479699</v>
      </c>
      <c r="O166" s="286"/>
      <c r="P166" s="328">
        <f>'EXD Inagaki 2006'!I6</f>
        <v>24.7</v>
      </c>
      <c r="R166" t="s">
        <v>1395</v>
      </c>
      <c r="V166" s="334"/>
      <c r="W166" s="334"/>
      <c r="X166" s="334"/>
      <c r="Y166" s="334"/>
      <c r="Z166" s="334"/>
      <c r="AA166" s="326" t="s">
        <v>1453</v>
      </c>
      <c r="AD166" s="326" t="s">
        <v>1717</v>
      </c>
      <c r="AE166" s="326" t="s">
        <v>1725</v>
      </c>
      <c r="AF166" s="326" t="s">
        <v>1735</v>
      </c>
      <c r="AJ166" s="326" t="s">
        <v>1350</v>
      </c>
      <c r="AK166" s="326" t="s">
        <v>1349</v>
      </c>
      <c r="AL166" s="326" t="s">
        <v>1351</v>
      </c>
      <c r="AO166" s="326" t="s">
        <v>1454</v>
      </c>
      <c r="AP166" s="322"/>
      <c r="AQ166" s="322">
        <v>5088</v>
      </c>
      <c r="AR166" s="323"/>
      <c r="AV166" s="326" t="b">
        <v>1</v>
      </c>
      <c r="AW166" s="334" t="b">
        <v>1</v>
      </c>
      <c r="AX166" s="334" t="b">
        <v>1</v>
      </c>
      <c r="AY166" s="334"/>
    </row>
    <row r="167" spans="1:51">
      <c r="A167" s="277" t="s">
        <v>875</v>
      </c>
      <c r="B167" s="334" t="s">
        <v>1671</v>
      </c>
      <c r="C167" s="334">
        <f>'EXD Inagaki 2006'!K7</f>
        <v>2.6217000000000001</v>
      </c>
      <c r="N167" s="27">
        <f>'EXD Inagaki 2006'!P7</f>
        <v>2.1536521381412502E-2</v>
      </c>
      <c r="O167" s="286"/>
      <c r="P167" s="293">
        <f>'EXD Inagaki 2006'!I7</f>
        <v>12.6</v>
      </c>
      <c r="R167" t="s">
        <v>1395</v>
      </c>
      <c r="V167" s="334"/>
      <c r="W167" s="334"/>
      <c r="X167" s="334"/>
      <c r="Y167" s="328"/>
      <c r="Z167" s="334"/>
      <c r="AA167" s="326" t="s">
        <v>1453</v>
      </c>
      <c r="AD167" s="326" t="s">
        <v>1717</v>
      </c>
      <c r="AE167" s="326" t="s">
        <v>1725</v>
      </c>
      <c r="AF167" s="326" t="s">
        <v>1735</v>
      </c>
      <c r="AJ167" s="326" t="s">
        <v>1350</v>
      </c>
      <c r="AK167" s="326" t="s">
        <v>1349</v>
      </c>
      <c r="AL167" s="326" t="s">
        <v>1351</v>
      </c>
      <c r="AO167" s="326" t="s">
        <v>1454</v>
      </c>
      <c r="AP167" s="322"/>
      <c r="AQ167" s="322">
        <v>5088</v>
      </c>
      <c r="AR167" s="323"/>
      <c r="AV167" s="326" t="b">
        <v>1</v>
      </c>
      <c r="AW167" s="334" t="b">
        <v>1</v>
      </c>
      <c r="AX167" s="334" t="b">
        <v>1</v>
      </c>
      <c r="AY167" s="334"/>
    </row>
    <row r="168" spans="1:51">
      <c r="A168" s="277" t="s">
        <v>875</v>
      </c>
      <c r="B168" s="334" t="s">
        <v>1671</v>
      </c>
      <c r="C168" s="334">
        <f>'EXD Inagaki 2006'!K8</f>
        <v>5.2434000000000003</v>
      </c>
      <c r="N168" s="27">
        <f>'EXD Inagaki 2006'!P8</f>
        <v>3.3382113930794399E-3</v>
      </c>
      <c r="O168" s="286"/>
      <c r="P168" s="328">
        <f>'EXD Inagaki 2006'!I8</f>
        <v>6.5</v>
      </c>
      <c r="R168" t="s">
        <v>1395</v>
      </c>
      <c r="T168" s="304"/>
      <c r="U168" s="304"/>
      <c r="V168" s="334"/>
      <c r="W168" s="334"/>
      <c r="X168" s="334"/>
      <c r="Y168" s="328"/>
      <c r="Z168" s="334"/>
      <c r="AA168" s="326" t="s">
        <v>1453</v>
      </c>
      <c r="AD168" s="326" t="s">
        <v>1717</v>
      </c>
      <c r="AE168" s="326" t="s">
        <v>1725</v>
      </c>
      <c r="AF168" s="326" t="s">
        <v>1735</v>
      </c>
      <c r="AJ168" s="326" t="s">
        <v>1350</v>
      </c>
      <c r="AK168" s="326" t="s">
        <v>1349</v>
      </c>
      <c r="AL168" s="326" t="s">
        <v>1351</v>
      </c>
      <c r="AO168" s="326" t="s">
        <v>1454</v>
      </c>
      <c r="AP168" s="322"/>
      <c r="AQ168" s="322">
        <v>5088</v>
      </c>
      <c r="AR168" s="322"/>
      <c r="AV168" s="326" t="b">
        <v>1</v>
      </c>
      <c r="AW168" s="334" t="b">
        <v>1</v>
      </c>
      <c r="AX168" s="334" t="b">
        <v>1</v>
      </c>
      <c r="AY168" s="334"/>
    </row>
    <row r="169" spans="1:51">
      <c r="A169" s="277" t="s">
        <v>875</v>
      </c>
      <c r="B169" s="334" t="s">
        <v>1671</v>
      </c>
      <c r="C169" s="334">
        <f>'EXD Inagaki 2006'!K9</f>
        <v>7.8650999999999991</v>
      </c>
      <c r="N169" s="27">
        <f>'EXD Inagaki 2006'!P9</f>
        <v>3.3719307000802403E-3</v>
      </c>
      <c r="O169" s="286"/>
      <c r="P169">
        <f>'EXD Inagaki 2006'!I9</f>
        <v>5.7</v>
      </c>
      <c r="R169" s="304" t="s">
        <v>1395</v>
      </c>
      <c r="S169" s="304"/>
      <c r="T169" s="304"/>
      <c r="U169" s="311"/>
      <c r="V169" s="334"/>
      <c r="W169" s="334"/>
      <c r="X169" s="334"/>
      <c r="Y169" s="328"/>
      <c r="Z169" s="334"/>
      <c r="AA169" s="326" t="s">
        <v>1453</v>
      </c>
      <c r="AD169" s="326" t="s">
        <v>1717</v>
      </c>
      <c r="AE169" s="326" t="s">
        <v>1725</v>
      </c>
      <c r="AF169" s="326" t="s">
        <v>1735</v>
      </c>
      <c r="AJ169" s="326" t="s">
        <v>1350</v>
      </c>
      <c r="AK169" s="326" t="s">
        <v>1349</v>
      </c>
      <c r="AL169" s="326" t="s">
        <v>1351</v>
      </c>
      <c r="AO169" s="326" t="s">
        <v>1454</v>
      </c>
      <c r="AP169" s="322"/>
      <c r="AQ169" s="322">
        <v>5088</v>
      </c>
      <c r="AR169" s="326"/>
      <c r="AV169" s="326" t="b">
        <v>1</v>
      </c>
      <c r="AW169" s="334" t="b">
        <v>1</v>
      </c>
      <c r="AX169" s="334" t="b">
        <v>1</v>
      </c>
      <c r="AY169" s="334"/>
    </row>
    <row r="170" spans="1:51">
      <c r="A170" s="277" t="s">
        <v>875</v>
      </c>
      <c r="B170" s="334" t="s">
        <v>1671</v>
      </c>
      <c r="C170" s="334">
        <f>'EXD Inagaki 2006'!K10</f>
        <v>10.486800000000001</v>
      </c>
      <c r="N170" s="27">
        <f>'EXD Inagaki 2006'!P10</f>
        <v>0</v>
      </c>
      <c r="O170" s="286"/>
      <c r="P170" s="327">
        <f>'EXD Inagaki 2006'!I10</f>
        <v>3.8</v>
      </c>
      <c r="R170" s="304" t="s">
        <v>1395</v>
      </c>
      <c r="S170" s="304"/>
      <c r="T170" s="304"/>
      <c r="U170" s="311"/>
      <c r="V170" s="334"/>
      <c r="W170" s="334"/>
      <c r="X170" s="334"/>
      <c r="Y170" s="328"/>
      <c r="Z170" s="334"/>
      <c r="AA170" s="326" t="s">
        <v>1453</v>
      </c>
      <c r="AD170" s="326" t="s">
        <v>1717</v>
      </c>
      <c r="AE170" s="326" t="s">
        <v>1725</v>
      </c>
      <c r="AF170" s="326" t="s">
        <v>1735</v>
      </c>
      <c r="AJ170" s="326" t="s">
        <v>1350</v>
      </c>
      <c r="AK170" s="326" t="s">
        <v>1349</v>
      </c>
      <c r="AL170" s="326" t="s">
        <v>1351</v>
      </c>
      <c r="AO170" s="326" t="s">
        <v>1454</v>
      </c>
      <c r="AP170" s="322"/>
      <c r="AQ170" s="326">
        <v>5088</v>
      </c>
      <c r="AR170" s="326"/>
      <c r="AV170" s="326" t="b">
        <v>1</v>
      </c>
      <c r="AW170" s="334" t="b">
        <v>1</v>
      </c>
      <c r="AX170" s="334" t="b">
        <v>1</v>
      </c>
      <c r="AY170" s="334"/>
    </row>
    <row r="171" spans="1:51">
      <c r="A171" s="277" t="s">
        <v>875</v>
      </c>
      <c r="B171" s="334" t="s">
        <v>1671</v>
      </c>
      <c r="C171" s="334">
        <f>'EXD Inagaki 2006'!K11</f>
        <v>13.108499999999999</v>
      </c>
      <c r="N171" s="27">
        <f>'EXD Inagaki 2006'!P11</f>
        <v>0</v>
      </c>
      <c r="O171" s="286"/>
      <c r="P171" s="328">
        <f>'EXD Inagaki 2006'!I11</f>
        <v>2.8</v>
      </c>
      <c r="R171" s="304" t="s">
        <v>1395</v>
      </c>
      <c r="S171" s="304"/>
      <c r="T171" s="304"/>
      <c r="U171" s="311"/>
      <c r="V171" s="334"/>
      <c r="W171" s="334"/>
      <c r="X171" s="334"/>
      <c r="Y171" s="328"/>
      <c r="Z171" s="334"/>
      <c r="AA171" s="326" t="s">
        <v>1453</v>
      </c>
      <c r="AD171" s="326" t="s">
        <v>1717</v>
      </c>
      <c r="AE171" s="326" t="s">
        <v>1725</v>
      </c>
      <c r="AF171" s="326" t="s">
        <v>1735</v>
      </c>
      <c r="AJ171" s="326" t="s">
        <v>1350</v>
      </c>
      <c r="AK171" s="326" t="s">
        <v>1349</v>
      </c>
      <c r="AL171" s="326" t="s">
        <v>1351</v>
      </c>
      <c r="AO171" s="326" t="s">
        <v>1454</v>
      </c>
      <c r="AP171" s="322"/>
      <c r="AQ171" s="326">
        <v>5088</v>
      </c>
      <c r="AR171" s="326"/>
      <c r="AV171" s="326" t="b">
        <v>1</v>
      </c>
      <c r="AW171" s="334" t="b">
        <v>1</v>
      </c>
      <c r="AX171" s="334" t="b">
        <v>1</v>
      </c>
      <c r="AY171" s="334"/>
    </row>
    <row r="172" spans="1:51">
      <c r="A172" s="277" t="s">
        <v>875</v>
      </c>
      <c r="B172" s="334" t="s">
        <v>1671</v>
      </c>
      <c r="C172" s="334">
        <f>'EXD Inagaki 2006'!K12</f>
        <v>15.730199999999998</v>
      </c>
      <c r="N172" s="27">
        <f>'EXD Inagaki 2006'!P12</f>
        <v>0</v>
      </c>
      <c r="O172" s="286"/>
      <c r="P172" s="322">
        <f>'EXD Inagaki 2006'!I12</f>
        <v>1.2</v>
      </c>
      <c r="R172" s="304" t="s">
        <v>1395</v>
      </c>
      <c r="S172" s="304"/>
      <c r="T172" s="304"/>
      <c r="U172" s="311"/>
      <c r="V172" s="334"/>
      <c r="W172" s="334"/>
      <c r="X172" s="334"/>
      <c r="Y172" s="328"/>
      <c r="Z172" s="334"/>
      <c r="AA172" s="326" t="s">
        <v>1453</v>
      </c>
      <c r="AD172" s="326" t="s">
        <v>1717</v>
      </c>
      <c r="AE172" s="326" t="s">
        <v>1725</v>
      </c>
      <c r="AF172" s="326" t="s">
        <v>1735</v>
      </c>
      <c r="AJ172" s="326" t="s">
        <v>1350</v>
      </c>
      <c r="AK172" s="326" t="s">
        <v>1349</v>
      </c>
      <c r="AL172" s="326" t="s">
        <v>1351</v>
      </c>
      <c r="AO172" s="326" t="s">
        <v>1454</v>
      </c>
      <c r="AP172" s="322"/>
      <c r="AQ172" s="326">
        <v>5088</v>
      </c>
      <c r="AR172" s="326"/>
      <c r="AV172" s="326" t="b">
        <v>1</v>
      </c>
      <c r="AW172" s="334" t="b">
        <v>1</v>
      </c>
      <c r="AX172" s="334" t="b">
        <v>1</v>
      </c>
      <c r="AY172" s="334"/>
    </row>
    <row r="173" spans="1:51">
      <c r="A173" s="277" t="s">
        <v>875</v>
      </c>
      <c r="B173" s="334" t="s">
        <v>1671</v>
      </c>
      <c r="C173" s="334">
        <f>'EXD Inagaki 2006'!K13</f>
        <v>18.351899999999997</v>
      </c>
      <c r="N173" s="27">
        <f>'EXD Inagaki 2006'!P13</f>
        <v>0</v>
      </c>
      <c r="O173" s="286"/>
      <c r="P173" s="322">
        <f>'EXD Inagaki 2006'!I13</f>
        <v>0</v>
      </c>
      <c r="R173" s="304" t="s">
        <v>1395</v>
      </c>
      <c r="S173" s="304"/>
      <c r="T173" s="304"/>
      <c r="U173" s="311"/>
      <c r="V173" s="334"/>
      <c r="W173" s="334"/>
      <c r="X173" s="334"/>
      <c r="Y173" s="334"/>
      <c r="Z173" s="334"/>
      <c r="AA173" s="326" t="s">
        <v>1453</v>
      </c>
      <c r="AD173" s="326" t="s">
        <v>1717</v>
      </c>
      <c r="AE173" s="326" t="s">
        <v>1725</v>
      </c>
      <c r="AF173" s="326" t="s">
        <v>1735</v>
      </c>
      <c r="AJ173" s="326" t="s">
        <v>1350</v>
      </c>
      <c r="AK173" s="326" t="s">
        <v>1349</v>
      </c>
      <c r="AL173" s="326" t="s">
        <v>1351</v>
      </c>
      <c r="AO173" s="326" t="s">
        <v>1454</v>
      </c>
      <c r="AP173" s="322"/>
      <c r="AQ173" s="326">
        <v>5088</v>
      </c>
      <c r="AR173" s="326"/>
      <c r="AV173" s="326" t="b">
        <v>1</v>
      </c>
      <c r="AW173" s="334" t="b">
        <v>1</v>
      </c>
      <c r="AX173" s="334" t="b">
        <v>1</v>
      </c>
      <c r="AY173" s="334"/>
    </row>
    <row r="174" spans="1:51">
      <c r="A174" s="277" t="s">
        <v>875</v>
      </c>
      <c r="B174" s="334" t="s">
        <v>1671</v>
      </c>
      <c r="C174" s="334">
        <f>'EXD Inagaki 2006'!K14</f>
        <v>20.973600000000001</v>
      </c>
      <c r="N174" s="27">
        <f>'EXD Inagaki 2006'!P14</f>
        <v>0</v>
      </c>
      <c r="O174" s="286"/>
      <c r="P174">
        <f>'EXD Inagaki 2006'!I14</f>
        <v>0</v>
      </c>
      <c r="R174" s="304" t="s">
        <v>1395</v>
      </c>
      <c r="S174" s="304"/>
      <c r="T174" s="304"/>
      <c r="U174" s="311"/>
      <c r="V174" s="334"/>
      <c r="W174" s="334"/>
      <c r="X174" s="334"/>
      <c r="Y174" s="327"/>
      <c r="Z174" s="334"/>
      <c r="AA174" s="326" t="s">
        <v>1453</v>
      </c>
      <c r="AD174" s="326" t="s">
        <v>1717</v>
      </c>
      <c r="AE174" s="326" t="s">
        <v>1725</v>
      </c>
      <c r="AF174" s="326" t="s">
        <v>1735</v>
      </c>
      <c r="AJ174" s="326" t="s">
        <v>1350</v>
      </c>
      <c r="AK174" s="326" t="s">
        <v>1349</v>
      </c>
      <c r="AL174" s="326" t="s">
        <v>1351</v>
      </c>
      <c r="AO174" s="326" t="s">
        <v>1454</v>
      </c>
      <c r="AP174" s="322"/>
      <c r="AQ174" s="322">
        <v>5088</v>
      </c>
      <c r="AR174" s="326"/>
      <c r="AV174" s="326" t="b">
        <v>1</v>
      </c>
      <c r="AW174" s="334" t="b">
        <v>1</v>
      </c>
      <c r="AX174" s="334" t="b">
        <v>1</v>
      </c>
      <c r="AY174" s="334"/>
    </row>
    <row r="175" spans="1:51">
      <c r="A175" s="277" t="s">
        <v>875</v>
      </c>
      <c r="B175" s="334" t="s">
        <v>1671</v>
      </c>
      <c r="C175" s="334">
        <f>'EXD Inagaki 2006'!K15</f>
        <v>31.460399999999996</v>
      </c>
      <c r="N175" s="27">
        <f>'EXD Inagaki 2006'!P15</f>
        <v>0</v>
      </c>
      <c r="O175" s="286"/>
      <c r="P175" s="326">
        <f>'EXD Inagaki 2006'!I15</f>
        <v>0</v>
      </c>
      <c r="R175" s="304" t="s">
        <v>1395</v>
      </c>
      <c r="S175" s="304"/>
      <c r="T175" s="304"/>
      <c r="U175" s="311"/>
      <c r="V175" s="334"/>
      <c r="W175" s="334"/>
      <c r="X175" s="334"/>
      <c r="Y175" s="328"/>
      <c r="Z175" s="334"/>
      <c r="AA175" s="327" t="s">
        <v>1453</v>
      </c>
      <c r="AD175" s="326" t="s">
        <v>1717</v>
      </c>
      <c r="AE175" s="327" t="s">
        <v>1725</v>
      </c>
      <c r="AF175" s="326" t="s">
        <v>1735</v>
      </c>
      <c r="AJ175" s="326" t="s">
        <v>1350</v>
      </c>
      <c r="AK175" s="326" t="s">
        <v>1349</v>
      </c>
      <c r="AL175" s="326" t="s">
        <v>1351</v>
      </c>
      <c r="AO175" s="326" t="s">
        <v>1454</v>
      </c>
      <c r="AP175" s="322"/>
      <c r="AQ175" s="322">
        <v>5088</v>
      </c>
      <c r="AR175" s="326"/>
      <c r="AV175" s="326" t="b">
        <v>1</v>
      </c>
      <c r="AW175" s="334" t="b">
        <v>1</v>
      </c>
      <c r="AX175" s="334" t="b">
        <v>1</v>
      </c>
      <c r="AY175" s="334"/>
    </row>
    <row r="176" spans="1:51">
      <c r="A176" s="277" t="s">
        <v>875</v>
      </c>
      <c r="B176" s="334" t="s">
        <v>1671</v>
      </c>
      <c r="C176" s="334">
        <f>'EXD Inagaki 2006'!K16</f>
        <v>44.568899999999999</v>
      </c>
      <c r="N176" s="27">
        <f>'EXD Inagaki 2006'!P16</f>
        <v>0</v>
      </c>
      <c r="O176" s="286"/>
      <c r="P176">
        <f>'EXD Inagaki 2006'!I16</f>
        <v>0</v>
      </c>
      <c r="R176" s="304" t="s">
        <v>1395</v>
      </c>
      <c r="S176" s="304"/>
      <c r="T176" s="304"/>
      <c r="U176" s="311"/>
      <c r="V176" s="334"/>
      <c r="W176" s="334"/>
      <c r="X176" s="334"/>
      <c r="Y176" s="328"/>
      <c r="Z176" s="334"/>
      <c r="AA176" s="326" t="s">
        <v>1453</v>
      </c>
      <c r="AD176" s="326" t="s">
        <v>1717</v>
      </c>
      <c r="AE176" s="326" t="s">
        <v>1725</v>
      </c>
      <c r="AF176" s="326" t="s">
        <v>1735</v>
      </c>
      <c r="AJ176" s="326" t="s">
        <v>1350</v>
      </c>
      <c r="AK176" s="326" t="s">
        <v>1349</v>
      </c>
      <c r="AL176" s="326" t="s">
        <v>1351</v>
      </c>
      <c r="AO176" s="326" t="s">
        <v>1454</v>
      </c>
      <c r="AP176" s="322"/>
      <c r="AQ176" s="326">
        <v>5088</v>
      </c>
      <c r="AR176" s="326"/>
      <c r="AV176" s="326" t="b">
        <v>1</v>
      </c>
      <c r="AW176" s="334" t="b">
        <v>1</v>
      </c>
      <c r="AX176" s="334" t="b">
        <v>1</v>
      </c>
      <c r="AY176" s="334"/>
    </row>
    <row r="177" spans="1:51">
      <c r="A177" s="277" t="s">
        <v>875</v>
      </c>
      <c r="B177" s="334" t="s">
        <v>1671</v>
      </c>
      <c r="C177" s="334">
        <f>'EXD Inagaki 2006'!K17</f>
        <v>65.54249999999999</v>
      </c>
      <c r="N177" s="27">
        <f>'EXD Inagaki 2006'!P17</f>
        <v>0</v>
      </c>
      <c r="O177" s="286"/>
      <c r="P177">
        <f>'EXD Inagaki 2006'!I17</f>
        <v>0</v>
      </c>
      <c r="R177" s="304" t="s">
        <v>1395</v>
      </c>
      <c r="S177" s="304"/>
      <c r="T177" s="304"/>
      <c r="U177" s="311"/>
      <c r="V177" s="334"/>
      <c r="W177" s="334"/>
      <c r="X177" s="334"/>
      <c r="Y177" s="328"/>
      <c r="Z177" s="334"/>
      <c r="AA177" s="326" t="s">
        <v>1453</v>
      </c>
      <c r="AD177" s="326" t="s">
        <v>1717</v>
      </c>
      <c r="AE177" s="326" t="s">
        <v>1725</v>
      </c>
      <c r="AF177" s="326" t="s">
        <v>1735</v>
      </c>
      <c r="AJ177" s="326" t="s">
        <v>1350</v>
      </c>
      <c r="AK177" s="326" t="s">
        <v>1349</v>
      </c>
      <c r="AL177" s="326" t="s">
        <v>1351</v>
      </c>
      <c r="AO177" s="326" t="s">
        <v>1454</v>
      </c>
      <c r="AP177" s="322"/>
      <c r="AQ177" s="326">
        <v>5088</v>
      </c>
      <c r="AR177" s="326"/>
      <c r="AV177" s="326" t="b">
        <v>1</v>
      </c>
      <c r="AW177" s="334" t="b">
        <v>1</v>
      </c>
      <c r="AX177" s="334" t="b">
        <v>1</v>
      </c>
      <c r="AY177" s="334"/>
    </row>
    <row r="178" spans="1:51">
      <c r="A178" s="277" t="s">
        <v>875</v>
      </c>
      <c r="B178" s="334" t="s">
        <v>1671</v>
      </c>
      <c r="C178" s="334">
        <f>'EXD Inagaki 2006'!K18</f>
        <v>83.894400000000005</v>
      </c>
      <c r="N178" s="27">
        <f>'EXD Inagaki 2006'!P18</f>
        <v>0</v>
      </c>
      <c r="O178" s="286"/>
      <c r="P178" s="293">
        <f>'EXD Inagaki 2006'!I18</f>
        <v>0</v>
      </c>
      <c r="R178" s="304" t="s">
        <v>1395</v>
      </c>
      <c r="S178" s="304"/>
      <c r="T178" s="304"/>
      <c r="U178" s="304"/>
      <c r="V178" s="334"/>
      <c r="W178" s="334"/>
      <c r="X178" s="334"/>
      <c r="Y178" s="334"/>
      <c r="Z178" s="334"/>
      <c r="AA178" s="326" t="s">
        <v>1453</v>
      </c>
      <c r="AD178" s="326" t="s">
        <v>1717</v>
      </c>
      <c r="AE178" s="326" t="s">
        <v>1725</v>
      </c>
      <c r="AF178" s="326" t="s">
        <v>1735</v>
      </c>
      <c r="AJ178" s="326" t="s">
        <v>1350</v>
      </c>
      <c r="AK178" s="326" t="s">
        <v>1349</v>
      </c>
      <c r="AL178" s="326" t="s">
        <v>1351</v>
      </c>
      <c r="AO178" s="326" t="s">
        <v>1454</v>
      </c>
      <c r="AP178" s="322"/>
      <c r="AQ178" s="326">
        <v>5088</v>
      </c>
      <c r="AR178" s="326"/>
      <c r="AV178" s="326" t="b">
        <v>1</v>
      </c>
      <c r="AW178" s="334" t="b">
        <v>1</v>
      </c>
      <c r="AX178" s="334" t="b">
        <v>1</v>
      </c>
      <c r="AY178" s="334"/>
    </row>
    <row r="179" spans="1:51">
      <c r="A179" s="277" t="s">
        <v>875</v>
      </c>
      <c r="B179" s="334" t="s">
        <v>1671</v>
      </c>
      <c r="C179" s="334">
        <f>'EXD Inagaki 2006'!K19</f>
        <v>123.2199</v>
      </c>
      <c r="H179" s="336"/>
      <c r="N179" s="27">
        <f>'EXD Inagaki 2006'!P19</f>
        <v>0</v>
      </c>
      <c r="O179" s="229"/>
      <c r="P179" s="326">
        <f>'EXD Inagaki 2006'!I19</f>
        <v>0</v>
      </c>
      <c r="R179" s="304" t="s">
        <v>1395</v>
      </c>
      <c r="S179" s="304"/>
      <c r="T179" s="304"/>
      <c r="U179" s="304"/>
      <c r="V179" s="334"/>
      <c r="W179" s="334"/>
      <c r="X179" s="334"/>
      <c r="Y179" s="328"/>
      <c r="Z179" s="334"/>
      <c r="AA179" s="326" t="s">
        <v>1453</v>
      </c>
      <c r="AD179" s="326" t="s">
        <v>1717</v>
      </c>
      <c r="AE179" s="326" t="s">
        <v>1725</v>
      </c>
      <c r="AF179" s="326" t="s">
        <v>1735</v>
      </c>
      <c r="AJ179" s="326" t="s">
        <v>1350</v>
      </c>
      <c r="AK179" s="326" t="s">
        <v>1349</v>
      </c>
      <c r="AL179" s="326" t="s">
        <v>1351</v>
      </c>
      <c r="AO179" s="326" t="s">
        <v>1454</v>
      </c>
      <c r="AP179" s="322"/>
      <c r="AQ179" s="326">
        <v>5088</v>
      </c>
      <c r="AR179" s="326"/>
      <c r="AV179" s="326" t="b">
        <v>1</v>
      </c>
      <c r="AW179" s="334" t="b">
        <v>1</v>
      </c>
      <c r="AX179" s="334" t="b">
        <v>1</v>
      </c>
      <c r="AY179" s="334"/>
    </row>
    <row r="180" spans="1:51">
      <c r="A180" s="277" t="s">
        <v>875</v>
      </c>
      <c r="B180" s="334" t="s">
        <v>1671</v>
      </c>
      <c r="C180" s="334">
        <f>'EXD Inagaki 2006'!K20</f>
        <v>141.5718</v>
      </c>
      <c r="H180" s="336"/>
      <c r="N180" s="27">
        <f>'EXD Inagaki 2006'!P20</f>
        <v>0</v>
      </c>
      <c r="O180" s="229"/>
      <c r="P180" s="328">
        <f>'EXD Inagaki 2006'!I20</f>
        <v>0</v>
      </c>
      <c r="R180" s="304" t="s">
        <v>1395</v>
      </c>
      <c r="S180" s="304"/>
      <c r="T180" s="304"/>
      <c r="U180" s="304"/>
      <c r="V180" s="334"/>
      <c r="W180" s="334"/>
      <c r="X180" s="334"/>
      <c r="Y180" s="328"/>
      <c r="Z180" s="334"/>
      <c r="AA180" s="326" t="s">
        <v>1453</v>
      </c>
      <c r="AD180" s="326" t="s">
        <v>1717</v>
      </c>
      <c r="AE180" s="326" t="s">
        <v>1725</v>
      </c>
      <c r="AF180" s="326" t="s">
        <v>1735</v>
      </c>
      <c r="AJ180" s="326" t="s">
        <v>1350</v>
      </c>
      <c r="AK180" s="326" t="s">
        <v>1349</v>
      </c>
      <c r="AL180" s="326" t="s">
        <v>1351</v>
      </c>
      <c r="AO180" s="326" t="s">
        <v>1454</v>
      </c>
      <c r="AP180" s="322"/>
      <c r="AQ180" s="326">
        <v>5088</v>
      </c>
      <c r="AR180" s="326"/>
      <c r="AV180" s="326" t="b">
        <v>1</v>
      </c>
      <c r="AW180" s="334" t="b">
        <v>1</v>
      </c>
      <c r="AX180" s="334" t="b">
        <v>1</v>
      </c>
      <c r="AY180" s="334"/>
    </row>
    <row r="181" spans="1:51">
      <c r="A181" s="277" t="s">
        <v>875</v>
      </c>
      <c r="B181" s="334" t="s">
        <v>1671</v>
      </c>
      <c r="C181" s="334">
        <f>'EXD Inagaki 2006'!K21</f>
        <v>159.9237</v>
      </c>
      <c r="H181" s="336"/>
      <c r="N181" s="27">
        <f>'EXD Inagaki 2006'!P21</f>
        <v>0</v>
      </c>
      <c r="O181" s="229"/>
      <c r="P181">
        <f>'EXD Inagaki 2006'!I21</f>
        <v>0</v>
      </c>
      <c r="R181" s="304" t="s">
        <v>1395</v>
      </c>
      <c r="S181" s="304"/>
      <c r="T181" s="304"/>
      <c r="U181" s="304"/>
      <c r="V181" s="334"/>
      <c r="W181" s="334"/>
      <c r="X181" s="334"/>
      <c r="Y181" s="328"/>
      <c r="Z181" s="334"/>
      <c r="AA181" s="326" t="s">
        <v>1453</v>
      </c>
      <c r="AD181" s="326" t="s">
        <v>1717</v>
      </c>
      <c r="AE181" s="326" t="s">
        <v>1725</v>
      </c>
      <c r="AF181" s="326" t="s">
        <v>1735</v>
      </c>
      <c r="AJ181" s="326" t="s">
        <v>1350</v>
      </c>
      <c r="AK181" s="326" t="s">
        <v>1349</v>
      </c>
      <c r="AL181" s="326" t="s">
        <v>1351</v>
      </c>
      <c r="AO181" s="326" t="s">
        <v>1454</v>
      </c>
      <c r="AP181" s="322"/>
      <c r="AQ181" s="326">
        <v>5088</v>
      </c>
      <c r="AR181" s="326"/>
      <c r="AV181" s="326" t="b">
        <v>1</v>
      </c>
      <c r="AW181" s="334" t="b">
        <v>1</v>
      </c>
      <c r="AX181" s="334" t="b">
        <v>1</v>
      </c>
      <c r="AY181" s="334"/>
    </row>
    <row r="182" spans="1:51">
      <c r="A182" s="277" t="s">
        <v>875</v>
      </c>
      <c r="B182" s="334" t="s">
        <v>1671</v>
      </c>
      <c r="C182" s="334">
        <f>'EXD Inagaki 2006'!K22</f>
        <v>167.78880000000001</v>
      </c>
      <c r="H182" s="336"/>
      <c r="N182" s="27">
        <f>'EXD Inagaki 2006'!P22</f>
        <v>0</v>
      </c>
      <c r="O182" s="229"/>
      <c r="P182" s="328">
        <f>'EXD Inagaki 2006'!I22</f>
        <v>0</v>
      </c>
      <c r="R182" s="304" t="s">
        <v>1395</v>
      </c>
      <c r="S182" s="304"/>
      <c r="T182" s="304"/>
      <c r="U182" s="304"/>
      <c r="V182" s="334"/>
      <c r="W182" s="334"/>
      <c r="X182" s="334"/>
      <c r="Y182" s="328"/>
      <c r="Z182" s="334"/>
      <c r="AA182" s="326" t="s">
        <v>1453</v>
      </c>
      <c r="AD182" s="326" t="s">
        <v>1717</v>
      </c>
      <c r="AE182" s="326" t="s">
        <v>1725</v>
      </c>
      <c r="AF182" s="326" t="s">
        <v>1735</v>
      </c>
      <c r="AJ182" s="326" t="s">
        <v>1350</v>
      </c>
      <c r="AK182" s="326" t="s">
        <v>1349</v>
      </c>
      <c r="AL182" s="326" t="s">
        <v>1351</v>
      </c>
      <c r="AO182" s="326" t="s">
        <v>1454</v>
      </c>
      <c r="AP182" s="322"/>
      <c r="AQ182" s="326">
        <v>5088</v>
      </c>
      <c r="AR182" s="326"/>
      <c r="AV182" s="326" t="b">
        <v>1</v>
      </c>
      <c r="AW182" s="334" t="b">
        <v>1</v>
      </c>
      <c r="AX182" s="334" t="b">
        <v>1</v>
      </c>
      <c r="AY182" s="334"/>
    </row>
    <row r="183" spans="1:51">
      <c r="A183" s="277" t="s">
        <v>875</v>
      </c>
      <c r="B183" s="334" t="s">
        <v>1671</v>
      </c>
      <c r="C183" s="334">
        <f>'EXD Inagaki 2006'!K23</f>
        <v>186.14069999999998</v>
      </c>
      <c r="H183" s="336"/>
      <c r="N183" s="27">
        <f>'EXD Inagaki 2006'!P23</f>
        <v>0</v>
      </c>
      <c r="O183" s="229"/>
      <c r="P183" s="327">
        <f>'EXD Inagaki 2006'!I23</f>
        <v>0</v>
      </c>
      <c r="R183" s="304" t="s">
        <v>1395</v>
      </c>
      <c r="S183" s="304"/>
      <c r="T183" s="304"/>
      <c r="U183" s="304"/>
      <c r="V183" s="334"/>
      <c r="W183" s="334"/>
      <c r="X183" s="334"/>
      <c r="Y183" s="324"/>
      <c r="Z183" s="334"/>
      <c r="AA183" s="326" t="s">
        <v>1453</v>
      </c>
      <c r="AD183" s="326" t="s">
        <v>1717</v>
      </c>
      <c r="AE183" s="326" t="s">
        <v>1725</v>
      </c>
      <c r="AF183" s="326" t="s">
        <v>1735</v>
      </c>
      <c r="AJ183" s="326" t="s">
        <v>1350</v>
      </c>
      <c r="AK183" s="326" t="s">
        <v>1349</v>
      </c>
      <c r="AL183" s="326" t="s">
        <v>1351</v>
      </c>
      <c r="AO183" s="326" t="s">
        <v>1454</v>
      </c>
      <c r="AP183" s="322"/>
      <c r="AQ183">
        <v>5088</v>
      </c>
      <c r="AR183" s="326"/>
      <c r="AV183" s="326" t="b">
        <v>1</v>
      </c>
      <c r="AW183" s="334" t="b">
        <v>1</v>
      </c>
      <c r="AX183" s="334" t="b">
        <v>1</v>
      </c>
      <c r="AY183" s="334"/>
    </row>
    <row r="184" spans="1:51">
      <c r="A184" s="277" t="s">
        <v>875</v>
      </c>
      <c r="B184" s="334" t="s">
        <v>1671</v>
      </c>
      <c r="C184" s="334">
        <f>'EXD Inagaki 2006'!K24</f>
        <v>204.49259999999998</v>
      </c>
      <c r="H184" s="336"/>
      <c r="N184" s="27">
        <f>'EXD Inagaki 2006'!P24</f>
        <v>0</v>
      </c>
      <c r="O184" s="229"/>
      <c r="P184">
        <f>'EXD Inagaki 2006'!I24</f>
        <v>0</v>
      </c>
      <c r="R184" s="304" t="s">
        <v>1395</v>
      </c>
      <c r="S184" s="304"/>
      <c r="T184" s="304"/>
      <c r="U184" s="304"/>
      <c r="V184" s="334"/>
      <c r="W184" s="334"/>
      <c r="X184" s="334"/>
      <c r="Y184" s="328"/>
      <c r="Z184" s="334"/>
      <c r="AA184" s="326" t="s">
        <v>1453</v>
      </c>
      <c r="AD184" s="326" t="s">
        <v>1717</v>
      </c>
      <c r="AE184" s="326" t="s">
        <v>1725</v>
      </c>
      <c r="AF184" s="326" t="s">
        <v>1735</v>
      </c>
      <c r="AJ184" s="326" t="s">
        <v>1350</v>
      </c>
      <c r="AK184" s="326" t="s">
        <v>1349</v>
      </c>
      <c r="AL184" s="326" t="s">
        <v>1351</v>
      </c>
      <c r="AO184" s="326" t="s">
        <v>1454</v>
      </c>
      <c r="AP184" s="322"/>
      <c r="AQ184">
        <v>5088</v>
      </c>
      <c r="AR184" s="326"/>
      <c r="AV184" s="326" t="b">
        <v>1</v>
      </c>
      <c r="AW184" s="334" t="b">
        <v>1</v>
      </c>
      <c r="AX184" s="334" t="b">
        <v>1</v>
      </c>
      <c r="AY184" s="334"/>
    </row>
    <row r="185" spans="1:51">
      <c r="A185" s="277" t="s">
        <v>875</v>
      </c>
      <c r="B185" s="334" t="s">
        <v>1671</v>
      </c>
      <c r="C185" s="334">
        <f>'EXD Inagaki 2006'!K25</f>
        <v>229.39874999999998</v>
      </c>
      <c r="H185" s="336"/>
      <c r="N185" s="27">
        <f>'EXD Inagaki 2006'!P25</f>
        <v>0</v>
      </c>
      <c r="O185" s="229"/>
      <c r="P185" s="326">
        <f>'EXD Inagaki 2006'!I25</f>
        <v>0</v>
      </c>
      <c r="R185" s="304" t="s">
        <v>1395</v>
      </c>
      <c r="S185" s="304"/>
      <c r="T185" s="304"/>
      <c r="U185" s="304"/>
      <c r="V185" s="334"/>
      <c r="W185" s="334"/>
      <c r="X185" s="334"/>
      <c r="Y185" s="323"/>
      <c r="Z185" s="334"/>
      <c r="AA185" s="326" t="s">
        <v>1453</v>
      </c>
      <c r="AD185" s="326" t="s">
        <v>1717</v>
      </c>
      <c r="AE185" s="326" t="s">
        <v>1725</v>
      </c>
      <c r="AF185" s="326" t="s">
        <v>1735</v>
      </c>
      <c r="AJ185" s="326" t="s">
        <v>1350</v>
      </c>
      <c r="AK185" s="326" t="s">
        <v>1349</v>
      </c>
      <c r="AL185" s="326" t="s">
        <v>1351</v>
      </c>
      <c r="AO185" s="326" t="s">
        <v>1454</v>
      </c>
      <c r="AQ185" s="322">
        <v>5088</v>
      </c>
      <c r="AR185" s="326"/>
      <c r="AV185" s="326" t="b">
        <v>1</v>
      </c>
      <c r="AW185" s="334" t="b">
        <v>1</v>
      </c>
      <c r="AX185" s="334" t="b">
        <v>1</v>
      </c>
      <c r="AY185" s="334"/>
    </row>
    <row r="186" spans="1:51">
      <c r="A186" s="277" t="s">
        <v>875</v>
      </c>
      <c r="B186" s="334" t="s">
        <v>1671</v>
      </c>
      <c r="C186" s="334">
        <f>'EXD Inagaki 2006'!K26</f>
        <v>246.43979999999999</v>
      </c>
      <c r="H186" s="336"/>
      <c r="N186" s="27">
        <f>'EXD Inagaki 2006'!P26</f>
        <v>0</v>
      </c>
      <c r="O186" s="229"/>
      <c r="P186" s="293">
        <f>'EXD Inagaki 2006'!I26</f>
        <v>0</v>
      </c>
      <c r="R186" s="304" t="s">
        <v>1395</v>
      </c>
      <c r="S186" s="304"/>
      <c r="T186" s="304"/>
      <c r="U186" s="304"/>
      <c r="V186" s="334"/>
      <c r="W186" s="334"/>
      <c r="X186" s="334"/>
      <c r="Y186" s="328"/>
      <c r="Z186" s="334"/>
      <c r="AA186" s="326" t="s">
        <v>1453</v>
      </c>
      <c r="AD186" s="326" t="s">
        <v>1717</v>
      </c>
      <c r="AE186" s="326" t="s">
        <v>1725</v>
      </c>
      <c r="AF186" s="326" t="s">
        <v>1735</v>
      </c>
      <c r="AJ186" s="326" t="s">
        <v>1350</v>
      </c>
      <c r="AK186" s="326" t="s">
        <v>1349</v>
      </c>
      <c r="AL186" s="326" t="s">
        <v>1351</v>
      </c>
      <c r="AO186" s="326" t="s">
        <v>1454</v>
      </c>
      <c r="AQ186" s="322">
        <v>5088</v>
      </c>
      <c r="AR186" s="326"/>
      <c r="AV186" s="326" t="b">
        <v>1</v>
      </c>
      <c r="AW186" s="334" t="b">
        <v>1</v>
      </c>
      <c r="AX186" s="334" t="b">
        <v>1</v>
      </c>
      <c r="AY186" s="334"/>
    </row>
    <row r="187" spans="1:51">
      <c r="A187" s="277" t="s">
        <v>875</v>
      </c>
      <c r="B187" s="334" t="s">
        <v>1671</v>
      </c>
      <c r="C187" s="334">
        <f>'EXD Inagaki 2006'!K27</f>
        <v>254.30489999999998</v>
      </c>
      <c r="H187" s="336"/>
      <c r="N187" s="27">
        <f>'EXD Inagaki 2006'!P27</f>
        <v>0</v>
      </c>
      <c r="O187" s="229"/>
      <c r="P187" s="293">
        <f>'EXD Inagaki 2006'!I27</f>
        <v>0</v>
      </c>
      <c r="R187" s="304" t="s">
        <v>1395</v>
      </c>
      <c r="S187" s="304"/>
      <c r="T187" s="304"/>
      <c r="U187" s="304"/>
      <c r="V187" s="334"/>
      <c r="W187" s="334"/>
      <c r="X187" s="334"/>
      <c r="Y187" s="334"/>
      <c r="Z187" s="334"/>
      <c r="AA187" s="326" t="s">
        <v>1453</v>
      </c>
      <c r="AD187" s="326" t="s">
        <v>1717</v>
      </c>
      <c r="AE187" s="326" t="s">
        <v>1725</v>
      </c>
      <c r="AF187" s="326" t="s">
        <v>1735</v>
      </c>
      <c r="AJ187" s="326" t="s">
        <v>1350</v>
      </c>
      <c r="AK187" s="326" t="s">
        <v>1349</v>
      </c>
      <c r="AL187" s="326" t="s">
        <v>1351</v>
      </c>
      <c r="AO187" s="326" t="s">
        <v>1454</v>
      </c>
      <c r="AQ187" s="322">
        <v>5088</v>
      </c>
      <c r="AR187" s="326"/>
      <c r="AV187" s="326" t="b">
        <v>1</v>
      </c>
      <c r="AW187" s="334" t="b">
        <v>1</v>
      </c>
      <c r="AX187" s="334" t="b">
        <v>1</v>
      </c>
      <c r="AY187" s="334"/>
    </row>
    <row r="188" spans="1:51">
      <c r="A188" s="277" t="s">
        <v>875</v>
      </c>
      <c r="B188" s="334" t="s">
        <v>1671</v>
      </c>
      <c r="C188" s="334">
        <f>'EXD Inagaki 2006'!K28</f>
        <v>264.79169999999999</v>
      </c>
      <c r="H188" s="336"/>
      <c r="N188" s="27">
        <f>'EXD Inagaki 2006'!P28</f>
        <v>0</v>
      </c>
      <c r="O188" s="229"/>
      <c r="P188" s="304">
        <f>'EXD Inagaki 2006'!I28</f>
        <v>0</v>
      </c>
      <c r="R188" s="304" t="s">
        <v>1395</v>
      </c>
      <c r="S188" s="304"/>
      <c r="T188" s="304"/>
      <c r="U188" s="304"/>
      <c r="V188" s="334"/>
      <c r="W188" s="334"/>
      <c r="X188" s="334"/>
      <c r="Y188" s="328"/>
      <c r="Z188" s="334"/>
      <c r="AA188" s="326" t="s">
        <v>1453</v>
      </c>
      <c r="AD188" s="326" t="s">
        <v>1717</v>
      </c>
      <c r="AE188" s="326" t="s">
        <v>1725</v>
      </c>
      <c r="AF188" s="326" t="s">
        <v>1735</v>
      </c>
      <c r="AJ188" s="326" t="s">
        <v>1350</v>
      </c>
      <c r="AK188" s="326" t="s">
        <v>1349</v>
      </c>
      <c r="AL188" s="326" t="s">
        <v>1351</v>
      </c>
      <c r="AO188" s="326" t="s">
        <v>1454</v>
      </c>
      <c r="AQ188" s="322">
        <v>5088</v>
      </c>
      <c r="AR188" s="326"/>
      <c r="AV188" s="326" t="b">
        <v>1</v>
      </c>
      <c r="AW188" s="334" t="b">
        <v>1</v>
      </c>
      <c r="AX188" s="334" t="b">
        <v>1</v>
      </c>
      <c r="AY188" s="334"/>
    </row>
    <row r="189" spans="1:51">
      <c r="A189" s="277" t="s">
        <v>875</v>
      </c>
      <c r="B189" s="334" t="s">
        <v>1643</v>
      </c>
      <c r="C189" s="334">
        <f>'EXD Inagaki 2006'!S6</f>
        <v>0</v>
      </c>
      <c r="H189" s="336"/>
      <c r="N189" s="27">
        <f>'EXD Inagaki 2006'!X6</f>
        <v>3.4313840032312498E-2</v>
      </c>
      <c r="O189" s="229"/>
      <c r="P189" s="304">
        <f>'EXD Inagaki 2006'!Y6</f>
        <v>29.7</v>
      </c>
      <c r="R189" s="304" t="s">
        <v>1395</v>
      </c>
      <c r="S189" s="304"/>
      <c r="T189" s="304"/>
      <c r="U189" s="304"/>
      <c r="V189" s="334"/>
      <c r="W189" s="334"/>
      <c r="X189" s="334"/>
      <c r="Y189" s="324"/>
      <c r="Z189" s="334"/>
      <c r="AA189" s="326" t="s">
        <v>1453</v>
      </c>
      <c r="AD189" s="326" t="s">
        <v>1717</v>
      </c>
      <c r="AE189" s="326" t="s">
        <v>1725</v>
      </c>
      <c r="AF189" s="326" t="s">
        <v>1735</v>
      </c>
      <c r="AJ189" s="326" t="s">
        <v>1350</v>
      </c>
      <c r="AK189" s="326" t="s">
        <v>1349</v>
      </c>
      <c r="AL189" s="326" t="s">
        <v>1351</v>
      </c>
      <c r="AO189" s="326" t="s">
        <v>1454</v>
      </c>
      <c r="AQ189" s="322"/>
      <c r="AR189" s="326"/>
      <c r="AV189" s="326" t="b">
        <v>1</v>
      </c>
      <c r="AW189" s="334" t="b">
        <v>1</v>
      </c>
      <c r="AX189" s="334" t="b">
        <v>1</v>
      </c>
      <c r="AY189" s="334"/>
    </row>
    <row r="190" spans="1:51">
      <c r="A190" s="277" t="s">
        <v>875</v>
      </c>
      <c r="B190" s="334" t="s">
        <v>1643</v>
      </c>
      <c r="C190" s="334">
        <f>'EXD Inagaki 2006'!S7</f>
        <v>3.9325499999999995</v>
      </c>
      <c r="H190" s="336"/>
      <c r="N190" s="27">
        <f>'EXD Inagaki 2006'!X7</f>
        <v>8.1432572361324496E-3</v>
      </c>
      <c r="O190" s="229"/>
      <c r="P190" s="304">
        <f>'EXD Inagaki 2006'!Y7</f>
        <v>24.5</v>
      </c>
      <c r="R190" s="304" t="s">
        <v>1395</v>
      </c>
      <c r="S190" s="304"/>
      <c r="T190" s="304"/>
      <c r="U190" s="304"/>
      <c r="V190" s="334"/>
      <c r="W190" s="334"/>
      <c r="X190" s="334"/>
      <c r="Y190" s="334"/>
      <c r="Z190" s="334"/>
      <c r="AA190" s="326" t="s">
        <v>1453</v>
      </c>
      <c r="AD190" s="326" t="s">
        <v>1717</v>
      </c>
      <c r="AE190" s="326" t="s">
        <v>1725</v>
      </c>
      <c r="AF190" s="326" t="s">
        <v>1735</v>
      </c>
      <c r="AJ190" s="326" t="s">
        <v>1350</v>
      </c>
      <c r="AK190" s="326" t="s">
        <v>1349</v>
      </c>
      <c r="AL190" s="326" t="s">
        <v>1351</v>
      </c>
      <c r="AO190" s="326" t="s">
        <v>1454</v>
      </c>
      <c r="AQ190" s="322"/>
      <c r="AR190" s="326"/>
      <c r="AV190" s="326" t="b">
        <v>1</v>
      </c>
      <c r="AW190" s="334" t="b">
        <v>1</v>
      </c>
      <c r="AX190" s="334" t="b">
        <v>1</v>
      </c>
      <c r="AY190" s="334"/>
    </row>
    <row r="191" spans="1:51">
      <c r="A191" s="277" t="s">
        <v>875</v>
      </c>
      <c r="B191" s="334" t="s">
        <v>1643</v>
      </c>
      <c r="C191" s="334">
        <f>'EXD Inagaki 2006'!S8</f>
        <v>13.108499999999999</v>
      </c>
      <c r="N191" s="27">
        <f>'EXD Inagaki 2006'!X8</f>
        <v>4.8302083298559298E-3</v>
      </c>
      <c r="O191" s="286"/>
      <c r="P191" s="327">
        <f>'EXD Inagaki 2006'!Y8</f>
        <v>0.5</v>
      </c>
      <c r="R191" s="304" t="s">
        <v>1395</v>
      </c>
      <c r="S191" s="304"/>
      <c r="T191" s="304"/>
      <c r="U191" s="304"/>
      <c r="V191" s="334"/>
      <c r="W191" s="334"/>
      <c r="X191" s="334"/>
      <c r="Y191" s="328"/>
      <c r="Z191" s="334"/>
      <c r="AA191" s="326" t="s">
        <v>1453</v>
      </c>
      <c r="AD191" s="326" t="s">
        <v>1717</v>
      </c>
      <c r="AE191" s="326" t="s">
        <v>1725</v>
      </c>
      <c r="AF191" s="326" t="s">
        <v>1735</v>
      </c>
      <c r="AJ191" s="326" t="s">
        <v>1350</v>
      </c>
      <c r="AK191" s="326" t="s">
        <v>1349</v>
      </c>
      <c r="AL191" s="326" t="s">
        <v>1351</v>
      </c>
      <c r="AO191" s="326" t="s">
        <v>1454</v>
      </c>
      <c r="AQ191" s="322"/>
      <c r="AR191" s="326"/>
      <c r="AV191" s="326" t="b">
        <v>1</v>
      </c>
      <c r="AW191" s="334" t="b">
        <v>1</v>
      </c>
      <c r="AX191" s="334" t="b">
        <v>1</v>
      </c>
      <c r="AY191" s="334"/>
    </row>
    <row r="192" spans="1:51">
      <c r="A192" s="277" t="s">
        <v>875</v>
      </c>
      <c r="B192" s="334" t="s">
        <v>1643</v>
      </c>
      <c r="C192" s="334">
        <f>'EXD Inagaki 2006'!S9</f>
        <v>28.838699999999999</v>
      </c>
      <c r="N192" s="27">
        <f>'EXD Inagaki 2006'!X9</f>
        <v>0</v>
      </c>
      <c r="O192" s="286"/>
      <c r="P192" s="334">
        <f>'EXD Inagaki 2006'!Y9</f>
        <v>0</v>
      </c>
      <c r="R192" s="304" t="s">
        <v>1395</v>
      </c>
      <c r="S192" s="304"/>
      <c r="T192" s="304"/>
      <c r="U192" s="304"/>
      <c r="V192" s="334"/>
      <c r="W192" s="334"/>
      <c r="X192" s="334"/>
      <c r="Y192" s="319"/>
      <c r="Z192" s="334"/>
      <c r="AA192" s="326" t="s">
        <v>1453</v>
      </c>
      <c r="AD192" s="326" t="s">
        <v>1717</v>
      </c>
      <c r="AE192" s="326" t="s">
        <v>1725</v>
      </c>
      <c r="AF192" s="326" t="s">
        <v>1735</v>
      </c>
      <c r="AJ192" s="326" t="s">
        <v>1350</v>
      </c>
      <c r="AK192" s="326" t="s">
        <v>1349</v>
      </c>
      <c r="AL192" s="326" t="s">
        <v>1351</v>
      </c>
      <c r="AO192" s="326" t="s">
        <v>1454</v>
      </c>
      <c r="AQ192" s="322"/>
      <c r="AR192" s="326"/>
      <c r="AV192" s="326" t="b">
        <v>1</v>
      </c>
      <c r="AW192" s="334" t="b">
        <v>1</v>
      </c>
      <c r="AX192" s="334" t="b">
        <v>1</v>
      </c>
      <c r="AY192" s="334"/>
    </row>
    <row r="193" spans="1:51">
      <c r="A193" s="277" t="s">
        <v>875</v>
      </c>
      <c r="B193" s="334" t="s">
        <v>1643</v>
      </c>
      <c r="C193" s="334">
        <f>'EXD Inagaki 2006'!S10</f>
        <v>117.97649999999999</v>
      </c>
      <c r="N193" s="27">
        <f>'EXD Inagaki 2006'!X10</f>
        <v>0</v>
      </c>
      <c r="O193" s="286"/>
      <c r="P193">
        <f>'EXD Inagaki 2006'!Y10</f>
        <v>0</v>
      </c>
      <c r="R193" s="304" t="s">
        <v>1395</v>
      </c>
      <c r="S193" s="304"/>
      <c r="T193" s="304"/>
      <c r="U193" s="304"/>
      <c r="V193" s="334"/>
      <c r="W193" s="334"/>
      <c r="X193" s="334"/>
      <c r="Y193" s="334"/>
      <c r="Z193" s="334"/>
      <c r="AA193" s="326" t="s">
        <v>1453</v>
      </c>
      <c r="AD193" s="326" t="s">
        <v>1717</v>
      </c>
      <c r="AE193" s="326" t="s">
        <v>1725</v>
      </c>
      <c r="AF193" s="326" t="s">
        <v>1735</v>
      </c>
      <c r="AJ193" s="326" t="s">
        <v>1350</v>
      </c>
      <c r="AK193" s="326" t="s">
        <v>1349</v>
      </c>
      <c r="AL193" s="326" t="s">
        <v>1351</v>
      </c>
      <c r="AO193" s="326" t="s">
        <v>1454</v>
      </c>
      <c r="AQ193" s="322"/>
      <c r="AR193" s="326"/>
      <c r="AV193" s="326" t="b">
        <v>1</v>
      </c>
      <c r="AW193" s="334" t="b">
        <v>1</v>
      </c>
      <c r="AX193" s="334" t="b">
        <v>1</v>
      </c>
      <c r="AY193" s="334"/>
    </row>
    <row r="194" spans="1:51">
      <c r="A194" s="277" t="s">
        <v>875</v>
      </c>
      <c r="B194" s="334" t="s">
        <v>1643</v>
      </c>
      <c r="C194" s="334">
        <f>'EXD Inagaki 2006'!S11</f>
        <v>154.68029999999999</v>
      </c>
      <c r="N194" s="27">
        <f>'EXD Inagaki 2006'!X11</f>
        <v>0</v>
      </c>
      <c r="O194" s="286"/>
      <c r="P194" s="304">
        <f>'EXD Inagaki 2006'!Y11</f>
        <v>0</v>
      </c>
      <c r="R194" s="304" t="s">
        <v>1395</v>
      </c>
      <c r="S194" s="304"/>
      <c r="T194" s="304"/>
      <c r="U194" s="304"/>
      <c r="V194" s="334"/>
      <c r="W194" s="334"/>
      <c r="X194" s="334"/>
      <c r="Y194" s="334"/>
      <c r="Z194" s="334"/>
      <c r="AA194" s="326" t="s">
        <v>1453</v>
      </c>
      <c r="AD194" s="326" t="s">
        <v>1717</v>
      </c>
      <c r="AE194" s="326" t="s">
        <v>1725</v>
      </c>
      <c r="AF194" s="326" t="s">
        <v>1735</v>
      </c>
      <c r="AJ194" s="326" t="s">
        <v>1350</v>
      </c>
      <c r="AK194" s="326" t="s">
        <v>1349</v>
      </c>
      <c r="AL194" s="326" t="s">
        <v>1351</v>
      </c>
      <c r="AO194" s="326" t="s">
        <v>1454</v>
      </c>
      <c r="AR194" s="326"/>
      <c r="AV194" s="326" t="b">
        <v>1</v>
      </c>
      <c r="AW194" s="334" t="b">
        <v>1</v>
      </c>
      <c r="AX194" s="334" t="b">
        <v>1</v>
      </c>
      <c r="AY194" s="334"/>
    </row>
    <row r="195" spans="1:51">
      <c r="A195" s="277" t="s">
        <v>875</v>
      </c>
      <c r="B195" s="334" t="s">
        <v>1643</v>
      </c>
      <c r="C195" s="334">
        <f>'EXD Inagaki 2006'!S12</f>
        <v>194.00579999999999</v>
      </c>
      <c r="N195" s="27">
        <f>'EXD Inagaki 2006'!X12</f>
        <v>0</v>
      </c>
      <c r="O195" s="286"/>
      <c r="P195" s="328">
        <f>'EXD Inagaki 2006'!Y12</f>
        <v>0</v>
      </c>
      <c r="R195" s="304" t="s">
        <v>1395</v>
      </c>
      <c r="S195" s="304"/>
      <c r="T195" s="304"/>
      <c r="U195" s="304"/>
      <c r="V195" s="334"/>
      <c r="W195" s="334"/>
      <c r="X195" s="334"/>
      <c r="Y195" s="328"/>
      <c r="Z195" s="334"/>
      <c r="AA195" s="326" t="s">
        <v>1453</v>
      </c>
      <c r="AD195" s="326" t="s">
        <v>1717</v>
      </c>
      <c r="AE195" s="326" t="s">
        <v>1725</v>
      </c>
      <c r="AF195" s="326" t="s">
        <v>1735</v>
      </c>
      <c r="AJ195" s="326" t="s">
        <v>1350</v>
      </c>
      <c r="AK195" s="326" t="s">
        <v>1349</v>
      </c>
      <c r="AL195" s="326" t="s">
        <v>1351</v>
      </c>
      <c r="AO195" s="326" t="s">
        <v>1454</v>
      </c>
      <c r="AR195" s="326"/>
      <c r="AV195" s="326" t="b">
        <v>1</v>
      </c>
      <c r="AW195" s="334" t="b">
        <v>1</v>
      </c>
      <c r="AX195" s="334" t="b">
        <v>1</v>
      </c>
      <c r="AY195" s="334"/>
    </row>
    <row r="196" spans="1:51">
      <c r="A196" s="277" t="s">
        <v>875</v>
      </c>
      <c r="B196" s="334" t="s">
        <v>1643</v>
      </c>
      <c r="C196" s="334">
        <f>'EXD Inagaki 2006'!S13</f>
        <v>270.0351</v>
      </c>
      <c r="N196" s="27">
        <f>'EXD Inagaki 2006'!X13</f>
        <v>0</v>
      </c>
      <c r="O196" s="286"/>
      <c r="P196" s="326">
        <f>'EXD Inagaki 2006'!Y13</f>
        <v>0</v>
      </c>
      <c r="R196" s="304" t="s">
        <v>1395</v>
      </c>
      <c r="S196" s="304"/>
      <c r="T196" s="304"/>
      <c r="U196" s="304"/>
      <c r="V196" s="334"/>
      <c r="W196" s="334"/>
      <c r="X196" s="334"/>
      <c r="Y196" s="328"/>
      <c r="Z196" s="334"/>
      <c r="AA196" s="326" t="s">
        <v>1453</v>
      </c>
      <c r="AD196" s="326" t="s">
        <v>1717</v>
      </c>
      <c r="AE196" s="326" t="s">
        <v>1725</v>
      </c>
      <c r="AF196" s="326" t="s">
        <v>1735</v>
      </c>
      <c r="AJ196" s="326" t="s">
        <v>1350</v>
      </c>
      <c r="AK196" s="326" t="s">
        <v>1349</v>
      </c>
      <c r="AL196" s="326" t="s">
        <v>1351</v>
      </c>
      <c r="AO196" s="326" t="s">
        <v>1454</v>
      </c>
      <c r="AR196" s="326"/>
      <c r="AV196" s="326" t="b">
        <v>1</v>
      </c>
      <c r="AW196" s="334" t="b">
        <v>1</v>
      </c>
      <c r="AX196" s="334" t="b">
        <v>1</v>
      </c>
      <c r="AY196" s="334"/>
    </row>
    <row r="197" spans="1:51">
      <c r="A197" s="277" t="s">
        <v>875</v>
      </c>
      <c r="B197" s="334" t="s">
        <v>1642</v>
      </c>
      <c r="C197" s="334">
        <f>'EXD Inagaki 2006'!AA6</f>
        <v>5.2434000000000003</v>
      </c>
      <c r="H197" s="336"/>
      <c r="N197" s="27">
        <f>'EXD Inagaki 2006'!AF6</f>
        <v>0.31959958017937801</v>
      </c>
      <c r="O197" s="286"/>
      <c r="P197">
        <f>'EXD Inagaki 2006'!AG6</f>
        <v>0</v>
      </c>
      <c r="R197" s="304" t="s">
        <v>1395</v>
      </c>
      <c r="S197" s="304"/>
      <c r="T197" s="304"/>
      <c r="U197" s="304"/>
      <c r="V197" s="334"/>
      <c r="W197" s="334"/>
      <c r="X197" s="334"/>
      <c r="Y197" s="327"/>
      <c r="Z197" s="334"/>
      <c r="AA197" s="326" t="s">
        <v>1453</v>
      </c>
      <c r="AD197" s="326" t="s">
        <v>1717</v>
      </c>
      <c r="AE197" s="326" t="s">
        <v>1725</v>
      </c>
      <c r="AF197" s="326" t="s">
        <v>1735</v>
      </c>
      <c r="AJ197" s="326" t="s">
        <v>1350</v>
      </c>
      <c r="AK197" s="326" t="s">
        <v>1349</v>
      </c>
      <c r="AL197" s="326" t="s">
        <v>1351</v>
      </c>
      <c r="AO197" s="326" t="s">
        <v>1454</v>
      </c>
      <c r="AQ197" s="322"/>
      <c r="AR197" s="326"/>
      <c r="AV197" s="326" t="b">
        <v>1</v>
      </c>
      <c r="AW197" s="334" t="b">
        <v>1</v>
      </c>
      <c r="AX197" s="334" t="b">
        <v>1</v>
      </c>
      <c r="AY197" s="334"/>
    </row>
    <row r="198" spans="1:51">
      <c r="A198" s="277" t="s">
        <v>875</v>
      </c>
      <c r="B198" s="334" t="s">
        <v>1642</v>
      </c>
      <c r="C198" s="334">
        <f>'EXD Inagaki 2006'!AA7</f>
        <v>20.973600000000001</v>
      </c>
      <c r="N198" s="27">
        <f>'EXD Inagaki 2006'!AF7</f>
        <v>0.21825265568348001</v>
      </c>
      <c r="O198" s="286"/>
      <c r="P198" s="304">
        <f>'EXD Inagaki 2006'!AG7</f>
        <v>0</v>
      </c>
      <c r="R198" s="304" t="s">
        <v>1395</v>
      </c>
      <c r="S198" s="304"/>
      <c r="T198" s="304"/>
      <c r="U198" s="304"/>
      <c r="V198" s="334"/>
      <c r="W198" s="334"/>
      <c r="X198" s="334"/>
      <c r="Y198" s="324"/>
      <c r="Z198" s="334"/>
      <c r="AA198" s="326" t="s">
        <v>1453</v>
      </c>
      <c r="AD198" s="326" t="s">
        <v>1717</v>
      </c>
      <c r="AE198" s="326" t="s">
        <v>1725</v>
      </c>
      <c r="AF198" s="326" t="s">
        <v>1735</v>
      </c>
      <c r="AJ198" s="326" t="s">
        <v>1350</v>
      </c>
      <c r="AK198" s="326" t="s">
        <v>1349</v>
      </c>
      <c r="AL198" s="326" t="s">
        <v>1351</v>
      </c>
      <c r="AO198" s="326" t="s">
        <v>1454</v>
      </c>
      <c r="AQ198" s="322"/>
      <c r="AR198" s="326"/>
      <c r="AV198" s="326" t="b">
        <v>1</v>
      </c>
      <c r="AW198" s="334" t="b">
        <v>1</v>
      </c>
      <c r="AX198" s="334" t="b">
        <v>1</v>
      </c>
      <c r="AY198" s="334"/>
    </row>
    <row r="199" spans="1:51">
      <c r="A199" s="277" t="s">
        <v>875</v>
      </c>
      <c r="B199" s="334" t="s">
        <v>1642</v>
      </c>
      <c r="C199" s="334">
        <f>'EXD Inagaki 2006'!AA8</f>
        <v>44.568899999999999</v>
      </c>
      <c r="N199" s="27">
        <f>'EXD Inagaki 2006'!AF8</f>
        <v>0.264046498314356</v>
      </c>
      <c r="O199" s="286"/>
      <c r="P199" s="327">
        <f>'EXD Inagaki 2006'!AG8</f>
        <v>0</v>
      </c>
      <c r="R199" s="304" t="s">
        <v>1395</v>
      </c>
      <c r="S199" s="304"/>
      <c r="T199" s="304"/>
      <c r="U199" s="304"/>
      <c r="V199" s="334"/>
      <c r="W199" s="334"/>
      <c r="X199" s="334"/>
      <c r="Y199" s="322"/>
      <c r="Z199" s="334"/>
      <c r="AA199" s="326" t="s">
        <v>1453</v>
      </c>
      <c r="AD199" s="326" t="s">
        <v>1717</v>
      </c>
      <c r="AE199" s="326" t="s">
        <v>1725</v>
      </c>
      <c r="AF199" s="326" t="s">
        <v>1735</v>
      </c>
      <c r="AJ199" s="326" t="s">
        <v>1350</v>
      </c>
      <c r="AK199" s="326" t="s">
        <v>1349</v>
      </c>
      <c r="AL199" s="326" t="s">
        <v>1351</v>
      </c>
      <c r="AO199" s="326" t="s">
        <v>1454</v>
      </c>
      <c r="AQ199" s="322"/>
      <c r="AR199" s="326"/>
      <c r="AV199" s="326" t="b">
        <v>1</v>
      </c>
      <c r="AW199" s="334" t="b">
        <v>1</v>
      </c>
      <c r="AX199" s="334" t="b">
        <v>1</v>
      </c>
      <c r="AY199" s="334"/>
    </row>
    <row r="200" spans="1:51">
      <c r="A200" s="277" t="s">
        <v>875</v>
      </c>
      <c r="B200" s="334" t="s">
        <v>1642</v>
      </c>
      <c r="C200" s="334">
        <f>'EXD Inagaki 2006'!AA9</f>
        <v>62.920799999999993</v>
      </c>
      <c r="H200" s="336"/>
      <c r="N200" s="27">
        <f>'EXD Inagaki 2006'!AF9</f>
        <v>2.1859296482411899E-2</v>
      </c>
      <c r="O200" s="229"/>
      <c r="P200" s="334">
        <f>'EXD Inagaki 2006'!AG9</f>
        <v>0</v>
      </c>
      <c r="R200" s="304" t="s">
        <v>1395</v>
      </c>
      <c r="S200" s="304"/>
      <c r="T200" s="304"/>
      <c r="U200" s="304"/>
      <c r="V200" s="334"/>
      <c r="W200" s="334"/>
      <c r="X200" s="334"/>
      <c r="Y200" s="328"/>
      <c r="Z200" s="334"/>
      <c r="AA200" s="326" t="s">
        <v>1453</v>
      </c>
      <c r="AD200" s="326" t="s">
        <v>1717</v>
      </c>
      <c r="AE200" s="326" t="s">
        <v>1725</v>
      </c>
      <c r="AF200" s="326" t="s">
        <v>1735</v>
      </c>
      <c r="AJ200" s="326" t="s">
        <v>1350</v>
      </c>
      <c r="AK200" s="326" t="s">
        <v>1349</v>
      </c>
      <c r="AL200" s="326" t="s">
        <v>1351</v>
      </c>
      <c r="AO200" s="326" t="s">
        <v>1454</v>
      </c>
      <c r="AQ200" s="322"/>
      <c r="AR200" s="326"/>
      <c r="AV200" s="326" t="b">
        <v>1</v>
      </c>
      <c r="AW200" s="334" t="b">
        <v>1</v>
      </c>
      <c r="AX200" s="334" t="b">
        <v>1</v>
      </c>
      <c r="AY200" s="334"/>
    </row>
    <row r="201" spans="1:51">
      <c r="A201" s="277" t="s">
        <v>875</v>
      </c>
      <c r="B201" s="334" t="s">
        <v>1642</v>
      </c>
      <c r="C201" s="334">
        <f>'EXD Inagaki 2006'!AA10</f>
        <v>81.2727</v>
      </c>
      <c r="N201" s="27">
        <f>'EXD Inagaki 2006'!AF10</f>
        <v>2.17766045416956E-2</v>
      </c>
      <c r="O201" s="229"/>
      <c r="P201" s="334">
        <f>'EXD Inagaki 2006'!AG10</f>
        <v>0</v>
      </c>
      <c r="R201" s="304" t="s">
        <v>1395</v>
      </c>
      <c r="S201" s="304"/>
      <c r="T201" s="304"/>
      <c r="U201" s="304"/>
      <c r="V201" s="334"/>
      <c r="W201" s="334"/>
      <c r="X201" s="334"/>
      <c r="Y201" s="327"/>
      <c r="Z201" s="334"/>
      <c r="AA201" s="326" t="s">
        <v>1453</v>
      </c>
      <c r="AD201" s="326" t="s">
        <v>1717</v>
      </c>
      <c r="AE201" s="326" t="s">
        <v>1725</v>
      </c>
      <c r="AF201" s="326" t="s">
        <v>1735</v>
      </c>
      <c r="AJ201" s="326" t="s">
        <v>1350</v>
      </c>
      <c r="AK201" s="326" t="s">
        <v>1349</v>
      </c>
      <c r="AL201" s="326" t="s">
        <v>1351</v>
      </c>
      <c r="AO201" s="326" t="s">
        <v>1454</v>
      </c>
      <c r="AQ201" s="322"/>
      <c r="AR201" s="326"/>
      <c r="AV201" s="326" t="b">
        <v>1</v>
      </c>
      <c r="AW201" s="334" t="b">
        <v>1</v>
      </c>
      <c r="AX201" s="334" t="b">
        <v>1</v>
      </c>
      <c r="AY201" s="334"/>
    </row>
    <row r="202" spans="1:51">
      <c r="A202" s="277" t="s">
        <v>875</v>
      </c>
      <c r="B202" s="334" t="s">
        <v>1642</v>
      </c>
      <c r="C202" s="334">
        <f>'EXD Inagaki 2006'!AA11</f>
        <v>99.624599999999987</v>
      </c>
      <c r="N202" s="27">
        <f>'EXD Inagaki 2006'!AF11</f>
        <v>2.96005343171554E-2</v>
      </c>
      <c r="O202" s="229"/>
      <c r="P202" s="328">
        <f>'EXD Inagaki 2006'!AG11</f>
        <v>0</v>
      </c>
      <c r="R202" s="304" t="s">
        <v>1395</v>
      </c>
      <c r="S202" s="304"/>
      <c r="T202" s="304"/>
      <c r="U202" s="304"/>
      <c r="V202" s="334"/>
      <c r="W202" s="334"/>
      <c r="X202" s="334"/>
      <c r="Y202" s="323"/>
      <c r="Z202" s="334"/>
      <c r="AA202" s="326" t="s">
        <v>1453</v>
      </c>
      <c r="AD202" s="326" t="s">
        <v>1717</v>
      </c>
      <c r="AE202" s="326" t="s">
        <v>1725</v>
      </c>
      <c r="AF202" s="326" t="s">
        <v>1735</v>
      </c>
      <c r="AJ202" s="326" t="s">
        <v>1350</v>
      </c>
      <c r="AK202" s="326" t="s">
        <v>1349</v>
      </c>
      <c r="AL202" s="326" t="s">
        <v>1351</v>
      </c>
      <c r="AO202" s="326" t="s">
        <v>1454</v>
      </c>
      <c r="AQ202" s="322"/>
      <c r="AR202" s="326"/>
      <c r="AV202" s="326" t="b">
        <v>1</v>
      </c>
      <c r="AW202" s="334" t="b">
        <v>1</v>
      </c>
      <c r="AX202" s="334" t="b">
        <v>1</v>
      </c>
      <c r="AY202" s="334"/>
    </row>
    <row r="203" spans="1:51">
      <c r="A203" s="277" t="s">
        <v>875</v>
      </c>
      <c r="B203" s="328" t="s">
        <v>1642</v>
      </c>
      <c r="C203" s="334">
        <f>'EXD Inagaki 2006'!AA12</f>
        <v>120.59819999999999</v>
      </c>
      <c r="H203" s="336"/>
      <c r="N203" s="27">
        <f>'EXD Inagaki 2006'!AF12</f>
        <v>1.02092742191975E-3</v>
      </c>
      <c r="O203" s="229"/>
      <c r="P203" s="328">
        <f>'EXD Inagaki 2006'!AG12</f>
        <v>0</v>
      </c>
      <c r="R203" s="304" t="s">
        <v>1395</v>
      </c>
      <c r="S203" s="304"/>
      <c r="T203" s="304"/>
      <c r="U203" s="304"/>
      <c r="V203" s="334"/>
      <c r="W203" s="334"/>
      <c r="X203" s="334"/>
      <c r="Y203" s="334"/>
      <c r="Z203" s="334"/>
      <c r="AA203" s="326" t="s">
        <v>1453</v>
      </c>
      <c r="AD203" s="326" t="s">
        <v>1717</v>
      </c>
      <c r="AE203" s="326" t="s">
        <v>1725</v>
      </c>
      <c r="AF203" s="326" t="s">
        <v>1735</v>
      </c>
      <c r="AJ203" s="326" t="s">
        <v>1350</v>
      </c>
      <c r="AK203" s="326" t="s">
        <v>1349</v>
      </c>
      <c r="AL203" s="326" t="s">
        <v>1351</v>
      </c>
      <c r="AO203" s="326" t="s">
        <v>1454</v>
      </c>
      <c r="AQ203" s="322"/>
      <c r="AR203" s="326"/>
      <c r="AT203"/>
      <c r="AU203"/>
      <c r="AV203" t="b">
        <v>1</v>
      </c>
      <c r="AW203" s="334" t="b">
        <v>1</v>
      </c>
      <c r="AX203" s="334" t="b">
        <v>1</v>
      </c>
      <c r="AY203" s="334"/>
    </row>
    <row r="204" spans="1:51">
      <c r="A204" s="277" t="s">
        <v>875</v>
      </c>
      <c r="B204" s="328" t="s">
        <v>1642</v>
      </c>
      <c r="C204" s="334">
        <f>'EXD Inagaki 2006'!AA13</f>
        <v>138.95009999999999</v>
      </c>
      <c r="H204" s="336"/>
      <c r="N204" s="27">
        <f>'EXD Inagaki 2006'!AF13</f>
        <v>1.8340118313084398E-2</v>
      </c>
      <c r="O204" s="229"/>
      <c r="P204" s="286">
        <f>'EXD Inagaki 2006'!AG13</f>
        <v>0</v>
      </c>
      <c r="R204" s="304" t="s">
        <v>1395</v>
      </c>
      <c r="S204" s="304"/>
      <c r="T204" s="304"/>
      <c r="U204" s="304"/>
      <c r="V204" s="334"/>
      <c r="W204" s="334"/>
      <c r="X204" s="334"/>
      <c r="Y204" s="334"/>
      <c r="Z204" s="334"/>
      <c r="AA204" s="326" t="s">
        <v>1453</v>
      </c>
      <c r="AD204" s="326" t="s">
        <v>1717</v>
      </c>
      <c r="AE204" s="326" t="s">
        <v>1725</v>
      </c>
      <c r="AF204" s="326" t="s">
        <v>1735</v>
      </c>
      <c r="AJ204" s="326" t="s">
        <v>1350</v>
      </c>
      <c r="AK204" s="326" t="s">
        <v>1349</v>
      </c>
      <c r="AL204" s="326" t="s">
        <v>1351</v>
      </c>
      <c r="AO204" s="326" t="s">
        <v>1454</v>
      </c>
      <c r="AQ204" s="322"/>
      <c r="AR204" s="326"/>
      <c r="AT204"/>
      <c r="AU204"/>
      <c r="AV204" t="b">
        <v>1</v>
      </c>
      <c r="AW204" s="334" t="b">
        <v>1</v>
      </c>
      <c r="AX204" s="334" t="b">
        <v>1</v>
      </c>
      <c r="AY204" s="334"/>
    </row>
    <row r="205" spans="1:51">
      <c r="A205" s="277" t="s">
        <v>875</v>
      </c>
      <c r="B205" s="334" t="s">
        <v>1642</v>
      </c>
      <c r="C205" s="334">
        <f>'EXD Inagaki 2006'!AA14</f>
        <v>166.47794999999999</v>
      </c>
      <c r="N205" s="27">
        <f>'EXD Inagaki 2006'!AF14</f>
        <v>8.1578779975831003E-4</v>
      </c>
      <c r="O205" s="304"/>
      <c r="P205" s="286">
        <f>'EXD Inagaki 2006'!AG14</f>
        <v>0</v>
      </c>
      <c r="R205" s="304" t="s">
        <v>1395</v>
      </c>
      <c r="S205" s="304"/>
      <c r="T205" s="304"/>
      <c r="U205" s="304"/>
      <c r="V205" s="334"/>
      <c r="W205" s="334"/>
      <c r="X205" s="334"/>
      <c r="Y205" s="321"/>
      <c r="Z205" s="334"/>
      <c r="AA205" s="326" t="s">
        <v>1453</v>
      </c>
      <c r="AD205" s="326" t="s">
        <v>1717</v>
      </c>
      <c r="AE205" s="326" t="s">
        <v>1725</v>
      </c>
      <c r="AF205" s="326" t="s">
        <v>1735</v>
      </c>
      <c r="AJ205" s="326" t="s">
        <v>1350</v>
      </c>
      <c r="AK205" s="326" t="s">
        <v>1349</v>
      </c>
      <c r="AL205" s="326" t="s">
        <v>1351</v>
      </c>
      <c r="AO205" s="326" t="s">
        <v>1454</v>
      </c>
      <c r="AQ205" s="322"/>
      <c r="AR205" s="326"/>
      <c r="AT205"/>
      <c r="AU205"/>
      <c r="AV205" t="b">
        <v>1</v>
      </c>
      <c r="AW205" s="334" t="b">
        <v>1</v>
      </c>
      <c r="AX205" s="334" t="b">
        <v>1</v>
      </c>
      <c r="AY205" s="334"/>
    </row>
    <row r="206" spans="1:51">
      <c r="A206" s="277" t="s">
        <v>875</v>
      </c>
      <c r="B206" s="328" t="s">
        <v>1642</v>
      </c>
      <c r="C206" s="334">
        <f>'EXD Inagaki 2006'!AA15</f>
        <v>175.65389999999999</v>
      </c>
      <c r="H206" s="336"/>
      <c r="N206" s="27">
        <f>'EXD Inagaki 2006'!AF15</f>
        <v>7.6649068125439696E-4</v>
      </c>
      <c r="O206" s="304"/>
      <c r="P206" s="326">
        <f>'EXD Inagaki 2006'!AG15</f>
        <v>0</v>
      </c>
      <c r="R206" s="304" t="s">
        <v>1395</v>
      </c>
      <c r="S206" s="304"/>
      <c r="T206" s="304"/>
      <c r="U206" s="304"/>
      <c r="V206" s="334"/>
      <c r="W206" s="334"/>
      <c r="X206" s="334"/>
      <c r="Y206" s="328"/>
      <c r="Z206" s="334"/>
      <c r="AA206" s="326" t="s">
        <v>1453</v>
      </c>
      <c r="AD206" s="326" t="s">
        <v>1717</v>
      </c>
      <c r="AE206" s="326" t="s">
        <v>1725</v>
      </c>
      <c r="AF206" s="326" t="s">
        <v>1735</v>
      </c>
      <c r="AJ206" s="326" t="s">
        <v>1350</v>
      </c>
      <c r="AK206" s="326" t="s">
        <v>1349</v>
      </c>
      <c r="AL206" s="326" t="s">
        <v>1351</v>
      </c>
      <c r="AO206" s="326" t="s">
        <v>1454</v>
      </c>
      <c r="AQ206" s="322"/>
      <c r="AR206" s="326"/>
      <c r="AT206"/>
      <c r="AU206"/>
      <c r="AV206" t="b">
        <v>1</v>
      </c>
      <c r="AW206" s="334" t="b">
        <v>1</v>
      </c>
      <c r="AX206" s="334" t="b">
        <v>1</v>
      </c>
      <c r="AY206" s="334"/>
    </row>
    <row r="207" spans="1:51">
      <c r="A207" s="277" t="s">
        <v>875</v>
      </c>
      <c r="B207" s="328" t="s">
        <v>1642</v>
      </c>
      <c r="C207" s="334">
        <f>'EXD Inagaki 2006'!AA16</f>
        <v>204.49259999999998</v>
      </c>
      <c r="H207" s="336"/>
      <c r="N207" s="27">
        <f>'EXD Inagaki 2006'!AF16</f>
        <v>2.23268239933846E-3</v>
      </c>
      <c r="O207" s="304"/>
      <c r="P207" s="322">
        <f>'EXD Inagaki 2006'!AG16</f>
        <v>0</v>
      </c>
      <c r="R207" s="304" t="s">
        <v>1395</v>
      </c>
      <c r="S207" s="304"/>
      <c r="T207" s="304"/>
      <c r="U207" s="304"/>
      <c r="V207" s="334"/>
      <c r="W207" s="334"/>
      <c r="X207" s="334"/>
      <c r="Y207" s="323"/>
      <c r="Z207" s="334"/>
      <c r="AA207" s="326" t="s">
        <v>1453</v>
      </c>
      <c r="AD207" s="326" t="s">
        <v>1717</v>
      </c>
      <c r="AE207" s="326" t="s">
        <v>1725</v>
      </c>
      <c r="AF207" s="326" t="s">
        <v>1735</v>
      </c>
      <c r="AJ207" s="326" t="s">
        <v>1350</v>
      </c>
      <c r="AK207" s="326" t="s">
        <v>1349</v>
      </c>
      <c r="AL207" s="326" t="s">
        <v>1351</v>
      </c>
      <c r="AO207" s="326" t="s">
        <v>1454</v>
      </c>
      <c r="AQ207" s="322"/>
      <c r="AR207" s="326"/>
      <c r="AT207"/>
      <c r="AU207"/>
      <c r="AV207" t="b">
        <v>1</v>
      </c>
      <c r="AW207" s="334" t="b">
        <v>1</v>
      </c>
      <c r="AX207" s="334" t="b">
        <v>1</v>
      </c>
      <c r="AY207" s="334"/>
    </row>
    <row r="208" spans="1:51">
      <c r="A208" s="277" t="s">
        <v>875</v>
      </c>
      <c r="B208" s="328" t="s">
        <v>1642</v>
      </c>
      <c r="C208" s="334">
        <f>'EXD Inagaki 2006'!AA17</f>
        <v>225.46619999999999</v>
      </c>
      <c r="H208" s="336"/>
      <c r="N208" s="27">
        <f>'EXD Inagaki 2006'!AF17</f>
        <v>5.4703899243052395E-4</v>
      </c>
      <c r="O208" s="304"/>
      <c r="P208" s="322">
        <f>'EXD Inagaki 2006'!AG17</f>
        <v>0</v>
      </c>
      <c r="R208" s="304" t="s">
        <v>1395</v>
      </c>
      <c r="S208" s="304"/>
      <c r="T208" s="304"/>
      <c r="U208" s="304"/>
      <c r="V208" s="334"/>
      <c r="W208" s="334"/>
      <c r="X208" s="334"/>
      <c r="Y208" s="322"/>
      <c r="Z208" s="334"/>
      <c r="AA208" s="326" t="s">
        <v>1453</v>
      </c>
      <c r="AD208" s="326" t="s">
        <v>1717</v>
      </c>
      <c r="AE208" s="326" t="s">
        <v>1725</v>
      </c>
      <c r="AF208" s="326" t="s">
        <v>1735</v>
      </c>
      <c r="AJ208" s="326" t="s">
        <v>1350</v>
      </c>
      <c r="AK208" s="326" t="s">
        <v>1349</v>
      </c>
      <c r="AL208" s="326" t="s">
        <v>1351</v>
      </c>
      <c r="AO208" s="326" t="s">
        <v>1454</v>
      </c>
      <c r="AQ208" s="322"/>
      <c r="AR208" s="326"/>
      <c r="AT208"/>
      <c r="AU208"/>
      <c r="AV208" t="b">
        <v>1</v>
      </c>
      <c r="AW208" s="334" t="b">
        <v>1</v>
      </c>
      <c r="AX208" s="334" t="b">
        <v>1</v>
      </c>
      <c r="AY208" s="334"/>
    </row>
    <row r="209" spans="1:51">
      <c r="A209" s="277" t="s">
        <v>875</v>
      </c>
      <c r="B209" s="334" t="s">
        <v>1642</v>
      </c>
      <c r="C209" s="334">
        <f>'EXD Inagaki 2006'!AA18</f>
        <v>325.0908</v>
      </c>
      <c r="N209" s="27">
        <f>'EXD Inagaki 2006'!AF18</f>
        <v>3.6481457922524003E-2</v>
      </c>
      <c r="O209" s="304"/>
      <c r="P209" s="326">
        <f>'EXD Inagaki 2006'!AG18</f>
        <v>0</v>
      </c>
      <c r="R209" s="304" t="s">
        <v>1395</v>
      </c>
      <c r="S209" s="304"/>
      <c r="T209" s="304"/>
      <c r="U209" s="304"/>
      <c r="V209" s="334"/>
      <c r="W209" s="334"/>
      <c r="X209" s="334"/>
      <c r="Y209" s="328"/>
      <c r="Z209" s="334"/>
      <c r="AA209" s="326" t="s">
        <v>1453</v>
      </c>
      <c r="AD209" s="326" t="s">
        <v>1717</v>
      </c>
      <c r="AE209" s="326" t="s">
        <v>1725</v>
      </c>
      <c r="AF209" s="326" t="s">
        <v>1735</v>
      </c>
      <c r="AJ209" s="326" t="s">
        <v>1350</v>
      </c>
      <c r="AK209" s="326" t="s">
        <v>1349</v>
      </c>
      <c r="AL209" s="326" t="s">
        <v>1351</v>
      </c>
      <c r="AO209" s="326" t="s">
        <v>1454</v>
      </c>
      <c r="AQ209" s="322"/>
      <c r="AR209" s="326"/>
      <c r="AT209"/>
      <c r="AU209"/>
      <c r="AV209" t="b">
        <v>1</v>
      </c>
      <c r="AW209" s="334" t="b">
        <v>1</v>
      </c>
      <c r="AX209" s="334" t="b">
        <v>1</v>
      </c>
      <c r="AY209" s="334"/>
    </row>
    <row r="210" spans="1:51">
      <c r="A210" s="277" t="s">
        <v>76</v>
      </c>
      <c r="B210" s="334" t="str">
        <f>'Ince 2006'!A10</f>
        <v>Black Sea, Station 19</v>
      </c>
      <c r="C210" s="334">
        <f>'Ince 2006'!B10</f>
        <v>0.01</v>
      </c>
      <c r="H210" s="27">
        <f>'Ince 2006'!E10</f>
        <v>0.70700000000000007</v>
      </c>
      <c r="M210" s="27">
        <f>'Ince 2006'!F10</f>
        <v>0.28712871287128711</v>
      </c>
      <c r="O210" s="304" t="s">
        <v>156</v>
      </c>
      <c r="P210" s="304"/>
      <c r="R210" s="304" t="s">
        <v>157</v>
      </c>
      <c r="S210" s="304" t="s">
        <v>316</v>
      </c>
      <c r="T210" s="304" t="s">
        <v>49</v>
      </c>
      <c r="U210" s="304" t="s">
        <v>50</v>
      </c>
      <c r="V210" s="334"/>
      <c r="W210" s="334"/>
      <c r="X210" s="334"/>
      <c r="Y210" s="321"/>
      <c r="Z210" s="334"/>
      <c r="AB210" s="306" t="s">
        <v>311</v>
      </c>
      <c r="AC210" s="334" t="s">
        <v>1702</v>
      </c>
      <c r="AQ210" s="322"/>
      <c r="AR210" s="326"/>
      <c r="AS210" t="b">
        <v>1</v>
      </c>
      <c r="AT210"/>
      <c r="AU210"/>
      <c r="AV210"/>
      <c r="AW210" s="334"/>
      <c r="AX210" s="334"/>
      <c r="AY210" s="334"/>
    </row>
    <row r="211" spans="1:51">
      <c r="A211" s="277" t="s">
        <v>76</v>
      </c>
      <c r="B211" s="334" t="str">
        <f>'Ince 2006'!A11</f>
        <v>Black Sea, Station 29</v>
      </c>
      <c r="C211" s="334">
        <f>'Ince 2006'!B11</f>
        <v>0.01</v>
      </c>
      <c r="H211" s="27">
        <f>'Ince 2006'!E11</f>
        <v>0.84</v>
      </c>
      <c r="M211" s="27">
        <f>'Ince 2006'!F11</f>
        <v>0.1380952380952381</v>
      </c>
      <c r="O211" s="304" t="s">
        <v>156</v>
      </c>
      <c r="P211" s="327"/>
      <c r="R211" s="304" t="s">
        <v>157</v>
      </c>
      <c r="S211" s="304" t="s">
        <v>316</v>
      </c>
      <c r="T211" s="304" t="s">
        <v>49</v>
      </c>
      <c r="U211" s="304" t="s">
        <v>50</v>
      </c>
      <c r="V211" s="334"/>
      <c r="W211" s="334"/>
      <c r="X211" s="334"/>
      <c r="Y211" s="334"/>
      <c r="Z211" s="334"/>
      <c r="AB211" s="306" t="s">
        <v>311</v>
      </c>
      <c r="AC211" s="334" t="s">
        <v>1702</v>
      </c>
      <c r="AQ211" s="322"/>
      <c r="AR211" s="326"/>
      <c r="AS211" t="b">
        <v>1</v>
      </c>
      <c r="AT211"/>
      <c r="AU211"/>
      <c r="AV211"/>
      <c r="AW211" s="334"/>
      <c r="AX211" s="334"/>
      <c r="AY211" s="334"/>
    </row>
    <row r="212" spans="1:51">
      <c r="A212" s="277" t="s">
        <v>77</v>
      </c>
      <c r="B212" s="334" t="str">
        <f>'Ince 2006'!A5</f>
        <v>Black Sea, Station 3</v>
      </c>
      <c r="C212" s="334">
        <f>'Ince 2006'!B5</f>
        <v>5.0000000000000001E-3</v>
      </c>
      <c r="H212" s="27">
        <f>'Ince 2006'!E5</f>
        <v>0.70900000000000007</v>
      </c>
      <c r="M212" s="27">
        <f>'Ince 2006'!F5</f>
        <v>0.15373765867418898</v>
      </c>
      <c r="O212" s="304" t="s">
        <v>156</v>
      </c>
      <c r="P212" s="293"/>
      <c r="R212" s="304" t="s">
        <v>157</v>
      </c>
      <c r="S212" s="304" t="s">
        <v>316</v>
      </c>
      <c r="T212" s="304" t="s">
        <v>49</v>
      </c>
      <c r="U212" s="304" t="s">
        <v>50</v>
      </c>
      <c r="V212" s="334"/>
      <c r="W212" s="334"/>
      <c r="X212" s="334"/>
      <c r="Y212" s="334"/>
      <c r="Z212" s="334"/>
      <c r="AB212" s="306" t="s">
        <v>311</v>
      </c>
      <c r="AC212" s="334" t="s">
        <v>1702</v>
      </c>
      <c r="AQ212" s="322"/>
      <c r="AR212" s="326"/>
      <c r="AS212" t="b">
        <v>1</v>
      </c>
      <c r="AT212"/>
      <c r="AU212"/>
      <c r="AV212"/>
      <c r="AW212" s="334"/>
      <c r="AX212" s="334"/>
      <c r="AY212" s="334"/>
    </row>
    <row r="213" spans="1:51">
      <c r="A213" s="277" t="s">
        <v>76</v>
      </c>
      <c r="B213" s="334" t="str">
        <f>'Ince 2006'!A12</f>
        <v>Black Sea, Station 30</v>
      </c>
      <c r="C213" s="334">
        <f>'Ince 2006'!B12</f>
        <v>0.01</v>
      </c>
      <c r="H213" s="336">
        <f>'Ince 2006'!E12</f>
        <v>0.96799999999999997</v>
      </c>
      <c r="M213" s="27">
        <f>'Ince 2006'!F12</f>
        <v>0.25619834710743805</v>
      </c>
      <c r="O213" s="304" t="s">
        <v>156</v>
      </c>
      <c r="P213" s="304"/>
      <c r="R213" s="304" t="s">
        <v>157</v>
      </c>
      <c r="S213" s="304" t="s">
        <v>316</v>
      </c>
      <c r="T213" s="304" t="s">
        <v>49</v>
      </c>
      <c r="U213" s="304" t="s">
        <v>50</v>
      </c>
      <c r="V213" s="334"/>
      <c r="W213" s="334"/>
      <c r="X213" s="334"/>
      <c r="Y213" s="334"/>
      <c r="Z213" s="334"/>
      <c r="AB213" s="306" t="s">
        <v>311</v>
      </c>
      <c r="AC213" s="334" t="s">
        <v>1702</v>
      </c>
      <c r="AQ213" s="322"/>
      <c r="AR213" s="326"/>
      <c r="AS213" t="b">
        <v>1</v>
      </c>
      <c r="AT213"/>
      <c r="AU213"/>
      <c r="AV213"/>
      <c r="AW213" s="334"/>
      <c r="AX213" s="334"/>
      <c r="AY213" s="334"/>
    </row>
    <row r="214" spans="1:51">
      <c r="A214" s="277" t="s">
        <v>76</v>
      </c>
      <c r="B214" s="334" t="str">
        <f>'Ince 2006'!A8</f>
        <v>Black Sea, Station 5-bottom</v>
      </c>
      <c r="C214" s="334">
        <f>'Ince 2006'!B8</f>
        <v>0.26</v>
      </c>
      <c r="H214" s="27">
        <f>'Ince 2006'!E8</f>
        <v>1.0009999999999999</v>
      </c>
      <c r="M214" s="27">
        <f>'Ince 2006'!F8</f>
        <v>0.2937062937062937</v>
      </c>
      <c r="O214" s="304" t="s">
        <v>156</v>
      </c>
      <c r="P214" s="286"/>
      <c r="R214" s="304" t="s">
        <v>157</v>
      </c>
      <c r="S214" s="304" t="s">
        <v>316</v>
      </c>
      <c r="T214" s="304" t="s">
        <v>49</v>
      </c>
      <c r="U214" s="304" t="s">
        <v>50</v>
      </c>
      <c r="V214" s="334"/>
      <c r="W214" s="334"/>
      <c r="X214" s="334"/>
      <c r="Y214" s="326"/>
      <c r="Z214" s="334"/>
      <c r="AB214" s="306" t="s">
        <v>311</v>
      </c>
      <c r="AC214" s="334" t="s">
        <v>1702</v>
      </c>
      <c r="AQ214" s="322"/>
      <c r="AR214" s="326"/>
      <c r="AS214" t="b">
        <v>1</v>
      </c>
      <c r="AT214"/>
      <c r="AU214"/>
      <c r="AV214"/>
      <c r="AW214" s="334"/>
      <c r="AX214" s="334"/>
      <c r="AY214" s="334"/>
    </row>
    <row r="215" spans="1:51">
      <c r="A215" s="277" t="s">
        <v>76</v>
      </c>
      <c r="B215" s="334" t="str">
        <f>'Ince 2006'!A7</f>
        <v>Black Sea, Station 5-middle</v>
      </c>
      <c r="C215" s="334">
        <f>'Ince 2006'!B7</f>
        <v>0.11</v>
      </c>
      <c r="H215" s="336">
        <f>'Ince 2006'!E7</f>
        <v>0.82200000000000006</v>
      </c>
      <c r="M215" s="27">
        <f>'Ince 2006'!F7</f>
        <v>0.36131386861313869</v>
      </c>
      <c r="O215" s="304" t="s">
        <v>156</v>
      </c>
      <c r="P215" s="327"/>
      <c r="R215" s="304" t="s">
        <v>157</v>
      </c>
      <c r="S215" s="304" t="s">
        <v>316</v>
      </c>
      <c r="T215" s="304" t="s">
        <v>49</v>
      </c>
      <c r="U215" s="304" t="s">
        <v>50</v>
      </c>
      <c r="V215" s="334"/>
      <c r="W215" s="334"/>
      <c r="X215" s="334"/>
      <c r="Y215" s="327"/>
      <c r="Z215" s="334"/>
      <c r="AB215" s="306" t="s">
        <v>311</v>
      </c>
      <c r="AC215" s="334" t="s">
        <v>1702</v>
      </c>
      <c r="AQ215" s="322"/>
      <c r="AR215" s="326"/>
      <c r="AS215" t="b">
        <v>1</v>
      </c>
      <c r="AT215"/>
      <c r="AU215"/>
      <c r="AV215"/>
      <c r="AW215" s="334"/>
      <c r="AX215" s="334"/>
      <c r="AY215" s="334"/>
    </row>
    <row r="216" spans="1:51">
      <c r="A216" s="277" t="s">
        <v>77</v>
      </c>
      <c r="B216" s="334" t="str">
        <f>'Ince 2006'!A6</f>
        <v>Black Sea, Station 5-top</v>
      </c>
      <c r="C216" s="334">
        <f>'Ince 2006'!B6</f>
        <v>5.0000000000000001E-3</v>
      </c>
      <c r="H216" s="27">
        <f>'Ince 2006'!E6</f>
        <v>0.84200000000000008</v>
      </c>
      <c r="M216" s="27">
        <f>'Ince 2006'!F6</f>
        <v>0.37173396674584325</v>
      </c>
      <c r="O216" s="304" t="s">
        <v>156</v>
      </c>
      <c r="P216" s="293"/>
      <c r="R216" s="304" t="s">
        <v>157</v>
      </c>
      <c r="S216" s="304" t="s">
        <v>316</v>
      </c>
      <c r="T216" s="304" t="s">
        <v>49</v>
      </c>
      <c r="U216" s="304" t="s">
        <v>50</v>
      </c>
      <c r="V216" s="334"/>
      <c r="W216" s="334"/>
      <c r="X216" s="334"/>
      <c r="Y216" s="334"/>
      <c r="Z216" s="334"/>
      <c r="AB216" s="306" t="s">
        <v>311</v>
      </c>
      <c r="AC216" s="334" t="s">
        <v>1702</v>
      </c>
      <c r="AQ216" s="322"/>
      <c r="AR216" s="326"/>
      <c r="AS216" t="b">
        <v>1</v>
      </c>
      <c r="AT216"/>
      <c r="AU216"/>
      <c r="AV216"/>
      <c r="AW216" s="334"/>
      <c r="AX216" s="334"/>
      <c r="AY216" s="334"/>
    </row>
    <row r="217" spans="1:51">
      <c r="A217" s="277" t="s">
        <v>76</v>
      </c>
      <c r="B217" s="334" t="str">
        <f>'Ince 2006'!A9</f>
        <v>Black Sea, Station 7</v>
      </c>
      <c r="C217" s="334">
        <f>'Ince 2006'!B9</f>
        <v>0.01</v>
      </c>
      <c r="H217" s="27">
        <f>'Ince 2006'!E9</f>
        <v>0.8869999999999999</v>
      </c>
      <c r="M217" s="27">
        <f>'Ince 2006'!F9</f>
        <v>0.27508455467869225</v>
      </c>
      <c r="O217" s="304" t="s">
        <v>156</v>
      </c>
      <c r="P217" s="293"/>
      <c r="R217" s="304" t="s">
        <v>157</v>
      </c>
      <c r="S217" s="304" t="s">
        <v>316</v>
      </c>
      <c r="T217" s="304" t="s">
        <v>49</v>
      </c>
      <c r="U217" s="304" t="s">
        <v>50</v>
      </c>
      <c r="V217" s="334"/>
      <c r="W217" s="334"/>
      <c r="X217" s="334"/>
      <c r="Y217" s="328"/>
      <c r="Z217" s="334"/>
      <c r="AB217" s="306" t="s">
        <v>311</v>
      </c>
      <c r="AC217" s="334" t="s">
        <v>1702</v>
      </c>
      <c r="AQ217" s="322"/>
      <c r="AR217" s="326"/>
      <c r="AS217" t="b">
        <v>1</v>
      </c>
      <c r="AT217"/>
      <c r="AU217"/>
      <c r="AV217"/>
      <c r="AW217" s="334"/>
      <c r="AX217" s="334"/>
      <c r="AY217" s="334"/>
    </row>
    <row r="218" spans="1:51">
      <c r="A218" s="334" t="s">
        <v>13</v>
      </c>
      <c r="B218" s="334" t="s">
        <v>10</v>
      </c>
      <c r="C218" s="334">
        <f>'Isshi 2004'!C7</f>
        <v>6.8493150684931503E-3</v>
      </c>
      <c r="D218" s="301">
        <f>'Isshi 2004'!E7</f>
        <v>355450236.96682459</v>
      </c>
      <c r="E218" s="301">
        <f>'Isshi 2004'!H7</f>
        <v>273963621.37759191</v>
      </c>
      <c r="G218" s="301">
        <f>E218</f>
        <v>273963621.37759191</v>
      </c>
      <c r="H218" s="27">
        <f>G218/D218</f>
        <v>0.77075098814229204</v>
      </c>
      <c r="O218" s="304" t="s">
        <v>156</v>
      </c>
      <c r="P218" s="323"/>
      <c r="R218" s="304" t="s">
        <v>58</v>
      </c>
      <c r="S218" s="304" t="s">
        <v>316</v>
      </c>
      <c r="T218" s="304" t="s">
        <v>47</v>
      </c>
      <c r="U218" s="304" t="s">
        <v>47</v>
      </c>
      <c r="V218" s="334"/>
      <c r="W218" s="334"/>
      <c r="X218" s="334"/>
      <c r="Y218" s="334"/>
      <c r="Z218" s="334"/>
      <c r="AB218" s="306" t="s">
        <v>1739</v>
      </c>
      <c r="AC218" s="334" t="s">
        <v>1702</v>
      </c>
      <c r="AQ218" s="322">
        <v>0.5</v>
      </c>
      <c r="AR218" s="326" t="s">
        <v>162</v>
      </c>
      <c r="AT218"/>
      <c r="AU218"/>
      <c r="AV218"/>
      <c r="AW218" s="334"/>
      <c r="AX218" s="334"/>
      <c r="AY218" s="334"/>
    </row>
    <row r="219" spans="1:51">
      <c r="A219" s="334" t="s">
        <v>13</v>
      </c>
      <c r="B219" s="334" t="s">
        <v>10</v>
      </c>
      <c r="C219" s="334">
        <f>'Isshi 2004'!C8</f>
        <v>1.6438356164383564E-2</v>
      </c>
      <c r="D219" s="301">
        <f>'Isshi 2004'!E8</f>
        <v>4312796208.5308056</v>
      </c>
      <c r="E219" s="301">
        <f>'Isshi 2004'!H8</f>
        <v>3261587646.5041924</v>
      </c>
      <c r="G219" s="301">
        <f>E219</f>
        <v>3261587646.5041924</v>
      </c>
      <c r="H219" s="27">
        <f>G219/D219</f>
        <v>0.75625823451910401</v>
      </c>
      <c r="O219" s="304" t="s">
        <v>156</v>
      </c>
      <c r="P219" s="334"/>
      <c r="R219" s="304" t="s">
        <v>58</v>
      </c>
      <c r="S219" s="304" t="s">
        <v>316</v>
      </c>
      <c r="T219" s="304" t="s">
        <v>47</v>
      </c>
      <c r="U219" s="304" t="s">
        <v>47</v>
      </c>
      <c r="V219" s="334"/>
      <c r="W219" s="334"/>
      <c r="X219" s="334"/>
      <c r="Y219" s="326"/>
      <c r="Z219" s="334"/>
      <c r="AB219" s="306" t="s">
        <v>1739</v>
      </c>
      <c r="AC219" s="334" t="s">
        <v>1702</v>
      </c>
      <c r="AQ219" s="322">
        <v>0.5</v>
      </c>
      <c r="AR219" s="326" t="s">
        <v>162</v>
      </c>
      <c r="AT219"/>
      <c r="AU219"/>
      <c r="AV219"/>
      <c r="AW219" s="334"/>
      <c r="AX219" s="334"/>
      <c r="AY219" s="334"/>
    </row>
    <row r="220" spans="1:51">
      <c r="A220" s="334" t="s">
        <v>13</v>
      </c>
      <c r="B220" s="328" t="s">
        <v>10</v>
      </c>
      <c r="C220" s="334">
        <f>'Isshi 2004'!C9</f>
        <v>2.7397260273972601E-2</v>
      </c>
      <c r="D220" s="301">
        <f>'Isshi 2004'!E9</f>
        <v>4881516587.6777248</v>
      </c>
      <c r="E220" s="301">
        <f>'Isshi 2004'!H9</f>
        <v>3974673585.2237568</v>
      </c>
      <c r="G220" s="301">
        <f>E220</f>
        <v>3974673585.2237568</v>
      </c>
      <c r="H220" s="27">
        <f>G220/D220</f>
        <v>0.814229249011857</v>
      </c>
      <c r="O220" s="304" t="s">
        <v>156</v>
      </c>
      <c r="P220" s="334"/>
      <c r="R220" s="304" t="s">
        <v>58</v>
      </c>
      <c r="S220" s="304" t="s">
        <v>316</v>
      </c>
      <c r="T220" s="304" t="s">
        <v>47</v>
      </c>
      <c r="U220" s="304" t="s">
        <v>47</v>
      </c>
      <c r="V220" s="334"/>
      <c r="W220" s="334"/>
      <c r="X220" s="334"/>
      <c r="Y220" s="326"/>
      <c r="Z220" s="334"/>
      <c r="AB220" s="306" t="s">
        <v>1739</v>
      </c>
      <c r="AC220" s="334" t="s">
        <v>1702</v>
      </c>
      <c r="AQ220" s="322">
        <v>0.5</v>
      </c>
      <c r="AR220" s="326" t="s">
        <v>162</v>
      </c>
      <c r="AT220"/>
      <c r="AU220"/>
      <c r="AV220"/>
      <c r="AW220" s="334"/>
      <c r="AX220" s="334"/>
      <c r="AY220" s="334"/>
    </row>
    <row r="221" spans="1:51">
      <c r="A221" s="334" t="s">
        <v>13</v>
      </c>
      <c r="B221" s="334" t="s">
        <v>10</v>
      </c>
      <c r="C221" s="334">
        <f>'Isshi 2004'!C10</f>
        <v>3.5616438356164383E-2</v>
      </c>
      <c r="D221" s="301">
        <f>'Isshi 2004'!E10</f>
        <v>4170616113.7440758</v>
      </c>
      <c r="E221" s="301">
        <f>'Isshi 2004'!H10</f>
        <v>2796895391.1669712</v>
      </c>
      <c r="G221" s="301">
        <f>E221</f>
        <v>2796895391.1669712</v>
      </c>
      <c r="H221" s="27">
        <f>G221/D221</f>
        <v>0.67061923583662608</v>
      </c>
      <c r="O221" s="304" t="s">
        <v>156</v>
      </c>
      <c r="P221" s="293"/>
      <c r="R221" s="304" t="s">
        <v>58</v>
      </c>
      <c r="S221" s="304" t="s">
        <v>316</v>
      </c>
      <c r="T221" s="304" t="s">
        <v>47</v>
      </c>
      <c r="U221" s="304" t="s">
        <v>47</v>
      </c>
      <c r="V221" s="334"/>
      <c r="W221" s="334"/>
      <c r="X221" s="334"/>
      <c r="Y221" s="326"/>
      <c r="Z221" s="334"/>
      <c r="AB221" s="306" t="s">
        <v>1739</v>
      </c>
      <c r="AC221" s="334" t="s">
        <v>1702</v>
      </c>
      <c r="AQ221" s="322">
        <v>0.5</v>
      </c>
      <c r="AR221" s="326" t="s">
        <v>162</v>
      </c>
      <c r="AT221"/>
      <c r="AU221"/>
      <c r="AV221"/>
      <c r="AW221" s="334"/>
      <c r="AX221" s="334"/>
      <c r="AY221" s="334"/>
    </row>
    <row r="222" spans="1:51">
      <c r="A222" s="334" t="s">
        <v>13</v>
      </c>
      <c r="B222" s="334" t="s">
        <v>10</v>
      </c>
      <c r="C222" s="334">
        <f>'Isshi 2004'!C11</f>
        <v>4.6575342465753428E-2</v>
      </c>
      <c r="D222" s="301">
        <f>'Isshi 2004'!E11</f>
        <v>2654028436.0189571</v>
      </c>
      <c r="E222" s="301">
        <f>'Isshi 2004'!H11</f>
        <v>1360233282.7554333</v>
      </c>
      <c r="G222" s="301">
        <f>E222</f>
        <v>1360233282.7554333</v>
      </c>
      <c r="H222" s="27">
        <f>G222/D222</f>
        <v>0.51251646903820791</v>
      </c>
      <c r="O222" s="304" t="s">
        <v>156</v>
      </c>
      <c r="P222" s="304"/>
      <c r="R222" s="304" t="s">
        <v>58</v>
      </c>
      <c r="S222" s="304" t="s">
        <v>316</v>
      </c>
      <c r="T222" s="304" t="s">
        <v>47</v>
      </c>
      <c r="U222" s="304" t="s">
        <v>47</v>
      </c>
      <c r="V222" s="334"/>
      <c r="W222" s="334"/>
      <c r="X222" s="334"/>
      <c r="Y222" s="334"/>
      <c r="Z222" s="334"/>
      <c r="AB222" s="306" t="s">
        <v>1739</v>
      </c>
      <c r="AC222" s="334" t="s">
        <v>1702</v>
      </c>
      <c r="AQ222" s="322">
        <v>0.5</v>
      </c>
      <c r="AR222" s="326" t="s">
        <v>162</v>
      </c>
      <c r="AT222"/>
      <c r="AU222"/>
      <c r="AV222"/>
      <c r="AW222" s="334"/>
      <c r="AX222" s="334"/>
      <c r="AY222" s="334"/>
    </row>
    <row r="223" spans="1:51">
      <c r="A223" s="334" t="s">
        <v>13</v>
      </c>
      <c r="B223" s="328" t="s">
        <v>10</v>
      </c>
      <c r="C223" s="334">
        <f>'Isshi 2004'!C12</f>
        <v>5.7534246575342465E-2</v>
      </c>
      <c r="D223" s="301">
        <f>'Isshi 2004'!E12</f>
        <v>1800947867.298578</v>
      </c>
      <c r="E223" s="301">
        <f>'Isshi 2004'!H12</f>
        <v>823358247.63189173</v>
      </c>
      <c r="G223" s="301">
        <f>E223</f>
        <v>823358247.63189173</v>
      </c>
      <c r="H223" s="27">
        <f>G223/D223</f>
        <v>0.45718050065876098</v>
      </c>
      <c r="O223" s="304" t="s">
        <v>156</v>
      </c>
      <c r="P223" s="328"/>
      <c r="R223" s="304" t="s">
        <v>58</v>
      </c>
      <c r="S223" s="304" t="s">
        <v>316</v>
      </c>
      <c r="T223" s="304" t="s">
        <v>47</v>
      </c>
      <c r="U223" s="304" t="s">
        <v>47</v>
      </c>
      <c r="V223" s="334"/>
      <c r="W223" s="334"/>
      <c r="X223" s="334"/>
      <c r="Y223" s="328"/>
      <c r="Z223" s="334"/>
      <c r="AB223" s="306" t="s">
        <v>1739</v>
      </c>
      <c r="AC223" s="334" t="s">
        <v>1702</v>
      </c>
      <c r="AQ223" s="322">
        <v>0.5</v>
      </c>
      <c r="AR223" s="326" t="s">
        <v>162</v>
      </c>
      <c r="AT223"/>
      <c r="AU223"/>
      <c r="AV223"/>
      <c r="AW223" s="334"/>
      <c r="AX223" s="334"/>
      <c r="AY223" s="334"/>
    </row>
    <row r="224" spans="1:51">
      <c r="A224" s="334" t="s">
        <v>13</v>
      </c>
      <c r="B224" s="334" t="s">
        <v>10</v>
      </c>
      <c r="C224" s="334">
        <f>'Isshi 2004'!C13</f>
        <v>7.1232876712328766E-2</v>
      </c>
      <c r="D224" s="301">
        <f>'Isshi 2004'!E13</f>
        <v>1563981042.6540284</v>
      </c>
      <c r="E224" s="301">
        <f>'Isshi 2004'!H13</f>
        <v>760354419.94642437</v>
      </c>
      <c r="G224" s="301">
        <f>E224</f>
        <v>760354419.94642437</v>
      </c>
      <c r="H224" s="27">
        <f>G224/D224</f>
        <v>0.48616600790513803</v>
      </c>
      <c r="O224" s="229" t="s">
        <v>156</v>
      </c>
      <c r="P224" s="327"/>
      <c r="R224" s="304" t="s">
        <v>58</v>
      </c>
      <c r="S224" s="304" t="s">
        <v>316</v>
      </c>
      <c r="T224" s="304" t="s">
        <v>47</v>
      </c>
      <c r="U224" s="304" t="s">
        <v>47</v>
      </c>
      <c r="V224" s="334"/>
      <c r="W224" s="334"/>
      <c r="X224" s="334"/>
      <c r="Y224" s="326"/>
      <c r="Z224" s="334"/>
      <c r="AB224" s="306" t="s">
        <v>1739</v>
      </c>
      <c r="AC224" s="334" t="s">
        <v>1702</v>
      </c>
      <c r="AQ224" s="322">
        <v>0.5</v>
      </c>
      <c r="AR224" s="326" t="s">
        <v>162</v>
      </c>
      <c r="AT224"/>
      <c r="AU224"/>
      <c r="AV224"/>
      <c r="AW224" s="334"/>
      <c r="AX224" s="334"/>
      <c r="AY224" s="334"/>
    </row>
    <row r="225" spans="1:51">
      <c r="A225" s="334" t="s">
        <v>13</v>
      </c>
      <c r="B225" s="334" t="s">
        <v>10</v>
      </c>
      <c r="C225" s="334">
        <f>'Isshi 2004'!C14</f>
        <v>9.0410958904109592E-2</v>
      </c>
      <c r="D225" s="301">
        <f>'Isshi 2004'!E14</f>
        <v>1327014218.0094786</v>
      </c>
      <c r="E225" s="301">
        <f>'Isshi 2004'!H14</f>
        <v>573465959.82491279</v>
      </c>
      <c r="G225" s="301">
        <f>E225</f>
        <v>573465959.82491279</v>
      </c>
      <c r="H225" s="27">
        <f>G225/D225</f>
        <v>0.43214756258234505</v>
      </c>
      <c r="O225" s="229" t="s">
        <v>156</v>
      </c>
      <c r="P225" s="293"/>
      <c r="R225" s="304" t="s">
        <v>58</v>
      </c>
      <c r="S225" s="304" t="s">
        <v>316</v>
      </c>
      <c r="T225" s="304" t="s">
        <v>47</v>
      </c>
      <c r="U225" s="304" t="s">
        <v>47</v>
      </c>
      <c r="V225" s="334"/>
      <c r="W225" s="334"/>
      <c r="X225" s="334"/>
      <c r="Y225" s="326"/>
      <c r="Z225" s="334"/>
      <c r="AB225" s="306" t="s">
        <v>1739</v>
      </c>
      <c r="AC225" s="334" t="s">
        <v>1702</v>
      </c>
      <c r="AQ225" s="322">
        <v>0.5</v>
      </c>
      <c r="AR225" s="326" t="s">
        <v>162</v>
      </c>
      <c r="AT225"/>
      <c r="AU225"/>
      <c r="AV225"/>
      <c r="AW225" s="334"/>
      <c r="AX225" s="334"/>
      <c r="AY225" s="334"/>
    </row>
    <row r="226" spans="1:51">
      <c r="A226" s="334" t="s">
        <v>13</v>
      </c>
      <c r="B226" s="334" t="s">
        <v>10</v>
      </c>
      <c r="C226" s="334">
        <f>'Isshi 2004'!C15</f>
        <v>0.1095890410958904</v>
      </c>
      <c r="D226" s="301">
        <f>'Isshi 2004'!E15</f>
        <v>1421800947.8672984</v>
      </c>
      <c r="E226" s="301">
        <f>'Isshi 2004'!H15</f>
        <v>524511548.62034637</v>
      </c>
      <c r="G226" s="301">
        <f>E226</f>
        <v>524511548.62034637</v>
      </c>
      <c r="H226" s="27">
        <f>G226/D226</f>
        <v>0.36890645586297699</v>
      </c>
      <c r="O226" s="229" t="s">
        <v>156</v>
      </c>
      <c r="P226" s="286"/>
      <c r="R226" s="304" t="s">
        <v>58</v>
      </c>
      <c r="S226" s="304" t="s">
        <v>316</v>
      </c>
      <c r="T226" s="304" t="s">
        <v>47</v>
      </c>
      <c r="U226" s="304" t="s">
        <v>47</v>
      </c>
      <c r="V226" s="334"/>
      <c r="W226" s="334"/>
      <c r="X226" s="334"/>
      <c r="Y226" s="328"/>
      <c r="Z226" s="334"/>
      <c r="AB226" s="306" t="s">
        <v>1739</v>
      </c>
      <c r="AC226" s="334" t="s">
        <v>1702</v>
      </c>
      <c r="AQ226" s="322">
        <v>0.5</v>
      </c>
      <c r="AR226" s="326" t="s">
        <v>162</v>
      </c>
      <c r="AS226" s="322"/>
      <c r="AT226"/>
      <c r="AU226"/>
      <c r="AV226"/>
      <c r="AW226" s="334"/>
      <c r="AX226" s="334"/>
      <c r="AY226" s="334"/>
    </row>
    <row r="227" spans="1:51">
      <c r="A227" s="334" t="s">
        <v>13</v>
      </c>
      <c r="B227" s="327" t="s">
        <v>10</v>
      </c>
      <c r="C227" s="334">
        <f>'Isshi 2004'!C16</f>
        <v>0.13150684931506851</v>
      </c>
      <c r="D227" s="301">
        <f>'Isshi 2004'!E16</f>
        <v>1232227488.1516588</v>
      </c>
      <c r="E227" s="301">
        <f>'Isshi 2004'!H16</f>
        <v>438341794.20414656</v>
      </c>
      <c r="G227" s="301">
        <f>E227</f>
        <v>438341794.20414656</v>
      </c>
      <c r="H227" s="336">
        <f>G227/D227</f>
        <v>0.35573122529644202</v>
      </c>
      <c r="O227" s="229" t="s">
        <v>156</v>
      </c>
      <c r="P227" s="293"/>
      <c r="R227" s="304" t="s">
        <v>58</v>
      </c>
      <c r="S227" s="304" t="s">
        <v>316</v>
      </c>
      <c r="T227" s="304" t="s">
        <v>47</v>
      </c>
      <c r="U227" s="304" t="s">
        <v>47</v>
      </c>
      <c r="V227" s="334"/>
      <c r="W227" s="334"/>
      <c r="X227" s="334"/>
      <c r="Y227" s="328"/>
      <c r="Z227" s="334"/>
      <c r="AB227" s="306" t="s">
        <v>1739</v>
      </c>
      <c r="AC227" s="334" t="s">
        <v>1702</v>
      </c>
      <c r="AQ227" s="322">
        <v>0.5</v>
      </c>
      <c r="AR227" s="326" t="s">
        <v>162</v>
      </c>
      <c r="AS227" s="322"/>
      <c r="AT227"/>
      <c r="AU227"/>
      <c r="AV227"/>
      <c r="AW227" s="334"/>
      <c r="AX227" s="334"/>
      <c r="AY227" s="334"/>
    </row>
    <row r="228" spans="1:51">
      <c r="A228" s="334" t="s">
        <v>13</v>
      </c>
      <c r="B228" s="334" t="s">
        <v>10</v>
      </c>
      <c r="C228" s="334">
        <f>'Isshi 2004'!C17</f>
        <v>0.14794520547945206</v>
      </c>
      <c r="D228" s="301">
        <f>'Isshi 2004'!E17</f>
        <v>1327014218.0094786</v>
      </c>
      <c r="E228" s="301">
        <f>'Isshi 2004'!H17</f>
        <v>477305509.24451578</v>
      </c>
      <c r="G228" s="301">
        <f>E228</f>
        <v>477305509.24451578</v>
      </c>
      <c r="H228" s="27">
        <f>G228/D228</f>
        <v>0.35968379446640297</v>
      </c>
      <c r="O228" s="229" t="s">
        <v>156</v>
      </c>
      <c r="P228" s="293"/>
      <c r="R228" s="304" t="s">
        <v>58</v>
      </c>
      <c r="S228" s="304" t="s">
        <v>316</v>
      </c>
      <c r="T228" s="304" t="s">
        <v>47</v>
      </c>
      <c r="U228" s="304" t="s">
        <v>47</v>
      </c>
      <c r="V228" s="334"/>
      <c r="W228" s="334"/>
      <c r="X228" s="334"/>
      <c r="Y228" s="326"/>
      <c r="Z228" s="334"/>
      <c r="AB228" s="306" t="s">
        <v>1739</v>
      </c>
      <c r="AC228" s="334" t="s">
        <v>1702</v>
      </c>
      <c r="AQ228" s="322">
        <v>0.5</v>
      </c>
      <c r="AR228" s="326" t="s">
        <v>162</v>
      </c>
      <c r="AS228" s="322"/>
      <c r="AT228"/>
      <c r="AU228"/>
      <c r="AV228"/>
      <c r="AW228" s="334"/>
      <c r="AX228" s="334"/>
      <c r="AY228" s="334"/>
    </row>
    <row r="229" spans="1:51">
      <c r="A229" s="334" t="s">
        <v>13</v>
      </c>
      <c r="B229" s="334" t="s">
        <v>10</v>
      </c>
      <c r="C229" s="334">
        <f>'Isshi 2004'!C18</f>
        <v>0.16986301369863013</v>
      </c>
      <c r="D229" s="301">
        <f>'Isshi 2004'!E18</f>
        <v>1421800947.8672984</v>
      </c>
      <c r="E229" s="301">
        <f>'Isshi 2004'!H18</f>
        <v>428975516.55021179</v>
      </c>
      <c r="G229" s="301">
        <f>E229</f>
        <v>428975516.55021179</v>
      </c>
      <c r="H229" s="27">
        <f>G229/D229</f>
        <v>0.30171277997364898</v>
      </c>
      <c r="O229" s="229" t="s">
        <v>156</v>
      </c>
      <c r="P229" s="334"/>
      <c r="R229" s="304" t="s">
        <v>58</v>
      </c>
      <c r="S229" s="304" t="s">
        <v>316</v>
      </c>
      <c r="T229" s="304" t="s">
        <v>47</v>
      </c>
      <c r="U229" s="304" t="s">
        <v>47</v>
      </c>
      <c r="V229" s="334"/>
      <c r="W229" s="334"/>
      <c r="X229" s="334"/>
      <c r="Y229" s="328"/>
      <c r="Z229" s="334"/>
      <c r="AB229" s="306" t="s">
        <v>1739</v>
      </c>
      <c r="AC229" s="334" t="s">
        <v>1702</v>
      </c>
      <c r="AQ229" s="322">
        <v>0.5</v>
      </c>
      <c r="AR229" s="326" t="s">
        <v>162</v>
      </c>
      <c r="AS229" s="322"/>
      <c r="AT229"/>
      <c r="AU229"/>
      <c r="AV229"/>
      <c r="AW229" s="334"/>
      <c r="AX229" s="334"/>
      <c r="AY229" s="334"/>
    </row>
    <row r="230" spans="1:51">
      <c r="A230" s="334" t="s">
        <v>13</v>
      </c>
      <c r="B230" s="328" t="s">
        <v>10</v>
      </c>
      <c r="C230" s="334">
        <f>'Isshi 2004'!C19</f>
        <v>0.19178082191780824</v>
      </c>
      <c r="D230" s="301">
        <f>'Isshi 2004'!E19</f>
        <v>3270142180.0947866</v>
      </c>
      <c r="E230" s="301">
        <f>'Isshi 2004'!H19</f>
        <v>1357173632.055146</v>
      </c>
      <c r="G230" s="301">
        <f>E230</f>
        <v>1357173632.055146</v>
      </c>
      <c r="H230" s="336">
        <f>G230/D230</f>
        <v>0.41501976284584902</v>
      </c>
      <c r="O230" s="229" t="s">
        <v>156</v>
      </c>
      <c r="P230" s="334"/>
      <c r="R230" t="s">
        <v>58</v>
      </c>
      <c r="S230" t="s">
        <v>316</v>
      </c>
      <c r="T230" t="s">
        <v>47</v>
      </c>
      <c r="U230" t="s">
        <v>47</v>
      </c>
      <c r="V230" s="334"/>
      <c r="W230" s="334"/>
      <c r="X230" s="334"/>
      <c r="Y230" s="326"/>
      <c r="Z230" s="334"/>
      <c r="AB230" s="306" t="s">
        <v>1739</v>
      </c>
      <c r="AC230" s="334" t="s">
        <v>1702</v>
      </c>
      <c r="AQ230" s="322">
        <v>0.5</v>
      </c>
      <c r="AR230" s="326" t="s">
        <v>162</v>
      </c>
      <c r="AS230" s="322"/>
      <c r="AT230"/>
      <c r="AU230"/>
      <c r="AV230"/>
      <c r="AW230" s="334"/>
      <c r="AX230" s="334"/>
      <c r="AY230" s="334"/>
    </row>
    <row r="231" spans="1:51">
      <c r="A231" s="334" t="s">
        <v>13</v>
      </c>
      <c r="B231" s="334" t="s">
        <v>10</v>
      </c>
      <c r="C231" s="334">
        <f>'Isshi 2004'!C20</f>
        <v>0.21095890410958906</v>
      </c>
      <c r="D231" s="301">
        <f>'Isshi 2004'!E20</f>
        <v>1611374407.5829382</v>
      </c>
      <c r="E231" s="301">
        <f>'Isshi 2004'!H20</f>
        <v>535001779.59275281</v>
      </c>
      <c r="G231" s="301">
        <f>E231</f>
        <v>535001779.59275281</v>
      </c>
      <c r="H231" s="27">
        <f>G231/D231</f>
        <v>0.33201581027667898</v>
      </c>
      <c r="O231" s="229" t="s">
        <v>156</v>
      </c>
      <c r="P231" s="334"/>
      <c r="R231" t="s">
        <v>58</v>
      </c>
      <c r="S231" t="s">
        <v>316</v>
      </c>
      <c r="T231" t="s">
        <v>47</v>
      </c>
      <c r="U231" t="s">
        <v>47</v>
      </c>
      <c r="V231" s="334"/>
      <c r="W231" s="334"/>
      <c r="X231" s="334"/>
      <c r="Y231" s="326"/>
      <c r="Z231" s="334"/>
      <c r="AB231" s="306" t="s">
        <v>1739</v>
      </c>
      <c r="AC231" s="334" t="s">
        <v>1702</v>
      </c>
      <c r="AQ231" s="322">
        <v>0.5</v>
      </c>
      <c r="AR231" s="326" t="s">
        <v>162</v>
      </c>
      <c r="AS231" s="322"/>
      <c r="AT231"/>
      <c r="AU231"/>
      <c r="AV231"/>
      <c r="AW231" s="334"/>
      <c r="AX231" s="334"/>
      <c r="AY231" s="334"/>
    </row>
    <row r="232" spans="1:51">
      <c r="A232" s="334" t="s">
        <v>13</v>
      </c>
      <c r="B232" s="334" t="s">
        <v>10</v>
      </c>
      <c r="C232" s="334">
        <f>'Isshi 2004'!C21</f>
        <v>0.23561643835616441</v>
      </c>
      <c r="D232" s="301">
        <f>'Isshi 2004'!E21</f>
        <v>1611374407.5829382</v>
      </c>
      <c r="E232" s="301">
        <f>'Isshi 2004'!H21</f>
        <v>456449931.00175345</v>
      </c>
      <c r="G232" s="301">
        <f>E232</f>
        <v>456449931.00175345</v>
      </c>
      <c r="H232" s="27">
        <f>G232/D232</f>
        <v>0.28326745718049995</v>
      </c>
      <c r="O232" s="229" t="s">
        <v>156</v>
      </c>
      <c r="P232" s="293"/>
      <c r="R232" t="s">
        <v>58</v>
      </c>
      <c r="S232" t="s">
        <v>316</v>
      </c>
      <c r="T232" t="s">
        <v>47</v>
      </c>
      <c r="U232" t="s">
        <v>47</v>
      </c>
      <c r="V232" s="334"/>
      <c r="W232" s="334"/>
      <c r="X232" s="334"/>
      <c r="Y232" s="326"/>
      <c r="Z232" s="334"/>
      <c r="AB232" s="306" t="s">
        <v>1739</v>
      </c>
      <c r="AC232" s="334" t="s">
        <v>1702</v>
      </c>
      <c r="AQ232" s="322">
        <v>0.5</v>
      </c>
      <c r="AR232" s="326" t="s">
        <v>162</v>
      </c>
      <c r="AS232" s="322"/>
      <c r="AT232"/>
      <c r="AU232"/>
      <c r="AV232"/>
      <c r="AW232" s="334"/>
      <c r="AX232" s="334"/>
      <c r="AY232" s="334"/>
    </row>
    <row r="233" spans="1:51">
      <c r="A233" s="334" t="s">
        <v>13</v>
      </c>
      <c r="B233" s="334" t="s">
        <v>10</v>
      </c>
      <c r="C233" s="334">
        <f>'Isshi 2004'!C22</f>
        <v>0.27397260273972601</v>
      </c>
      <c r="D233" s="301">
        <f>'Isshi 2004'!E22</f>
        <v>2559241706.1611371</v>
      </c>
      <c r="E233" s="301">
        <f>'Isshi 2004'!H22</f>
        <v>1082367045.6887002</v>
      </c>
      <c r="G233" s="301">
        <f>E233</f>
        <v>1082367045.6887002</v>
      </c>
      <c r="H233" s="336">
        <f>G233/D233</f>
        <v>0.42292490118576997</v>
      </c>
      <c r="O233" s="229" t="s">
        <v>156</v>
      </c>
      <c r="P233" s="293"/>
      <c r="R233" t="s">
        <v>58</v>
      </c>
      <c r="S233" t="s">
        <v>316</v>
      </c>
      <c r="T233" t="s">
        <v>47</v>
      </c>
      <c r="U233" t="s">
        <v>47</v>
      </c>
      <c r="V233" s="334"/>
      <c r="W233" s="334"/>
      <c r="X233" s="334"/>
      <c r="Y233" s="326"/>
      <c r="Z233" s="334"/>
      <c r="AB233" s="306" t="s">
        <v>1739</v>
      </c>
      <c r="AC233" s="334" t="s">
        <v>1702</v>
      </c>
      <c r="AQ233" s="322">
        <v>0.5</v>
      </c>
      <c r="AR233" s="326" t="s">
        <v>162</v>
      </c>
      <c r="AS233" s="322"/>
      <c r="AT233"/>
      <c r="AU233"/>
      <c r="AV233"/>
      <c r="AW233" s="334"/>
      <c r="AX233" s="334"/>
      <c r="AY233" s="334"/>
    </row>
    <row r="234" spans="1:51">
      <c r="A234" s="334" t="s">
        <v>13</v>
      </c>
      <c r="B234" s="334" t="s">
        <v>10</v>
      </c>
      <c r="C234" s="334">
        <f>'Isshi 2004'!C23</f>
        <v>0.32602739726027402</v>
      </c>
      <c r="D234" s="301">
        <f>'Isshi 2004'!E23</f>
        <v>1137440758.2938387</v>
      </c>
      <c r="E234" s="301">
        <f>'Isshi 2004'!H23</f>
        <v>251765543.33776605</v>
      </c>
      <c r="G234" s="301">
        <f>E234</f>
        <v>251765543.33776605</v>
      </c>
      <c r="H234" s="336">
        <f>G234/D234</f>
        <v>0.22134387351778601</v>
      </c>
      <c r="O234" s="229" t="s">
        <v>156</v>
      </c>
      <c r="P234" s="327"/>
      <c r="R234" t="s">
        <v>58</v>
      </c>
      <c r="S234" t="s">
        <v>316</v>
      </c>
      <c r="T234" t="s">
        <v>47</v>
      </c>
      <c r="U234" t="s">
        <v>47</v>
      </c>
      <c r="V234" s="334"/>
      <c r="W234" s="334"/>
      <c r="X234" s="334"/>
      <c r="Y234" s="327"/>
      <c r="Z234" s="334"/>
      <c r="AB234" s="306" t="s">
        <v>1739</v>
      </c>
      <c r="AC234" s="334" t="s">
        <v>1702</v>
      </c>
      <c r="AQ234" s="322">
        <v>0.5</v>
      </c>
      <c r="AR234" s="326" t="s">
        <v>162</v>
      </c>
      <c r="AS234" s="322"/>
      <c r="AT234"/>
      <c r="AU234"/>
      <c r="AV234"/>
      <c r="AW234" s="334"/>
      <c r="AX234" s="334"/>
      <c r="AY234" s="334"/>
    </row>
    <row r="235" spans="1:51">
      <c r="A235" s="334" t="s">
        <v>13</v>
      </c>
      <c r="B235" s="334" t="s">
        <v>10</v>
      </c>
      <c r="C235" s="334">
        <f>'Isshi 2004'!C24</f>
        <v>0.36986301369863012</v>
      </c>
      <c r="D235" s="301">
        <f>'Isshi 2004'!E24</f>
        <v>2037914691.9431279</v>
      </c>
      <c r="E235" s="301">
        <f>'Isshi 2004'!H24</f>
        <v>512834922.47844017</v>
      </c>
      <c r="G235" s="301">
        <f>E235</f>
        <v>512834922.47844017</v>
      </c>
      <c r="H235" s="27">
        <f>G235/D235</f>
        <v>0.251646903820816</v>
      </c>
      <c r="O235" s="229" t="s">
        <v>156</v>
      </c>
      <c r="P235" s="326"/>
      <c r="R235" t="s">
        <v>58</v>
      </c>
      <c r="S235" t="s">
        <v>316</v>
      </c>
      <c r="T235" t="s">
        <v>47</v>
      </c>
      <c r="U235" t="s">
        <v>47</v>
      </c>
      <c r="V235" s="334"/>
      <c r="W235" s="334"/>
      <c r="X235" s="334"/>
      <c r="Y235" s="324"/>
      <c r="Z235" s="334"/>
      <c r="AB235" s="306" t="s">
        <v>1739</v>
      </c>
      <c r="AC235" s="334" t="s">
        <v>1702</v>
      </c>
      <c r="AQ235" s="322">
        <v>0.5</v>
      </c>
      <c r="AR235" s="326" t="s">
        <v>162</v>
      </c>
      <c r="AS235" s="322"/>
      <c r="AT235"/>
      <c r="AU235"/>
      <c r="AV235"/>
      <c r="AW235" s="334"/>
      <c r="AX235" s="334"/>
      <c r="AY235" s="334"/>
    </row>
    <row r="236" spans="1:51">
      <c r="A236" s="334" t="s">
        <v>13</v>
      </c>
      <c r="B236" s="334" t="s">
        <v>9</v>
      </c>
      <c r="C236" s="334">
        <f>'Isshi 2004'!C29</f>
        <v>7.0796460176991149E-3</v>
      </c>
      <c r="D236" s="301">
        <f>'Isshi 2004'!E7</f>
        <v>355450236.96682459</v>
      </c>
      <c r="E236" s="301">
        <f>'Isshi 2004'!F29</f>
        <v>300765585.12577462</v>
      </c>
      <c r="F236" s="301">
        <f>'Isshi 2004'!G29</f>
        <v>3554502.3696682458</v>
      </c>
      <c r="G236" s="301">
        <f>E236+F236</f>
        <v>304320087.49544287</v>
      </c>
      <c r="H236" s="336">
        <f>G236/D236</f>
        <v>0.85615384615384604</v>
      </c>
      <c r="M236" s="27">
        <f>(F236/G236)</f>
        <v>1.1680143755615454E-2</v>
      </c>
      <c r="O236" s="229" t="s">
        <v>1247</v>
      </c>
      <c r="P236" s="328"/>
      <c r="R236" t="s">
        <v>58</v>
      </c>
      <c r="S236" t="s">
        <v>57</v>
      </c>
      <c r="T236" t="s">
        <v>59</v>
      </c>
      <c r="U236" t="s">
        <v>60</v>
      </c>
      <c r="V236" s="313">
        <v>0.55000000000000004</v>
      </c>
      <c r="W236" s="313">
        <v>0.35</v>
      </c>
      <c r="X236" s="306" t="s">
        <v>98</v>
      </c>
      <c r="Y236" s="323" t="s">
        <v>96</v>
      </c>
      <c r="Z236" s="314" t="s">
        <v>99</v>
      </c>
      <c r="AB236" s="334" t="s">
        <v>1739</v>
      </c>
      <c r="AC236" s="334" t="s">
        <v>1702</v>
      </c>
      <c r="AQ236" s="322">
        <v>0.5</v>
      </c>
      <c r="AR236" s="326" t="s">
        <v>162</v>
      </c>
      <c r="AS236" s="322"/>
      <c r="AT236"/>
      <c r="AU236"/>
      <c r="AV236"/>
      <c r="AW236" s="334"/>
      <c r="AX236" s="334"/>
      <c r="AY236" s="334"/>
    </row>
    <row r="237" spans="1:51">
      <c r="A237" s="334" t="s">
        <v>13</v>
      </c>
      <c r="B237" s="334" t="s">
        <v>9</v>
      </c>
      <c r="C237" s="334">
        <f>'Isshi 2004'!C30</f>
        <v>1.7699115044247787E-2</v>
      </c>
      <c r="D237" s="301">
        <f>'Isshi 2004'!E8</f>
        <v>4312796208.5308056</v>
      </c>
      <c r="E237" s="301">
        <f>'Isshi 2004'!F30</f>
        <v>3472353870.4581361</v>
      </c>
      <c r="F237" s="301">
        <f>'Isshi 2004'!G30</f>
        <v>43127962.085308053</v>
      </c>
      <c r="G237" s="301">
        <f>E237+F237</f>
        <v>3515481832.5434442</v>
      </c>
      <c r="H237" s="336">
        <f>G237/D237</f>
        <v>0.81512820512820516</v>
      </c>
      <c r="M237" s="27">
        <f>(F237/G237)</f>
        <v>1.2268008807801193E-2</v>
      </c>
      <c r="O237" s="229" t="s">
        <v>1247</v>
      </c>
      <c r="P237" s="293"/>
      <c r="R237" t="s">
        <v>58</v>
      </c>
      <c r="S237" t="s">
        <v>57</v>
      </c>
      <c r="T237" t="s">
        <v>59</v>
      </c>
      <c r="U237" t="s">
        <v>60</v>
      </c>
      <c r="V237" s="313">
        <v>0.55000000000000004</v>
      </c>
      <c r="W237" s="313">
        <v>0.35</v>
      </c>
      <c r="X237" s="306" t="s">
        <v>98</v>
      </c>
      <c r="Y237" s="324" t="s">
        <v>96</v>
      </c>
      <c r="Z237" s="314" t="s">
        <v>99</v>
      </c>
      <c r="AB237" s="334" t="s">
        <v>1739</v>
      </c>
      <c r="AC237" s="334" t="s">
        <v>1702</v>
      </c>
      <c r="AQ237" s="322">
        <v>0.5</v>
      </c>
      <c r="AR237" s="326" t="s">
        <v>162</v>
      </c>
      <c r="AS237" s="322"/>
      <c r="AT237"/>
      <c r="AU237"/>
      <c r="AV237"/>
      <c r="AW237" s="334"/>
      <c r="AX237" s="334"/>
      <c r="AY237" s="334"/>
    </row>
    <row r="238" spans="1:51">
      <c r="A238" s="334" t="s">
        <v>13</v>
      </c>
      <c r="B238" s="334" t="s">
        <v>9</v>
      </c>
      <c r="C238" s="334">
        <f>'Isshi 2004'!C31</f>
        <v>3.1858407079646017E-2</v>
      </c>
      <c r="D238" s="301">
        <f>'Isshi 2004'!E9</f>
        <v>4881516587.6777248</v>
      </c>
      <c r="E238" s="301">
        <f>'Isshi 2004'!F31</f>
        <v>4506015311.7025156</v>
      </c>
      <c r="F238" s="301">
        <f>'Isshi 2004'!G31</f>
        <v>48815165.876777247</v>
      </c>
      <c r="G238" s="301">
        <f>E238+F238</f>
        <v>4554830477.5792933</v>
      </c>
      <c r="H238" s="336">
        <f>G238/D238</f>
        <v>0.93307692307692325</v>
      </c>
      <c r="M238" s="27">
        <f>(F238/G238)</f>
        <v>1.0717230008244021E-2</v>
      </c>
      <c r="O238" s="229" t="s">
        <v>1247</v>
      </c>
      <c r="P238" s="293"/>
      <c r="R238" t="s">
        <v>58</v>
      </c>
      <c r="S238" t="s">
        <v>57</v>
      </c>
      <c r="T238" t="s">
        <v>59</v>
      </c>
      <c r="U238" t="s">
        <v>60</v>
      </c>
      <c r="V238" s="313">
        <v>0.55000000000000004</v>
      </c>
      <c r="W238" s="313">
        <v>0.35</v>
      </c>
      <c r="X238" s="306" t="s">
        <v>98</v>
      </c>
      <c r="Y238" s="311" t="s">
        <v>96</v>
      </c>
      <c r="Z238" s="314" t="s">
        <v>99</v>
      </c>
      <c r="AB238" s="334" t="s">
        <v>1739</v>
      </c>
      <c r="AC238" s="334" t="s">
        <v>1702</v>
      </c>
      <c r="AQ238" s="322">
        <v>0.5</v>
      </c>
      <c r="AR238" s="326" t="s">
        <v>162</v>
      </c>
      <c r="AS238" s="322"/>
      <c r="AT238"/>
      <c r="AU238"/>
      <c r="AV238"/>
      <c r="AW238" s="334"/>
      <c r="AX238" s="334"/>
      <c r="AY238" s="334"/>
    </row>
    <row r="239" spans="1:51">
      <c r="A239" s="334" t="s">
        <v>13</v>
      </c>
      <c r="B239" s="334" t="s">
        <v>9</v>
      </c>
      <c r="C239" s="334">
        <f>'Isshi 2004'!C32</f>
        <v>3.8938053097345132E-2</v>
      </c>
      <c r="D239" s="301">
        <f>'Isshi 2004'!E10</f>
        <v>4170616113.7440758</v>
      </c>
      <c r="E239" s="301">
        <f>'Isshi 2004'!F32</f>
        <v>3828411714.6676388</v>
      </c>
      <c r="F239" s="301">
        <f>'Isshi 2004'!G32</f>
        <v>41706161.137440756</v>
      </c>
      <c r="G239" s="301">
        <f>E239+F239</f>
        <v>3870117875.8050795</v>
      </c>
      <c r="H239" s="27">
        <f>G239/D239</f>
        <v>0.92794871794871792</v>
      </c>
      <c r="M239" s="27">
        <f>(F239/G239)</f>
        <v>1.0776457584968223E-2</v>
      </c>
      <c r="O239" s="229" t="s">
        <v>1247</v>
      </c>
      <c r="P239" s="293"/>
      <c r="R239" t="s">
        <v>58</v>
      </c>
      <c r="S239" t="s">
        <v>57</v>
      </c>
      <c r="T239" t="s">
        <v>59</v>
      </c>
      <c r="U239" t="s">
        <v>60</v>
      </c>
      <c r="V239" s="313">
        <v>0.55000000000000004</v>
      </c>
      <c r="W239" s="313">
        <v>0.35</v>
      </c>
      <c r="X239" s="306" t="s">
        <v>98</v>
      </c>
      <c r="Y239" s="327" t="s">
        <v>96</v>
      </c>
      <c r="Z239" s="314" t="s">
        <v>99</v>
      </c>
      <c r="AB239" s="334" t="s">
        <v>1739</v>
      </c>
      <c r="AC239" s="334" t="s">
        <v>1702</v>
      </c>
      <c r="AQ239" s="322">
        <v>0.5</v>
      </c>
      <c r="AR239" s="326" t="s">
        <v>162</v>
      </c>
      <c r="AS239" s="322"/>
      <c r="AT239"/>
      <c r="AU239"/>
      <c r="AV239"/>
      <c r="AW239" s="334"/>
      <c r="AX239" s="334"/>
      <c r="AY239" s="334"/>
    </row>
    <row r="240" spans="1:51">
      <c r="A240" s="334" t="s">
        <v>13</v>
      </c>
      <c r="B240" s="334" t="s">
        <v>9</v>
      </c>
      <c r="C240" s="334">
        <f>'Isshi 2004'!C33</f>
        <v>4.9557522123893805E-2</v>
      </c>
      <c r="D240" s="301">
        <f>'Isshi 2004'!E11</f>
        <v>2654028436.0189571</v>
      </c>
      <c r="E240" s="301">
        <f>'Isshi 2004'!F33</f>
        <v>2096001944.3431766</v>
      </c>
      <c r="F240" s="301">
        <f>'Isshi 2004'!G33</f>
        <v>26540284.360189572</v>
      </c>
      <c r="G240" s="301">
        <f>E240+F240</f>
        <v>2122542228.7033663</v>
      </c>
      <c r="H240" s="27">
        <f>G240/D240</f>
        <v>0.79974358974358983</v>
      </c>
      <c r="M240" s="27">
        <f>(F240/G240)</f>
        <v>1.2504007694773965E-2</v>
      </c>
      <c r="O240" s="229" t="s">
        <v>1247</v>
      </c>
      <c r="P240" s="293"/>
      <c r="R240" t="s">
        <v>58</v>
      </c>
      <c r="S240" t="s">
        <v>57</v>
      </c>
      <c r="T240" t="s">
        <v>59</v>
      </c>
      <c r="U240" t="s">
        <v>60</v>
      </c>
      <c r="V240" s="313">
        <v>0.55000000000000004</v>
      </c>
      <c r="W240" s="313">
        <v>0.35</v>
      </c>
      <c r="X240" s="306" t="s">
        <v>98</v>
      </c>
      <c r="Y240" s="328" t="s">
        <v>96</v>
      </c>
      <c r="Z240" s="314" t="s">
        <v>99</v>
      </c>
      <c r="AB240" s="334" t="s">
        <v>1739</v>
      </c>
      <c r="AC240" s="334" t="s">
        <v>1702</v>
      </c>
      <c r="AQ240" s="322">
        <v>0.5</v>
      </c>
      <c r="AR240" s="326" t="s">
        <v>162</v>
      </c>
      <c r="AS240" s="322"/>
      <c r="AT240"/>
      <c r="AU240"/>
      <c r="AV240"/>
      <c r="AW240" s="334"/>
      <c r="AX240" s="334"/>
      <c r="AY240" s="334"/>
    </row>
    <row r="241" spans="1:51">
      <c r="A241" s="334" t="s">
        <v>13</v>
      </c>
      <c r="B241" s="334" t="s">
        <v>9</v>
      </c>
      <c r="C241" s="334">
        <f>'Isshi 2004'!C34</f>
        <v>6.0176991150442477E-2</v>
      </c>
      <c r="D241" s="301">
        <f>'Isshi 2004'!E12</f>
        <v>1800947867.298578</v>
      </c>
      <c r="E241" s="301">
        <f>'Isshi 2004'!F34</f>
        <v>1292988212.4194918</v>
      </c>
      <c r="F241" s="301">
        <f>'Isshi 2004'!G34</f>
        <v>18009478.672985781</v>
      </c>
      <c r="G241" s="301">
        <f>E241+F241</f>
        <v>1310997691.0924776</v>
      </c>
      <c r="H241" s="27">
        <f>G241/D241</f>
        <v>0.72794871794871785</v>
      </c>
      <c r="M241" s="27">
        <f>(F241/G241)</f>
        <v>1.3737231419513916E-2</v>
      </c>
      <c r="O241" s="229" t="s">
        <v>1247</v>
      </c>
      <c r="R241" t="s">
        <v>58</v>
      </c>
      <c r="S241" t="s">
        <v>57</v>
      </c>
      <c r="T241" t="s">
        <v>59</v>
      </c>
      <c r="U241" t="s">
        <v>60</v>
      </c>
      <c r="V241" s="313">
        <v>0.55000000000000004</v>
      </c>
      <c r="W241" s="313">
        <v>0.35</v>
      </c>
      <c r="X241" s="306" t="s">
        <v>98</v>
      </c>
      <c r="Y241" s="327" t="s">
        <v>96</v>
      </c>
      <c r="Z241" s="314" t="s">
        <v>99</v>
      </c>
      <c r="AB241" s="334" t="s">
        <v>1739</v>
      </c>
      <c r="AC241" s="334" t="s">
        <v>1702</v>
      </c>
      <c r="AQ241" s="322">
        <v>0.5</v>
      </c>
      <c r="AR241" s="326" t="s">
        <v>162</v>
      </c>
      <c r="AS241" s="322"/>
      <c r="AT241"/>
      <c r="AU241"/>
      <c r="AV241"/>
      <c r="AW241" s="334"/>
      <c r="AX241" s="334"/>
      <c r="AY241" s="334"/>
    </row>
    <row r="242" spans="1:51">
      <c r="A242" s="334" t="s">
        <v>13</v>
      </c>
      <c r="B242" s="334" t="s">
        <v>9</v>
      </c>
      <c r="C242" s="334">
        <f>'Isshi 2004'!C35</f>
        <v>7.4336283185840693E-2</v>
      </c>
      <c r="D242" s="301">
        <f>'Isshi 2004'!E13</f>
        <v>1563981042.6540284</v>
      </c>
      <c r="E242" s="301">
        <f>'Isshi 2004'!F35</f>
        <v>1187021509.2963908</v>
      </c>
      <c r="F242" s="301">
        <f>'Isshi 2004'!G35</f>
        <v>15639810.426540283</v>
      </c>
      <c r="G242" s="301">
        <f>E242+F242</f>
        <v>1202661319.7229311</v>
      </c>
      <c r="H242" s="27">
        <f>G242/D242</f>
        <v>0.76897435897435906</v>
      </c>
      <c r="M242" s="27">
        <f>(F242/G242)</f>
        <v>1.3004334778259418E-2</v>
      </c>
      <c r="O242" s="229" t="s">
        <v>1247</v>
      </c>
      <c r="P242" s="322"/>
      <c r="R242" t="s">
        <v>58</v>
      </c>
      <c r="S242" t="s">
        <v>57</v>
      </c>
      <c r="T242" t="s">
        <v>59</v>
      </c>
      <c r="U242" t="s">
        <v>60</v>
      </c>
      <c r="V242" s="313">
        <v>0.55000000000000004</v>
      </c>
      <c r="W242" s="313">
        <v>0.35</v>
      </c>
      <c r="X242" s="306" t="s">
        <v>98</v>
      </c>
      <c r="Y242" s="323" t="s">
        <v>96</v>
      </c>
      <c r="Z242" s="314" t="s">
        <v>99</v>
      </c>
      <c r="AB242" s="334" t="s">
        <v>1739</v>
      </c>
      <c r="AC242" s="334" t="s">
        <v>1702</v>
      </c>
      <c r="AQ242" s="322">
        <v>0.5</v>
      </c>
      <c r="AR242" s="326" t="s">
        <v>162</v>
      </c>
      <c r="AS242" s="322"/>
      <c r="AT242"/>
      <c r="AU242"/>
      <c r="AV242"/>
      <c r="AW242" s="334"/>
      <c r="AX242" s="334"/>
      <c r="AY242" s="334"/>
    </row>
    <row r="243" spans="1:51">
      <c r="A243" s="334" t="s">
        <v>13</v>
      </c>
      <c r="B243" s="334" t="s">
        <v>9</v>
      </c>
      <c r="C243" s="334">
        <f>'Isshi 2004'!C36</f>
        <v>9.5575221238938038E-2</v>
      </c>
      <c r="D243" s="301">
        <f>'Isshi 2004'!E14</f>
        <v>1327014218.0094786</v>
      </c>
      <c r="E243" s="301">
        <f>'Isshi 2004'!F36</f>
        <v>952728156.51962566</v>
      </c>
      <c r="F243" s="301">
        <f>'Isshi 2004'!G36</f>
        <v>13270142.180094786</v>
      </c>
      <c r="G243" s="301">
        <f>E243+F243</f>
        <v>965998298.6997205</v>
      </c>
      <c r="H243" s="336">
        <f>G243/D243</f>
        <v>0.72794871794871796</v>
      </c>
      <c r="M243" s="27">
        <f>(F243/G243)</f>
        <v>1.3737231419513912E-2</v>
      </c>
      <c r="O243" s="229" t="s">
        <v>1247</v>
      </c>
      <c r="P243" s="334"/>
      <c r="R243" t="s">
        <v>58</v>
      </c>
      <c r="S243" t="s">
        <v>57</v>
      </c>
      <c r="T243" t="s">
        <v>59</v>
      </c>
      <c r="U243" t="s">
        <v>60</v>
      </c>
      <c r="V243" s="313">
        <v>0.55000000000000004</v>
      </c>
      <c r="W243" s="313">
        <v>0.35</v>
      </c>
      <c r="X243" s="306" t="s">
        <v>98</v>
      </c>
      <c r="Y243" s="328" t="s">
        <v>96</v>
      </c>
      <c r="Z243" s="314" t="s">
        <v>99</v>
      </c>
      <c r="AB243" s="334" t="s">
        <v>1739</v>
      </c>
      <c r="AC243" s="334" t="s">
        <v>1702</v>
      </c>
      <c r="AQ243" s="322">
        <v>0.5</v>
      </c>
      <c r="AR243" s="326" t="s">
        <v>162</v>
      </c>
      <c r="AS243" s="322"/>
      <c r="AT243"/>
      <c r="AU243"/>
      <c r="AV243"/>
      <c r="AW243" s="334"/>
      <c r="AX243" s="334"/>
      <c r="AY243" s="334"/>
    </row>
    <row r="244" spans="1:51">
      <c r="A244" s="334" t="s">
        <v>13</v>
      </c>
      <c r="B244" s="334" t="s">
        <v>9</v>
      </c>
      <c r="C244" s="334">
        <f>'Isshi 2004'!C37</f>
        <v>0.11504424778761062</v>
      </c>
      <c r="D244" s="301">
        <f>'Isshi 2004'!E15</f>
        <v>1421800947.8672984</v>
      </c>
      <c r="E244" s="301">
        <f>'Isshi 2004'!F37</f>
        <v>962449872.40247893</v>
      </c>
      <c r="F244" s="301">
        <f>'Isshi 2004'!G37</f>
        <v>14218009.478672983</v>
      </c>
      <c r="G244" s="301">
        <f>E244+F244</f>
        <v>976667881.88115191</v>
      </c>
      <c r="H244" s="27">
        <f>G244/D244</f>
        <v>0.68692307692307697</v>
      </c>
      <c r="M244" s="27">
        <f>(F244/G244)</f>
        <v>1.4557670772676371E-2</v>
      </c>
      <c r="O244" s="229" t="s">
        <v>1247</v>
      </c>
      <c r="P244" s="334"/>
      <c r="R244" t="s">
        <v>58</v>
      </c>
      <c r="S244" s="304" t="s">
        <v>57</v>
      </c>
      <c r="T244" t="s">
        <v>59</v>
      </c>
      <c r="U244" t="s">
        <v>60</v>
      </c>
      <c r="V244" s="313">
        <v>0.55000000000000004</v>
      </c>
      <c r="W244" s="313">
        <v>0.35</v>
      </c>
      <c r="X244" s="306" t="s">
        <v>98</v>
      </c>
      <c r="Y244" s="323" t="s">
        <v>96</v>
      </c>
      <c r="Z244" s="314" t="s">
        <v>99</v>
      </c>
      <c r="AB244" s="334" t="s">
        <v>1739</v>
      </c>
      <c r="AC244" s="334" t="s">
        <v>1702</v>
      </c>
      <c r="AQ244" s="322">
        <v>0.5</v>
      </c>
      <c r="AR244" s="326" t="s">
        <v>162</v>
      </c>
      <c r="AS244" s="322"/>
      <c r="AT244"/>
      <c r="AU244"/>
      <c r="AV244"/>
      <c r="AW244" s="334"/>
      <c r="AX244" s="334"/>
      <c r="AY244" s="334"/>
    </row>
    <row r="245" spans="1:51">
      <c r="A245" s="334" t="s">
        <v>13</v>
      </c>
      <c r="B245" s="334" t="s">
        <v>9</v>
      </c>
      <c r="C245" s="334">
        <f>'Isshi 2004'!C38</f>
        <v>0.13451327433628318</v>
      </c>
      <c r="D245" s="301">
        <f>'Isshi 2004'!E16</f>
        <v>1232227488.1516588</v>
      </c>
      <c r="E245" s="301">
        <f>'Isshi 2004'!F38</f>
        <v>840442338.07266986</v>
      </c>
      <c r="F245" s="301">
        <f>'Isshi 2004'!G38</f>
        <v>12322274.881516587</v>
      </c>
      <c r="G245" s="301">
        <f>E245+F245</f>
        <v>852764612.95418644</v>
      </c>
      <c r="H245" s="336">
        <f>G245/D245</f>
        <v>0.69205128205128208</v>
      </c>
      <c r="M245" s="27">
        <f>(F245/G245)</f>
        <v>1.4449796220822526E-2</v>
      </c>
      <c r="O245" s="229" t="s">
        <v>1247</v>
      </c>
      <c r="P245" s="304"/>
      <c r="R245" s="304" t="s">
        <v>58</v>
      </c>
      <c r="S245" s="304" t="s">
        <v>57</v>
      </c>
      <c r="T245" s="304" t="s">
        <v>59</v>
      </c>
      <c r="U245" s="304" t="s">
        <v>60</v>
      </c>
      <c r="V245" s="313">
        <v>0.55000000000000004</v>
      </c>
      <c r="W245" s="313">
        <v>0.35</v>
      </c>
      <c r="X245" s="306" t="s">
        <v>98</v>
      </c>
      <c r="Y245" s="328" t="s">
        <v>96</v>
      </c>
      <c r="Z245" s="314" t="s">
        <v>99</v>
      </c>
      <c r="AB245" s="334" t="s">
        <v>1739</v>
      </c>
      <c r="AC245" s="334" t="s">
        <v>1702</v>
      </c>
      <c r="AQ245" s="322">
        <v>0.5</v>
      </c>
      <c r="AR245" s="323" t="s">
        <v>162</v>
      </c>
      <c r="AS245" s="322"/>
      <c r="AT245"/>
      <c r="AU245"/>
      <c r="AV245"/>
      <c r="AW245" s="334"/>
      <c r="AX245" s="334"/>
      <c r="AY245" s="334"/>
    </row>
    <row r="246" spans="1:51">
      <c r="A246" s="334" t="s">
        <v>13</v>
      </c>
      <c r="B246" s="334" t="s">
        <v>9</v>
      </c>
      <c r="C246" s="334">
        <f>'Isshi 2004'!C39</f>
        <v>0.15575221238938053</v>
      </c>
      <c r="D246" s="301">
        <f>'Isshi 2004'!E17</f>
        <v>1327014218.0094786</v>
      </c>
      <c r="E246" s="301">
        <f>'Isshi 2004'!F39</f>
        <v>884676145.33965242</v>
      </c>
      <c r="F246" s="301">
        <f>'Isshi 2004'!G39</f>
        <v>13270142.180094786</v>
      </c>
      <c r="G246" s="301">
        <f>E246+F246</f>
        <v>897946287.51974726</v>
      </c>
      <c r="H246" s="27">
        <f>G246/D246</f>
        <v>0.67666666666666675</v>
      </c>
      <c r="M246" s="27">
        <f>(F246/G246)</f>
        <v>1.4778325123152709E-2</v>
      </c>
      <c r="O246" s="229" t="s">
        <v>1247</v>
      </c>
      <c r="P246" s="328"/>
      <c r="R246" s="304" t="s">
        <v>58</v>
      </c>
      <c r="S246" s="304" t="s">
        <v>57</v>
      </c>
      <c r="T246" s="322" t="s">
        <v>59</v>
      </c>
      <c r="U246" s="322" t="s">
        <v>60</v>
      </c>
      <c r="V246" s="313">
        <v>0.55000000000000004</v>
      </c>
      <c r="W246" s="313">
        <v>0.35</v>
      </c>
      <c r="X246" s="306" t="s">
        <v>98</v>
      </c>
      <c r="Y246" s="324" t="s">
        <v>96</v>
      </c>
      <c r="Z246" s="314" t="s">
        <v>99</v>
      </c>
      <c r="AB246" s="334" t="s">
        <v>1739</v>
      </c>
      <c r="AC246" s="334" t="s">
        <v>1702</v>
      </c>
      <c r="AQ246" s="322">
        <v>0.5</v>
      </c>
      <c r="AR246" s="323" t="s">
        <v>162</v>
      </c>
      <c r="AS246" s="322"/>
      <c r="AT246"/>
      <c r="AU246"/>
      <c r="AV246"/>
      <c r="AW246" s="334"/>
      <c r="AX246" s="334"/>
      <c r="AY246" s="334"/>
    </row>
    <row r="247" spans="1:51">
      <c r="A247" s="334" t="s">
        <v>13</v>
      </c>
      <c r="B247" s="334" t="s">
        <v>9</v>
      </c>
      <c r="C247" s="334">
        <f>'Isshi 2004'!C40</f>
        <v>0.17345132743362832</v>
      </c>
      <c r="D247" s="301">
        <f>'Isshi 2004'!E18</f>
        <v>1421800947.8672984</v>
      </c>
      <c r="E247" s="301">
        <f>'Isshi 2004'!F40</f>
        <v>984323733.13889873</v>
      </c>
      <c r="F247" s="301">
        <f>'Isshi 2004'!G40</f>
        <v>14218009.478672983</v>
      </c>
      <c r="G247" s="301">
        <f>E247+F247</f>
        <v>998541742.61757171</v>
      </c>
      <c r="H247" s="336">
        <f>G247/D247</f>
        <v>0.70230769230769219</v>
      </c>
      <c r="M247" s="27">
        <f>(F247/G247)</f>
        <v>1.4238773274917856E-2</v>
      </c>
      <c r="O247" s="229" t="s">
        <v>1247</v>
      </c>
      <c r="P247" s="323"/>
      <c r="R247" s="304" t="s">
        <v>58</v>
      </c>
      <c r="S247" s="304" t="s">
        <v>57</v>
      </c>
      <c r="T247" s="322" t="s">
        <v>59</v>
      </c>
      <c r="U247" s="322" t="s">
        <v>60</v>
      </c>
      <c r="V247" s="313">
        <v>0.55000000000000004</v>
      </c>
      <c r="W247" s="313">
        <v>0.35</v>
      </c>
      <c r="X247" s="306" t="s">
        <v>98</v>
      </c>
      <c r="Y247" s="323" t="s">
        <v>96</v>
      </c>
      <c r="Z247" s="314" t="s">
        <v>99</v>
      </c>
      <c r="AB247" s="334" t="s">
        <v>1739</v>
      </c>
      <c r="AC247" s="334" t="s">
        <v>1702</v>
      </c>
      <c r="AQ247" s="322">
        <v>0.5</v>
      </c>
      <c r="AR247" s="323" t="s">
        <v>162</v>
      </c>
      <c r="AS247" s="322"/>
      <c r="AT247"/>
      <c r="AU247"/>
      <c r="AV247"/>
      <c r="AW247" s="334"/>
      <c r="AX247" s="334"/>
      <c r="AY247" s="334"/>
    </row>
    <row r="248" spans="1:51">
      <c r="A248" s="334" t="s">
        <v>13</v>
      </c>
      <c r="B248" s="334" t="s">
        <v>9</v>
      </c>
      <c r="C248" s="334">
        <f>'Isshi 2004'!C41</f>
        <v>0.19469026548672566</v>
      </c>
      <c r="D248" s="301">
        <f>'Isshi 2004'!E19</f>
        <v>3270142180.0947866</v>
      </c>
      <c r="E248" s="301">
        <f>'Isshi 2004'!F41</f>
        <v>2431644185.1986876</v>
      </c>
      <c r="F248" s="301">
        <f>'Isshi 2004'!G41</f>
        <v>32701421.800947867</v>
      </c>
      <c r="G248" s="301">
        <f>E248+F248</f>
        <v>2464345606.9996352</v>
      </c>
      <c r="H248" s="27">
        <f>G248/D248</f>
        <v>0.75358974358974351</v>
      </c>
      <c r="M248" s="27">
        <f>(F248/G248)</f>
        <v>1.3269819666553251E-2</v>
      </c>
      <c r="O248" s="229" t="s">
        <v>1247</v>
      </c>
      <c r="P248" s="326"/>
      <c r="R248" s="304" t="s">
        <v>58</v>
      </c>
      <c r="S248" s="304" t="s">
        <v>57</v>
      </c>
      <c r="T248" s="322" t="s">
        <v>59</v>
      </c>
      <c r="U248" s="322" t="s">
        <v>60</v>
      </c>
      <c r="V248" s="313">
        <v>0.55000000000000004</v>
      </c>
      <c r="W248" s="313">
        <v>0.35</v>
      </c>
      <c r="X248" s="306" t="s">
        <v>98</v>
      </c>
      <c r="Y248" s="328" t="s">
        <v>96</v>
      </c>
      <c r="Z248" s="314" t="s">
        <v>99</v>
      </c>
      <c r="AB248" s="334" t="s">
        <v>1739</v>
      </c>
      <c r="AC248" s="334" t="s">
        <v>1702</v>
      </c>
      <c r="AQ248" s="322">
        <v>0.5</v>
      </c>
      <c r="AR248" s="322" t="s">
        <v>162</v>
      </c>
      <c r="AS248" s="322"/>
      <c r="AT248"/>
      <c r="AU248"/>
      <c r="AV248"/>
      <c r="AW248" s="334"/>
      <c r="AX248" s="334"/>
      <c r="AY248" s="334"/>
    </row>
    <row r="249" spans="1:51">
      <c r="A249" s="334" t="s">
        <v>13</v>
      </c>
      <c r="B249" s="334" t="s">
        <v>9</v>
      </c>
      <c r="C249" s="334">
        <f>'Isshi 2004'!C42</f>
        <v>0.21592920353982301</v>
      </c>
      <c r="D249" s="301">
        <f>'Isshi 2004'!E20</f>
        <v>1611374407.5829382</v>
      </c>
      <c r="E249" s="301">
        <f>'Isshi 2004'!F42</f>
        <v>1140357273.0586948</v>
      </c>
      <c r="F249" s="301">
        <f>'Isshi 2004'!G42</f>
        <v>16113744.075829381</v>
      </c>
      <c r="G249" s="301">
        <f>E249+F249</f>
        <v>1156471017.1345241</v>
      </c>
      <c r="H249" s="27">
        <f>G249/D249</f>
        <v>0.71769230769230774</v>
      </c>
      <c r="M249" s="27">
        <f>(F249/G249)</f>
        <v>1.3933547695605572E-2</v>
      </c>
      <c r="O249" s="229" t="s">
        <v>1247</v>
      </c>
      <c r="R249" s="304" t="s">
        <v>58</v>
      </c>
      <c r="S249" s="304" t="s">
        <v>57</v>
      </c>
      <c r="T249" s="322" t="s">
        <v>59</v>
      </c>
      <c r="U249" s="322" t="s">
        <v>60</v>
      </c>
      <c r="V249" s="313">
        <v>0.55000000000000004</v>
      </c>
      <c r="W249" s="313">
        <v>0.35</v>
      </c>
      <c r="X249" s="306" t="s">
        <v>98</v>
      </c>
      <c r="Y249" s="323" t="s">
        <v>96</v>
      </c>
      <c r="Z249" s="314" t="s">
        <v>99</v>
      </c>
      <c r="AB249" s="334" t="s">
        <v>1739</v>
      </c>
      <c r="AC249" s="334" t="s">
        <v>1702</v>
      </c>
      <c r="AQ249" s="322">
        <v>0.5</v>
      </c>
      <c r="AR249" s="322" t="s">
        <v>162</v>
      </c>
      <c r="AS249" s="322"/>
      <c r="AT249"/>
      <c r="AU249"/>
      <c r="AV249"/>
      <c r="AW249" s="334"/>
      <c r="AX249" s="334"/>
      <c r="AY249" s="334"/>
    </row>
    <row r="250" spans="1:51">
      <c r="A250" s="334" t="s">
        <v>13</v>
      </c>
      <c r="B250" s="334" t="s">
        <v>9</v>
      </c>
      <c r="C250" s="334">
        <f>'Isshi 2004'!C43</f>
        <v>0.24070796460176991</v>
      </c>
      <c r="D250" s="301">
        <f>'Isshi 2004'!E21</f>
        <v>1611374407.5829382</v>
      </c>
      <c r="E250" s="301">
        <f>'Isshi 2004'!F43</f>
        <v>1049459229.5540161</v>
      </c>
      <c r="F250" s="301">
        <f>'Isshi 2004'!G43</f>
        <v>16113744.075829381</v>
      </c>
      <c r="G250" s="301">
        <f>E250+F250</f>
        <v>1065572973.6298455</v>
      </c>
      <c r="H250" s="27">
        <f>G250/D250</f>
        <v>0.66128205128205131</v>
      </c>
      <c r="M250" s="27">
        <f>(F250/G250)</f>
        <v>1.5122140364482357E-2</v>
      </c>
      <c r="O250" s="229" t="s">
        <v>1247</v>
      </c>
      <c r="R250" s="304" t="s">
        <v>58</v>
      </c>
      <c r="S250" s="304" t="s">
        <v>57</v>
      </c>
      <c r="T250" s="322" t="s">
        <v>59</v>
      </c>
      <c r="U250" s="322" t="s">
        <v>60</v>
      </c>
      <c r="V250" s="313">
        <v>0.55000000000000004</v>
      </c>
      <c r="W250" s="313">
        <v>0.35</v>
      </c>
      <c r="X250" s="306" t="s">
        <v>98</v>
      </c>
      <c r="Y250" s="334" t="s">
        <v>96</v>
      </c>
      <c r="Z250" s="314" t="s">
        <v>99</v>
      </c>
      <c r="AB250" s="334" t="s">
        <v>1739</v>
      </c>
      <c r="AC250" s="334" t="s">
        <v>1702</v>
      </c>
      <c r="AQ250" s="322">
        <v>0.5</v>
      </c>
      <c r="AR250" s="322" t="s">
        <v>162</v>
      </c>
      <c r="AS250" s="322"/>
      <c r="AT250"/>
      <c r="AU250"/>
      <c r="AV250"/>
      <c r="AW250" s="334"/>
      <c r="AX250" s="334"/>
      <c r="AY250" s="334"/>
    </row>
    <row r="251" spans="1:51">
      <c r="A251" s="334" t="s">
        <v>13</v>
      </c>
      <c r="B251" s="334" t="s">
        <v>9</v>
      </c>
      <c r="C251" s="334">
        <f>'Isshi 2004'!C44</f>
        <v>0.27610619469026543</v>
      </c>
      <c r="D251" s="301">
        <f>'Isshi 2004'!E22</f>
        <v>2559241706.1611371</v>
      </c>
      <c r="E251" s="301">
        <f>'Isshi 2004'!F44</f>
        <v>1837404301.859278</v>
      </c>
      <c r="F251" s="301">
        <f>'Isshi 2004'!G44</f>
        <v>25592417.061611369</v>
      </c>
      <c r="G251" s="301">
        <f>E251+F251</f>
        <v>1862996718.9208894</v>
      </c>
      <c r="H251" s="27">
        <f>G251/D251</f>
        <v>0.72794871794871796</v>
      </c>
      <c r="M251" s="27">
        <f>(F251/G251)</f>
        <v>1.3737231419513912E-2</v>
      </c>
      <c r="O251" s="229" t="s">
        <v>1247</v>
      </c>
      <c r="R251" s="304" t="s">
        <v>58</v>
      </c>
      <c r="S251" s="304" t="s">
        <v>57</v>
      </c>
      <c r="T251" s="322" t="s">
        <v>59</v>
      </c>
      <c r="U251" s="322" t="s">
        <v>60</v>
      </c>
      <c r="V251" s="313">
        <v>0.55000000000000004</v>
      </c>
      <c r="W251" s="313">
        <v>0.35</v>
      </c>
      <c r="X251" s="306" t="s">
        <v>98</v>
      </c>
      <c r="Y251" s="334" t="s">
        <v>96</v>
      </c>
      <c r="Z251" s="314" t="s">
        <v>99</v>
      </c>
      <c r="AB251" s="334" t="s">
        <v>1739</v>
      </c>
      <c r="AC251" s="334" t="s">
        <v>1702</v>
      </c>
      <c r="AQ251" s="322">
        <v>0.5</v>
      </c>
      <c r="AR251" s="322" t="s">
        <v>162</v>
      </c>
      <c r="AS251" s="322"/>
      <c r="AT251"/>
      <c r="AU251"/>
      <c r="AV251"/>
      <c r="AW251" s="334"/>
      <c r="AX251" s="334"/>
      <c r="AY251" s="334"/>
    </row>
    <row r="252" spans="1:51">
      <c r="A252" s="334" t="s">
        <v>13</v>
      </c>
      <c r="B252" s="334" t="s">
        <v>9</v>
      </c>
      <c r="C252" s="334">
        <f>'Isshi 2004'!C45</f>
        <v>0.32566371681415929</v>
      </c>
      <c r="D252" s="301">
        <f>'Isshi 2004'!E23</f>
        <v>1137440758.2938387</v>
      </c>
      <c r="E252" s="301">
        <f>'Isshi 2004'!F45</f>
        <v>723295661.68428731</v>
      </c>
      <c r="F252" s="301">
        <f>'Isshi 2004'!G45</f>
        <v>11374407.582938388</v>
      </c>
      <c r="G252" s="301">
        <f>E252+F252</f>
        <v>734670069.26722574</v>
      </c>
      <c r="H252" s="27">
        <f>G252/D252</f>
        <v>0.64589743589743609</v>
      </c>
      <c r="M252" s="27">
        <f>(F252/G252)</f>
        <v>1.5482334259626834E-2</v>
      </c>
      <c r="O252" s="229" t="s">
        <v>1247</v>
      </c>
      <c r="R252" s="304" t="s">
        <v>58</v>
      </c>
      <c r="S252" s="304" t="s">
        <v>57</v>
      </c>
      <c r="T252" s="322" t="s">
        <v>59</v>
      </c>
      <c r="U252" s="322" t="s">
        <v>60</v>
      </c>
      <c r="V252" s="313">
        <v>0.55000000000000004</v>
      </c>
      <c r="W252" s="313">
        <v>0.35</v>
      </c>
      <c r="X252" s="306" t="s">
        <v>98</v>
      </c>
      <c r="Y252" s="334" t="s">
        <v>96</v>
      </c>
      <c r="Z252" s="314" t="s">
        <v>99</v>
      </c>
      <c r="AB252" s="334" t="s">
        <v>1739</v>
      </c>
      <c r="AC252" s="334" t="s">
        <v>1702</v>
      </c>
      <c r="AQ252" s="322">
        <v>0.5</v>
      </c>
      <c r="AR252" s="322" t="s">
        <v>162</v>
      </c>
      <c r="AS252" s="322"/>
      <c r="AT252"/>
      <c r="AU252"/>
      <c r="AV252"/>
      <c r="AW252" s="334"/>
      <c r="AX252" s="334"/>
      <c r="AY252" s="334"/>
    </row>
    <row r="253" spans="1:51">
      <c r="A253" s="334" t="s">
        <v>13</v>
      </c>
      <c r="B253" s="334" t="s">
        <v>9</v>
      </c>
      <c r="C253" s="334">
        <f>'Isshi 2004'!C46</f>
        <v>0.37522123893805309</v>
      </c>
      <c r="D253" s="301">
        <f>'Isshi 2004'!E24</f>
        <v>2037914691.9431279</v>
      </c>
      <c r="E253" s="301">
        <f>'Isshi 2004'!F46</f>
        <v>1275003038.0362132</v>
      </c>
      <c r="F253" s="301">
        <f>'Isshi 2004'!G46</f>
        <v>20379146.91943128</v>
      </c>
      <c r="G253" s="301">
        <f>E253+F253</f>
        <v>1295382184.9556444</v>
      </c>
      <c r="H253" s="27">
        <f>G253/D253</f>
        <v>0.63564102564102554</v>
      </c>
      <c r="M253" s="27">
        <f>(F253/G253)</f>
        <v>1.5732150060508272E-2</v>
      </c>
      <c r="O253" s="229" t="s">
        <v>1247</v>
      </c>
      <c r="P253" s="334"/>
      <c r="R253" s="304" t="s">
        <v>58</v>
      </c>
      <c r="S253" s="304" t="s">
        <v>57</v>
      </c>
      <c r="T253" s="322" t="s">
        <v>59</v>
      </c>
      <c r="U253" s="322" t="s">
        <v>60</v>
      </c>
      <c r="V253" s="313">
        <v>0.55000000000000004</v>
      </c>
      <c r="W253" s="313">
        <v>0.35</v>
      </c>
      <c r="X253" s="306" t="s">
        <v>98</v>
      </c>
      <c r="Y253" s="334" t="s">
        <v>96</v>
      </c>
      <c r="Z253" s="314" t="s">
        <v>99</v>
      </c>
      <c r="AB253" s="334" t="s">
        <v>1739</v>
      </c>
      <c r="AC253" s="334" t="s">
        <v>1702</v>
      </c>
      <c r="AQ253" s="322">
        <v>0.5</v>
      </c>
      <c r="AR253" s="322" t="s">
        <v>162</v>
      </c>
      <c r="AS253" s="322"/>
      <c r="AT253"/>
      <c r="AU253"/>
      <c r="AV253"/>
      <c r="AW253" s="334"/>
      <c r="AX253" s="334"/>
      <c r="AY253" s="334"/>
    </row>
    <row r="254" spans="1:51">
      <c r="A254" s="277" t="s">
        <v>130</v>
      </c>
      <c r="B254" s="334" t="str">
        <f>'Jorgensen 2012'!A14</f>
        <v>MidAtlantic Ridge GC12</v>
      </c>
      <c r="C254" s="334">
        <f>'Jorgensen 2012'!F14</f>
        <v>0.19</v>
      </c>
      <c r="I254" s="301">
        <f>'Jorgensen 2012'!G14</f>
        <v>146153.84615384616</v>
      </c>
      <c r="J254" s="301">
        <f>'Jorgensen 2012'!H14</f>
        <v>246153.84615384616</v>
      </c>
      <c r="K254" s="301">
        <f>I254+J254</f>
        <v>392307.69230769231</v>
      </c>
      <c r="N254" s="27">
        <f>(J254/K254)</f>
        <v>0.62745098039215685</v>
      </c>
      <c r="O254" s="229"/>
      <c r="P254">
        <f>'Jorgensen 2012'!C14</f>
        <v>28.4</v>
      </c>
      <c r="R254" s="304"/>
      <c r="S254" s="304"/>
      <c r="T254" s="322"/>
      <c r="U254" s="322"/>
      <c r="V254" s="334"/>
      <c r="W254" s="334"/>
      <c r="X254" s="334"/>
      <c r="Y254" s="334"/>
      <c r="Z254" s="334"/>
      <c r="AA254" s="326" t="s">
        <v>1411</v>
      </c>
      <c r="AD254" s="326" t="s">
        <v>1722</v>
      </c>
      <c r="AE254" s="326" t="s">
        <v>1723</v>
      </c>
      <c r="AG254" s="326" t="s">
        <v>1706</v>
      </c>
      <c r="AH254" s="326" t="s">
        <v>1716</v>
      </c>
      <c r="AM254" s="326" t="s">
        <v>1436</v>
      </c>
      <c r="AN254" s="326" t="s">
        <v>1438</v>
      </c>
      <c r="AQ254" s="322">
        <v>3250</v>
      </c>
      <c r="AR254" s="322" t="s">
        <v>1463</v>
      </c>
      <c r="AS254" s="322"/>
      <c r="AT254"/>
      <c r="AU254"/>
      <c r="AV254"/>
      <c r="AW254" s="334"/>
      <c r="AX254" s="334"/>
      <c r="AY254" s="334"/>
    </row>
    <row r="255" spans="1:51">
      <c r="A255" s="277" t="s">
        <v>130</v>
      </c>
      <c r="B255" s="334" t="str">
        <f>'Jorgensen 2012'!A15</f>
        <v>MidAtlantic Ridge GC12</v>
      </c>
      <c r="C255" s="334">
        <f>'Jorgensen 2012'!F15</f>
        <v>0.35000000000000003</v>
      </c>
      <c r="I255" s="301">
        <f>'Jorgensen 2012'!G15</f>
        <v>769230.76923076925</v>
      </c>
      <c r="J255" s="301">
        <f>'Jorgensen 2012'!H15</f>
        <v>492307.69230769231</v>
      </c>
      <c r="K255" s="301">
        <f>I255+J255</f>
        <v>1261538.4615384615</v>
      </c>
      <c r="N255" s="27">
        <f>(J255/K255)</f>
        <v>0.3902439024390244</v>
      </c>
      <c r="O255" s="229"/>
      <c r="P255">
        <f>'Jorgensen 2012'!C15</f>
        <v>28.8</v>
      </c>
      <c r="R255" s="304"/>
      <c r="S255" s="304"/>
      <c r="T255" s="322"/>
      <c r="U255" s="322"/>
      <c r="V255" s="334"/>
      <c r="W255" s="334"/>
      <c r="X255" s="334"/>
      <c r="Y255" s="327"/>
      <c r="Z255" s="334"/>
      <c r="AA255" s="326" t="s">
        <v>1411</v>
      </c>
      <c r="AD255" s="326" t="s">
        <v>1722</v>
      </c>
      <c r="AE255" s="326" t="s">
        <v>1723</v>
      </c>
      <c r="AG255" s="326" t="s">
        <v>1706</v>
      </c>
      <c r="AH255" s="326" t="s">
        <v>1716</v>
      </c>
      <c r="AM255" s="326" t="s">
        <v>1436</v>
      </c>
      <c r="AN255" s="326" t="s">
        <v>1438</v>
      </c>
      <c r="AQ255" s="322">
        <v>3250</v>
      </c>
      <c r="AR255" s="322" t="s">
        <v>1463</v>
      </c>
      <c r="AS255" s="322"/>
      <c r="AT255"/>
      <c r="AU255"/>
      <c r="AV255"/>
      <c r="AW255" s="334"/>
      <c r="AX255" s="334"/>
      <c r="AY255" s="334"/>
    </row>
    <row r="256" spans="1:51">
      <c r="A256" s="277" t="s">
        <v>130</v>
      </c>
      <c r="B256" s="334" t="str">
        <f>'Jorgensen 2012'!A16</f>
        <v>MidAtlantic Ridge GC12</v>
      </c>
      <c r="C256" s="334">
        <f>'Jorgensen 2012'!F16</f>
        <v>0.81</v>
      </c>
      <c r="I256" s="301">
        <f>'Jorgensen 2012'!G16</f>
        <v>2307692.3076923075</v>
      </c>
      <c r="J256" s="301">
        <f>'Jorgensen 2012'!H16</f>
        <v>1692307.6923076923</v>
      </c>
      <c r="K256" s="301">
        <f>I256+J256</f>
        <v>4000000</v>
      </c>
      <c r="N256" s="27">
        <f>(J256/K256)</f>
        <v>0.42307692307692307</v>
      </c>
      <c r="O256" s="229"/>
      <c r="P256">
        <f>'Jorgensen 2012'!C16</f>
        <v>31.3</v>
      </c>
      <c r="R256" s="304"/>
      <c r="S256" s="304"/>
      <c r="T256" s="322"/>
      <c r="U256" s="322"/>
      <c r="V256" s="334"/>
      <c r="W256" s="334"/>
      <c r="X256" s="334"/>
      <c r="Y256" s="327"/>
      <c r="Z256" s="334"/>
      <c r="AA256" s="326" t="s">
        <v>1411</v>
      </c>
      <c r="AD256" s="326" t="s">
        <v>1722</v>
      </c>
      <c r="AE256" s="326" t="s">
        <v>1723</v>
      </c>
      <c r="AG256" s="326" t="s">
        <v>1706</v>
      </c>
      <c r="AH256" s="326" t="s">
        <v>1716</v>
      </c>
      <c r="AM256" s="326" t="s">
        <v>1436</v>
      </c>
      <c r="AN256" s="326" t="s">
        <v>1438</v>
      </c>
      <c r="AQ256" s="322">
        <v>3250</v>
      </c>
      <c r="AR256" s="322" t="s">
        <v>1463</v>
      </c>
      <c r="AS256" s="322"/>
      <c r="AT256"/>
      <c r="AU256"/>
      <c r="AV256"/>
      <c r="AW256" s="334"/>
      <c r="AX256" s="334"/>
      <c r="AY256" s="334"/>
    </row>
    <row r="257" spans="1:51">
      <c r="A257" s="277" t="s">
        <v>130</v>
      </c>
      <c r="B257" s="334" t="str">
        <f>'Jorgensen 2012'!A17</f>
        <v>MidAtlantic Ridge GC12</v>
      </c>
      <c r="C257" s="334">
        <f>'Jorgensen 2012'!F17</f>
        <v>1.26</v>
      </c>
      <c r="I257" s="301">
        <f>'Jorgensen 2012'!G17</f>
        <v>307692.30769230769</v>
      </c>
      <c r="J257" s="301">
        <f>'Jorgensen 2012'!H17</f>
        <v>1307692.3076923077</v>
      </c>
      <c r="K257" s="301">
        <f>I257+J257</f>
        <v>1615384.6153846155</v>
      </c>
      <c r="N257" s="27">
        <f>(J257/K257)</f>
        <v>0.80952380952380953</v>
      </c>
      <c r="O257" s="229"/>
      <c r="P257" s="328">
        <f>'Jorgensen 2012'!C17</f>
        <v>27.8</v>
      </c>
      <c r="R257" s="304"/>
      <c r="S257" s="304"/>
      <c r="T257" s="322"/>
      <c r="U257" s="322"/>
      <c r="V257" s="334"/>
      <c r="W257" s="334"/>
      <c r="X257" s="334"/>
      <c r="Y257" s="326"/>
      <c r="Z257" s="334"/>
      <c r="AA257" s="326" t="s">
        <v>1411</v>
      </c>
      <c r="AD257" s="326" t="s">
        <v>1722</v>
      </c>
      <c r="AE257" s="326" t="s">
        <v>1723</v>
      </c>
      <c r="AG257" s="326" t="s">
        <v>1706</v>
      </c>
      <c r="AH257" s="326" t="s">
        <v>1716</v>
      </c>
      <c r="AM257" s="326" t="s">
        <v>1436</v>
      </c>
      <c r="AN257" s="326" t="s">
        <v>1438</v>
      </c>
      <c r="AQ257" s="322">
        <v>3250</v>
      </c>
      <c r="AR257" s="322" t="s">
        <v>1463</v>
      </c>
      <c r="AS257" s="322"/>
      <c r="AT257"/>
      <c r="AU257"/>
      <c r="AV257"/>
      <c r="AW257" s="334"/>
      <c r="AX257" s="334"/>
      <c r="AY257" s="334"/>
    </row>
    <row r="258" spans="1:51">
      <c r="A258" s="277" t="s">
        <v>130</v>
      </c>
      <c r="B258" s="334" t="str">
        <f>'Jorgensen 2012'!A18</f>
        <v>MidAtlantic Ridge GC12</v>
      </c>
      <c r="C258" s="334">
        <f>'Jorgensen 2012'!F18</f>
        <v>2.0699999999999998</v>
      </c>
      <c r="H258" s="336"/>
      <c r="I258" s="301">
        <f>'Jorgensen 2012'!G18</f>
        <v>400000</v>
      </c>
      <c r="J258" s="301">
        <f>'Jorgensen 2012'!H18</f>
        <v>1076923.076923077</v>
      </c>
      <c r="K258" s="301">
        <f>I258+J258</f>
        <v>1476923.076923077</v>
      </c>
      <c r="N258" s="27">
        <f>(J258/K258)</f>
        <v>0.72916666666666663</v>
      </c>
      <c r="O258" s="229"/>
      <c r="P258" s="326">
        <f>'Jorgensen 2012'!C18</f>
        <v>27.1</v>
      </c>
      <c r="R258" s="304"/>
      <c r="S258" s="304"/>
      <c r="T258" s="304"/>
      <c r="U258" s="304"/>
      <c r="V258" s="334"/>
      <c r="W258" s="334"/>
      <c r="X258" s="334"/>
      <c r="Y258" s="326"/>
      <c r="Z258" s="334"/>
      <c r="AA258" s="326" t="s">
        <v>1411</v>
      </c>
      <c r="AD258" s="326" t="s">
        <v>1722</v>
      </c>
      <c r="AE258" s="326" t="s">
        <v>1723</v>
      </c>
      <c r="AG258" s="326" t="s">
        <v>1706</v>
      </c>
      <c r="AH258" s="326" t="s">
        <v>1716</v>
      </c>
      <c r="AM258" s="326" t="s">
        <v>1436</v>
      </c>
      <c r="AN258" s="326" t="s">
        <v>1438</v>
      </c>
      <c r="AQ258" s="322">
        <v>3250</v>
      </c>
      <c r="AR258" s="322" t="s">
        <v>1463</v>
      </c>
      <c r="AS258" s="322"/>
      <c r="AT258"/>
      <c r="AU258"/>
      <c r="AV258"/>
      <c r="AW258" s="334"/>
      <c r="AX258" s="334"/>
      <c r="AY258" s="334"/>
    </row>
    <row r="259" spans="1:51">
      <c r="A259" s="277" t="s">
        <v>130</v>
      </c>
      <c r="B259" s="334" t="str">
        <f>'Jorgensen 2012'!A19</f>
        <v>MidAtlantic Ridge GC12</v>
      </c>
      <c r="C259" s="334">
        <f>'Jorgensen 2012'!F19</f>
        <v>3.1</v>
      </c>
      <c r="I259" s="301">
        <f>'Jorgensen 2012'!G19</f>
        <v>1076923.076923077</v>
      </c>
      <c r="J259" s="301">
        <f>'Jorgensen 2012'!H19</f>
        <v>392307.69230769231</v>
      </c>
      <c r="K259" s="301">
        <f>I259+J259</f>
        <v>1469230.7692307692</v>
      </c>
      <c r="N259" s="27">
        <f>(J259/K259)</f>
        <v>0.26701570680628273</v>
      </c>
      <c r="O259" s="229"/>
      <c r="P259">
        <f>'Jorgensen 2012'!C19</f>
        <v>23.4</v>
      </c>
      <c r="R259" s="304"/>
      <c r="S259" s="304"/>
      <c r="T259" s="304"/>
      <c r="U259" s="304"/>
      <c r="V259" s="334"/>
      <c r="W259" s="334"/>
      <c r="X259" s="334"/>
      <c r="Y259" s="326"/>
      <c r="Z259" s="334"/>
      <c r="AA259" s="326" t="s">
        <v>1411</v>
      </c>
      <c r="AD259" s="326" t="s">
        <v>1722</v>
      </c>
      <c r="AE259" s="326" t="s">
        <v>1723</v>
      </c>
      <c r="AG259" s="326" t="s">
        <v>1706</v>
      </c>
      <c r="AH259" s="326" t="s">
        <v>1716</v>
      </c>
      <c r="AM259" s="326" t="s">
        <v>1436</v>
      </c>
      <c r="AN259" s="326" t="s">
        <v>1438</v>
      </c>
      <c r="AQ259" s="322">
        <v>3250</v>
      </c>
      <c r="AR259" s="322" t="s">
        <v>1463</v>
      </c>
      <c r="AS259" s="322"/>
      <c r="AT259"/>
      <c r="AU259"/>
      <c r="AV259"/>
      <c r="AW259" s="334"/>
      <c r="AX259" s="334"/>
      <c r="AY259" s="334"/>
    </row>
    <row r="260" spans="1:51">
      <c r="A260" s="277" t="s">
        <v>130</v>
      </c>
      <c r="B260" s="334" t="str">
        <f>'Jorgensen 2012'!A5</f>
        <v>MidAtlantic Ridge GC6</v>
      </c>
      <c r="C260" s="334">
        <f>'Jorgensen 2012'!F5</f>
        <v>0.16</v>
      </c>
      <c r="I260" s="301">
        <f>'Jorgensen 2012'!G5</f>
        <v>1000000</v>
      </c>
      <c r="J260" s="301">
        <f>'Jorgensen 2012'!H5</f>
        <v>5769230.769230769</v>
      </c>
      <c r="K260" s="301">
        <f>I260+J260</f>
        <v>6769230.769230769</v>
      </c>
      <c r="N260" s="27">
        <f>(J260/K260)</f>
        <v>0.85227272727272729</v>
      </c>
      <c r="O260" s="229"/>
      <c r="P260">
        <f>'Jorgensen 2012'!C5</f>
        <v>29</v>
      </c>
      <c r="R260" s="304"/>
      <c r="S260" s="304"/>
      <c r="T260" s="304"/>
      <c r="U260" s="304"/>
      <c r="V260" s="334"/>
      <c r="W260" s="334"/>
      <c r="X260" s="334"/>
      <c r="Y260" s="326"/>
      <c r="Z260" s="334"/>
      <c r="AA260" s="326" t="s">
        <v>1411</v>
      </c>
      <c r="AD260" s="326" t="s">
        <v>1722</v>
      </c>
      <c r="AE260" s="326" t="s">
        <v>1723</v>
      </c>
      <c r="AG260" s="326" t="s">
        <v>1706</v>
      </c>
      <c r="AH260" s="326" t="s">
        <v>1716</v>
      </c>
      <c r="AM260" s="326" t="s">
        <v>1436</v>
      </c>
      <c r="AN260" s="326" t="s">
        <v>1438</v>
      </c>
      <c r="AQ260" s="322">
        <v>3280</v>
      </c>
      <c r="AR260" s="322" t="s">
        <v>1463</v>
      </c>
      <c r="AS260" s="322"/>
      <c r="AT260"/>
      <c r="AU260"/>
      <c r="AV260"/>
      <c r="AW260" s="334"/>
      <c r="AX260" s="334"/>
      <c r="AY260" s="334"/>
    </row>
    <row r="261" spans="1:51">
      <c r="A261" s="277" t="s">
        <v>130</v>
      </c>
      <c r="B261" s="334" t="str">
        <f>'Jorgensen 2012'!A6</f>
        <v>MidAtlantic Ridge GC6</v>
      </c>
      <c r="C261" s="334">
        <f>'Jorgensen 2012'!F6</f>
        <v>0.28999999999999998</v>
      </c>
      <c r="I261" s="301">
        <f>'Jorgensen 2012'!G6</f>
        <v>7692307.692307692</v>
      </c>
      <c r="J261" s="301">
        <f>'Jorgensen 2012'!H6</f>
        <v>63846153.84615384</v>
      </c>
      <c r="K261" s="301">
        <f>I261+J261</f>
        <v>71538461.538461536</v>
      </c>
      <c r="N261" s="27">
        <f>(J261/K261)</f>
        <v>0.89247311827956988</v>
      </c>
      <c r="O261" s="229"/>
      <c r="P261" t="str">
        <f>'Jorgensen 2012'!C6</f>
        <v>—</v>
      </c>
      <c r="R261" s="304"/>
      <c r="S261" s="304"/>
      <c r="T261" s="304"/>
      <c r="U261" s="304"/>
      <c r="V261" s="334"/>
      <c r="W261" s="334"/>
      <c r="X261" s="334"/>
      <c r="Y261" s="326"/>
      <c r="Z261" s="334"/>
      <c r="AA261" s="326" t="s">
        <v>1411</v>
      </c>
      <c r="AD261" s="326" t="s">
        <v>1722</v>
      </c>
      <c r="AE261" s="326" t="s">
        <v>1723</v>
      </c>
      <c r="AG261" s="326" t="s">
        <v>1706</v>
      </c>
      <c r="AH261" s="326" t="s">
        <v>1716</v>
      </c>
      <c r="AM261" s="326" t="s">
        <v>1436</v>
      </c>
      <c r="AN261" s="326" t="s">
        <v>1438</v>
      </c>
      <c r="AQ261" s="322">
        <v>3280</v>
      </c>
      <c r="AR261" s="322" t="s">
        <v>1463</v>
      </c>
      <c r="AS261" s="322"/>
      <c r="AT261"/>
      <c r="AU261"/>
      <c r="AV261"/>
      <c r="AW261" s="334"/>
      <c r="AX261" s="334"/>
      <c r="AY261" s="334"/>
    </row>
    <row r="262" spans="1:51">
      <c r="A262" s="277" t="s">
        <v>130</v>
      </c>
      <c r="B262" s="334" t="str">
        <f>'Jorgensen 2012'!A7</f>
        <v>MidAtlantic Ridge GC6</v>
      </c>
      <c r="C262" s="334">
        <f>'Jorgensen 2012'!F7</f>
        <v>0.65</v>
      </c>
      <c r="I262" s="301">
        <f>'Jorgensen 2012'!G7</f>
        <v>2615.3846153846152</v>
      </c>
      <c r="J262" s="301">
        <f>'Jorgensen 2012'!H7</f>
        <v>0</v>
      </c>
      <c r="K262" s="301">
        <f>I262+J262</f>
        <v>2615.3846153846152</v>
      </c>
      <c r="N262" s="27">
        <f>(J262/K262)</f>
        <v>0</v>
      </c>
      <c r="O262" s="229"/>
      <c r="P262" s="328">
        <f>'Jorgensen 2012'!C7</f>
        <v>29</v>
      </c>
      <c r="R262" s="304"/>
      <c r="S262" s="304"/>
      <c r="T262" s="304"/>
      <c r="U262" s="304"/>
      <c r="V262" s="334"/>
      <c r="W262" s="334"/>
      <c r="X262" s="334"/>
      <c r="Y262" s="334"/>
      <c r="Z262" s="334"/>
      <c r="AA262" s="326" t="s">
        <v>1411</v>
      </c>
      <c r="AD262" s="326" t="s">
        <v>1722</v>
      </c>
      <c r="AE262" s="326" t="s">
        <v>1723</v>
      </c>
      <c r="AG262" s="326" t="s">
        <v>1706</v>
      </c>
      <c r="AH262" s="326" t="s">
        <v>1716</v>
      </c>
      <c r="AM262" s="326" t="s">
        <v>1436</v>
      </c>
      <c r="AN262" s="326" t="s">
        <v>1438</v>
      </c>
      <c r="AQ262" s="322">
        <v>3280</v>
      </c>
      <c r="AR262" s="322" t="s">
        <v>1463</v>
      </c>
      <c r="AS262" s="322"/>
      <c r="AT262"/>
      <c r="AU262"/>
      <c r="AV262"/>
      <c r="AW262" s="334"/>
      <c r="AX262" s="334"/>
      <c r="AY262" s="334"/>
    </row>
    <row r="263" spans="1:51">
      <c r="A263" s="277" t="s">
        <v>130</v>
      </c>
      <c r="B263" s="334" t="str">
        <f>'Jorgensen 2012'!A8</f>
        <v>MidAtlantic Ridge GC6</v>
      </c>
      <c r="C263" s="334">
        <f>'Jorgensen 2012'!F8</f>
        <v>0.88</v>
      </c>
      <c r="I263" s="301">
        <f>'Jorgensen 2012'!G8</f>
        <v>76923076.923076928</v>
      </c>
      <c r="J263" s="301">
        <f>'Jorgensen 2012'!H8</f>
        <v>153846153.84615386</v>
      </c>
      <c r="K263" s="301">
        <f>I263+J263</f>
        <v>230769230.76923078</v>
      </c>
      <c r="N263" s="27">
        <f>(J263/K263)</f>
        <v>0.66666666666666663</v>
      </c>
      <c r="O263" s="229"/>
      <c r="P263">
        <f>'Jorgensen 2012'!C8</f>
        <v>28.9</v>
      </c>
      <c r="R263" s="304"/>
      <c r="S263" s="304"/>
      <c r="T263" s="304"/>
      <c r="U263" s="304"/>
      <c r="V263" s="334"/>
      <c r="W263" s="334"/>
      <c r="X263" s="334"/>
      <c r="Y263" s="334"/>
      <c r="Z263" s="334"/>
      <c r="AA263" s="326" t="s">
        <v>1411</v>
      </c>
      <c r="AD263" s="326" t="s">
        <v>1722</v>
      </c>
      <c r="AE263" s="326" t="s">
        <v>1723</v>
      </c>
      <c r="AG263" s="326" t="s">
        <v>1706</v>
      </c>
      <c r="AH263" s="326" t="s">
        <v>1716</v>
      </c>
      <c r="AM263" s="326" t="s">
        <v>1436</v>
      </c>
      <c r="AN263" s="326" t="s">
        <v>1438</v>
      </c>
      <c r="AQ263" s="323">
        <v>3280</v>
      </c>
      <c r="AR263" s="322" t="s">
        <v>1463</v>
      </c>
      <c r="AS263" s="322"/>
      <c r="AT263"/>
      <c r="AU263"/>
      <c r="AV263"/>
      <c r="AW263" s="334"/>
      <c r="AX263" s="334"/>
      <c r="AY263" s="334"/>
    </row>
    <row r="264" spans="1:51">
      <c r="A264" s="277" t="s">
        <v>130</v>
      </c>
      <c r="B264" s="334" t="str">
        <f>'Jorgensen 2012'!A9</f>
        <v>MidAtlantic Ridge GC6</v>
      </c>
      <c r="C264" s="334">
        <f>'Jorgensen 2012'!F9</f>
        <v>0.95000000000000007</v>
      </c>
      <c r="I264" s="301">
        <f>'Jorgensen 2012'!G9</f>
        <v>33076.923076923078</v>
      </c>
      <c r="J264" s="301">
        <f>'Jorgensen 2012'!H9</f>
        <v>14615.384615384615</v>
      </c>
      <c r="K264" s="301">
        <f>I264+J264</f>
        <v>47692.307692307695</v>
      </c>
      <c r="N264" s="27">
        <f>(J264/K264)</f>
        <v>0.30645161290322581</v>
      </c>
      <c r="O264" s="229"/>
      <c r="P264" s="293">
        <f>'Jorgensen 2012'!C9</f>
        <v>29.8</v>
      </c>
      <c r="R264" s="304"/>
      <c r="S264" s="304"/>
      <c r="T264" s="304"/>
      <c r="U264" s="304"/>
      <c r="V264" s="334"/>
      <c r="W264" s="334"/>
      <c r="X264" s="334"/>
      <c r="Y264" s="327"/>
      <c r="Z264" s="334"/>
      <c r="AA264" s="326" t="s">
        <v>1411</v>
      </c>
      <c r="AD264" s="326" t="s">
        <v>1722</v>
      </c>
      <c r="AE264" s="326" t="s">
        <v>1723</v>
      </c>
      <c r="AG264" s="326" t="s">
        <v>1706</v>
      </c>
      <c r="AH264" s="326" t="s">
        <v>1716</v>
      </c>
      <c r="AM264" s="326" t="s">
        <v>1436</v>
      </c>
      <c r="AN264" s="326" t="s">
        <v>1438</v>
      </c>
      <c r="AQ264" s="323">
        <v>3280</v>
      </c>
      <c r="AR264" s="322" t="s">
        <v>1463</v>
      </c>
      <c r="AS264" s="322"/>
      <c r="AT264"/>
      <c r="AU264"/>
      <c r="AV264"/>
      <c r="AW264" s="334"/>
      <c r="AX264" s="334"/>
      <c r="AY264" s="334"/>
    </row>
    <row r="265" spans="1:51">
      <c r="A265" s="277" t="s">
        <v>130</v>
      </c>
      <c r="B265" s="334" t="str">
        <f>'Jorgensen 2012'!A10</f>
        <v>MidAtlantic Ridge GC6</v>
      </c>
      <c r="C265" s="334">
        <f>'Jorgensen 2012'!F10</f>
        <v>1.56</v>
      </c>
      <c r="I265" s="301">
        <f>'Jorgensen 2012'!G10</f>
        <v>846153.84615384613</v>
      </c>
      <c r="J265" s="301">
        <f>'Jorgensen 2012'!H10</f>
        <v>846153.84615384613</v>
      </c>
      <c r="K265" s="301">
        <f>I265+J265</f>
        <v>1692307.6923076923</v>
      </c>
      <c r="N265" s="27">
        <f>(J265/K265)</f>
        <v>0.5</v>
      </c>
      <c r="O265" s="229"/>
      <c r="P265">
        <f>'Jorgensen 2012'!C10</f>
        <v>28</v>
      </c>
      <c r="R265" s="304"/>
      <c r="S265" s="304"/>
      <c r="T265" s="304"/>
      <c r="U265" s="304"/>
      <c r="V265" s="334"/>
      <c r="W265" s="334"/>
      <c r="X265" s="334"/>
      <c r="Y265" s="327"/>
      <c r="Z265" s="334"/>
      <c r="AA265" s="326" t="s">
        <v>1411</v>
      </c>
      <c r="AD265" s="326" t="s">
        <v>1722</v>
      </c>
      <c r="AE265" s="326" t="s">
        <v>1723</v>
      </c>
      <c r="AG265" s="326" t="s">
        <v>1706</v>
      </c>
      <c r="AH265" s="326" t="s">
        <v>1716</v>
      </c>
      <c r="AM265" s="326" t="s">
        <v>1436</v>
      </c>
      <c r="AN265" s="326" t="s">
        <v>1438</v>
      </c>
      <c r="AQ265" s="323">
        <v>3280</v>
      </c>
      <c r="AR265" s="322" t="s">
        <v>1463</v>
      </c>
      <c r="AS265" s="322"/>
      <c r="AT265"/>
      <c r="AU265"/>
      <c r="AV265"/>
      <c r="AW265" s="334"/>
      <c r="AX265" s="334"/>
      <c r="AY265" s="334"/>
    </row>
    <row r="266" spans="1:51">
      <c r="A266" s="277" t="s">
        <v>130</v>
      </c>
      <c r="B266" s="334" t="str">
        <f>'Jorgensen 2012'!A11</f>
        <v>MidAtlantic Ridge GC6</v>
      </c>
      <c r="C266" s="334">
        <f>'Jorgensen 2012'!F11</f>
        <v>1.74</v>
      </c>
      <c r="I266" s="301">
        <f>'Jorgensen 2012'!G11</f>
        <v>4230769.230769231</v>
      </c>
      <c r="J266" s="301">
        <f>'Jorgensen 2012'!H11</f>
        <v>13076923.076923076</v>
      </c>
      <c r="K266" s="301">
        <f>I266+J266</f>
        <v>17307692.307692308</v>
      </c>
      <c r="N266" s="27">
        <f>(J266/K266)</f>
        <v>0.75555555555555554</v>
      </c>
      <c r="O266" s="229"/>
      <c r="P266" s="323">
        <f>'Jorgensen 2012'!C11</f>
        <v>29.5</v>
      </c>
      <c r="R266" s="304"/>
      <c r="S266" s="304"/>
      <c r="T266" s="304"/>
      <c r="U266" s="304"/>
      <c r="V266" s="334"/>
      <c r="W266" s="334"/>
      <c r="X266" s="334"/>
      <c r="Y266" s="328"/>
      <c r="Z266" s="334"/>
      <c r="AA266" s="326" t="s">
        <v>1411</v>
      </c>
      <c r="AD266" s="326" t="s">
        <v>1722</v>
      </c>
      <c r="AE266" s="326" t="s">
        <v>1723</v>
      </c>
      <c r="AG266" s="326" t="s">
        <v>1706</v>
      </c>
      <c r="AH266" s="326" t="s">
        <v>1716</v>
      </c>
      <c r="AM266" s="326" t="s">
        <v>1436</v>
      </c>
      <c r="AN266" s="326" t="s">
        <v>1438</v>
      </c>
      <c r="AQ266" s="323">
        <v>3280</v>
      </c>
      <c r="AR266" s="322" t="s">
        <v>1463</v>
      </c>
      <c r="AS266" s="322"/>
      <c r="AT266"/>
      <c r="AU266"/>
      <c r="AV266"/>
      <c r="AW266" s="334"/>
      <c r="AX266" s="334"/>
      <c r="AY266" s="334"/>
    </row>
    <row r="267" spans="1:51">
      <c r="A267" s="277" t="s">
        <v>130</v>
      </c>
      <c r="B267" s="334" t="str">
        <f>'Jorgensen 2012'!A12</f>
        <v>MidAtlantic Ridge GC6</v>
      </c>
      <c r="C267" s="334">
        <f>'Jorgensen 2012'!F12</f>
        <v>2.3199999999999998</v>
      </c>
      <c r="I267" s="301">
        <f>'Jorgensen 2012'!G12</f>
        <v>138461.53846153847</v>
      </c>
      <c r="J267" s="301">
        <f>'Jorgensen 2012'!H12</f>
        <v>23076.923076923074</v>
      </c>
      <c r="K267" s="301">
        <f>I267+J267</f>
        <v>161538.46153846153</v>
      </c>
      <c r="N267" s="27">
        <f>(J267/K267)</f>
        <v>0.14285714285714285</v>
      </c>
      <c r="O267" s="229"/>
      <c r="P267" s="334">
        <f>'Jorgensen 2012'!C12</f>
        <v>28.2</v>
      </c>
      <c r="R267" s="304"/>
      <c r="S267" s="304"/>
      <c r="V267" s="334"/>
      <c r="W267" s="334"/>
      <c r="X267" s="334"/>
      <c r="Y267" s="326"/>
      <c r="Z267" s="334"/>
      <c r="AA267" s="326" t="s">
        <v>1411</v>
      </c>
      <c r="AD267" s="326" t="s">
        <v>1722</v>
      </c>
      <c r="AE267" s="326" t="s">
        <v>1723</v>
      </c>
      <c r="AG267" s="326" t="s">
        <v>1706</v>
      </c>
      <c r="AH267" s="326" t="s">
        <v>1716</v>
      </c>
      <c r="AM267" s="326" t="s">
        <v>1436</v>
      </c>
      <c r="AN267" s="326" t="s">
        <v>1438</v>
      </c>
      <c r="AQ267" s="323">
        <v>3280</v>
      </c>
      <c r="AR267" s="322" t="s">
        <v>1463</v>
      </c>
      <c r="AS267" s="322"/>
      <c r="AT267"/>
      <c r="AU267"/>
      <c r="AV267"/>
      <c r="AW267" s="334"/>
      <c r="AX267" s="334"/>
      <c r="AY267" s="334"/>
    </row>
    <row r="268" spans="1:51">
      <c r="A268" s="277" t="s">
        <v>130</v>
      </c>
      <c r="B268" s="334" t="str">
        <f>'Jorgensen 2012'!A13</f>
        <v>MidAtlantic Ridge GC6</v>
      </c>
      <c r="C268" s="334">
        <f>'Jorgensen 2012'!F13</f>
        <v>2.96</v>
      </c>
      <c r="I268" s="301">
        <f>'Jorgensen 2012'!G13</f>
        <v>13846.153846153846</v>
      </c>
      <c r="J268" s="301">
        <f>'Jorgensen 2012'!H13</f>
        <v>39230.769230769227</v>
      </c>
      <c r="K268" s="301">
        <f>I268+J268</f>
        <v>53076.923076923071</v>
      </c>
      <c r="N268" s="27">
        <f>(J268/K268)</f>
        <v>0.73913043478260876</v>
      </c>
      <c r="O268" s="229"/>
      <c r="P268" s="334">
        <f>'Jorgensen 2012'!C13</f>
        <v>29.6</v>
      </c>
      <c r="R268" s="304"/>
      <c r="V268" s="334"/>
      <c r="W268" s="334"/>
      <c r="X268" s="334"/>
      <c r="Y268" s="326"/>
      <c r="Z268" s="334"/>
      <c r="AA268" s="326" t="s">
        <v>1411</v>
      </c>
      <c r="AD268" s="326" t="s">
        <v>1722</v>
      </c>
      <c r="AE268" s="326" t="s">
        <v>1723</v>
      </c>
      <c r="AG268" s="326" t="s">
        <v>1706</v>
      </c>
      <c r="AH268" s="326" t="s">
        <v>1716</v>
      </c>
      <c r="AM268" s="326" t="s">
        <v>1436</v>
      </c>
      <c r="AN268" s="326" t="s">
        <v>1438</v>
      </c>
      <c r="AQ268" s="323">
        <v>3280</v>
      </c>
      <c r="AR268" s="322" t="s">
        <v>1463</v>
      </c>
      <c r="AT268"/>
      <c r="AU268"/>
      <c r="AV268"/>
      <c r="AW268" s="334"/>
      <c r="AX268" s="334"/>
      <c r="AY268" s="334"/>
    </row>
    <row r="269" spans="1:51">
      <c r="A269" s="334" t="s">
        <v>1244</v>
      </c>
      <c r="B269" s="334" t="s">
        <v>1597</v>
      </c>
      <c r="C269" s="334">
        <f>'Knittel 2003, Table 2 &amp; 3 Comb'!B11</f>
        <v>5.0000000000000001E-3</v>
      </c>
      <c r="D269" s="301">
        <f>'Knittel 2003, Table 2 &amp; 3 Comb'!E11</f>
        <v>46000000000</v>
      </c>
      <c r="E269" s="301">
        <f>'Knittel 2003, Table 2 &amp; 3 Comb'!I11</f>
        <v>23920000000</v>
      </c>
      <c r="F269" s="301">
        <f>'Knittel 2003, Table 2 &amp; 3 Comb'!K11</f>
        <v>460000000</v>
      </c>
      <c r="G269" s="301">
        <f>E269+F269</f>
        <v>24380000000</v>
      </c>
      <c r="H269" s="336">
        <f>G269/D269</f>
        <v>0.53</v>
      </c>
      <c r="M269" s="27">
        <f>(F269/G269)</f>
        <v>1.8867924528301886E-2</v>
      </c>
      <c r="O269" s="229" t="s">
        <v>1376</v>
      </c>
      <c r="R269" s="304" t="s">
        <v>1395</v>
      </c>
      <c r="S269" t="s">
        <v>141</v>
      </c>
      <c r="T269" t="s">
        <v>61</v>
      </c>
      <c r="U269" t="s">
        <v>61</v>
      </c>
      <c r="V269" s="334"/>
      <c r="W269" s="334"/>
      <c r="X269" s="334"/>
      <c r="Y269" s="334"/>
      <c r="Z269" s="334"/>
      <c r="AB269" s="306" t="s">
        <v>1739</v>
      </c>
      <c r="AC269" s="334" t="s">
        <v>1702</v>
      </c>
      <c r="AP269" t="b">
        <v>1</v>
      </c>
      <c r="AQ269" s="323">
        <v>780</v>
      </c>
      <c r="AR269" s="322" t="s">
        <v>1463</v>
      </c>
      <c r="AT269"/>
      <c r="AU269"/>
      <c r="AV269"/>
      <c r="AW269" s="334"/>
      <c r="AX269" s="334"/>
      <c r="AY269" s="334"/>
    </row>
    <row r="270" spans="1:51">
      <c r="A270" s="334" t="s">
        <v>1244</v>
      </c>
      <c r="B270" s="334" t="s">
        <v>1597</v>
      </c>
      <c r="C270" s="334">
        <f>'Knittel 2003, Table 2 &amp; 3 Comb'!B12</f>
        <v>1.4999999999999999E-2</v>
      </c>
      <c r="D270" s="301">
        <f>'Knittel 2003, Table 2 &amp; 3 Comb'!E12</f>
        <v>27000000000</v>
      </c>
      <c r="E270" s="301">
        <f>'Knittel 2003, Table 2 &amp; 3 Comb'!I12</f>
        <v>5940000000</v>
      </c>
      <c r="F270" s="301">
        <f>'Knittel 2003, Table 2 &amp; 3 Comb'!K12</f>
        <v>1080000000</v>
      </c>
      <c r="G270" s="301">
        <f>E270+F270</f>
        <v>7020000000</v>
      </c>
      <c r="H270" s="336">
        <f>G270/D270</f>
        <v>0.26</v>
      </c>
      <c r="M270" s="27">
        <f>(F270/G270)</f>
        <v>0.15384615384615385</v>
      </c>
      <c r="O270" s="229" t="s">
        <v>1376</v>
      </c>
      <c r="R270" s="304" t="s">
        <v>1395</v>
      </c>
      <c r="S270" t="s">
        <v>141</v>
      </c>
      <c r="T270" t="s">
        <v>61</v>
      </c>
      <c r="U270" t="s">
        <v>61</v>
      </c>
      <c r="V270" s="334"/>
      <c r="W270" s="334"/>
      <c r="X270" s="334"/>
      <c r="Y270" s="326"/>
      <c r="Z270" s="334"/>
      <c r="AB270" s="306" t="s">
        <v>1739</v>
      </c>
      <c r="AC270" s="334" t="s">
        <v>1702</v>
      </c>
      <c r="AP270" t="b">
        <v>1</v>
      </c>
      <c r="AQ270" s="323">
        <v>780</v>
      </c>
      <c r="AR270" s="322" t="s">
        <v>1463</v>
      </c>
      <c r="AT270"/>
      <c r="AU270"/>
      <c r="AV270"/>
      <c r="AW270" s="334"/>
      <c r="AX270" s="334"/>
      <c r="AY270" s="334"/>
    </row>
    <row r="271" spans="1:51">
      <c r="A271" s="334" t="s">
        <v>1243</v>
      </c>
      <c r="B271" s="334" t="s">
        <v>1596</v>
      </c>
      <c r="C271" s="334">
        <f>'Knittel 2003, Table 2 &amp; 3 Comb'!B13</f>
        <v>2.5000000000000001E-2</v>
      </c>
      <c r="D271" s="301">
        <f>'Knittel 2003, Table 2 &amp; 3 Comb'!E13</f>
        <v>36000000000</v>
      </c>
      <c r="E271" s="301">
        <f>'Knittel 2003, Table 2 &amp; 3 Comb'!I13</f>
        <v>8640000000</v>
      </c>
      <c r="F271" s="301">
        <f>'Knittel 2003, Table 2 &amp; 3 Comb'!K13</f>
        <v>720000000</v>
      </c>
      <c r="G271" s="301">
        <f>E271+F271</f>
        <v>9360000000</v>
      </c>
      <c r="H271" s="336">
        <f>G271/D271</f>
        <v>0.26</v>
      </c>
      <c r="M271" s="27">
        <f>(F271/G271)</f>
        <v>7.6923076923076927E-2</v>
      </c>
      <c r="O271" s="229" t="s">
        <v>1376</v>
      </c>
      <c r="P271" s="334"/>
      <c r="R271" s="304" t="s">
        <v>1395</v>
      </c>
      <c r="S271" t="s">
        <v>141</v>
      </c>
      <c r="T271" t="s">
        <v>61</v>
      </c>
      <c r="U271" t="s">
        <v>61</v>
      </c>
      <c r="V271" s="334"/>
      <c r="W271" s="334"/>
      <c r="X271" s="334"/>
      <c r="Y271" s="323"/>
      <c r="Z271" s="334"/>
      <c r="AB271" s="306" t="s">
        <v>1739</v>
      </c>
      <c r="AC271" s="334" t="s">
        <v>1702</v>
      </c>
      <c r="AP271" t="b">
        <v>1</v>
      </c>
      <c r="AQ271" s="323">
        <v>780</v>
      </c>
      <c r="AR271" s="322" t="s">
        <v>1463</v>
      </c>
      <c r="AT271"/>
      <c r="AU271"/>
      <c r="AV271"/>
      <c r="AW271" s="334"/>
      <c r="AX271" s="334"/>
      <c r="AY271" s="334"/>
    </row>
    <row r="272" spans="1:51">
      <c r="A272" s="334" t="s">
        <v>1243</v>
      </c>
      <c r="B272" s="334" t="s">
        <v>1596</v>
      </c>
      <c r="C272" s="334">
        <f>'Knittel 2003, Table 2 &amp; 3 Comb'!B14</f>
        <v>3.5000000000000003E-2</v>
      </c>
      <c r="D272" s="301">
        <f>'Knittel 2003, Table 2 &amp; 3 Comb'!E14</f>
        <v>10000000000</v>
      </c>
      <c r="E272" s="301">
        <f>'Knittel 2003, Table 2 &amp; 3 Comb'!I14</f>
        <v>2000000000</v>
      </c>
      <c r="F272" s="301">
        <f>'Knittel 2003, Table 2 &amp; 3 Comb'!K14</f>
        <v>100000000</v>
      </c>
      <c r="G272" s="301">
        <f>E272+F272</f>
        <v>2100000000</v>
      </c>
      <c r="H272" s="336">
        <f>G272/D272</f>
        <v>0.21</v>
      </c>
      <c r="M272" s="27">
        <f>(F272/G272)</f>
        <v>4.7619047619047616E-2</v>
      </c>
      <c r="O272" s="229" t="s">
        <v>1376</v>
      </c>
      <c r="P272" s="334"/>
      <c r="R272" s="304" t="s">
        <v>1395</v>
      </c>
      <c r="S272" t="s">
        <v>141</v>
      </c>
      <c r="T272" t="s">
        <v>61</v>
      </c>
      <c r="U272" t="s">
        <v>61</v>
      </c>
      <c r="V272" s="334"/>
      <c r="W272" s="334"/>
      <c r="X272" s="334"/>
      <c r="Y272" s="323"/>
      <c r="Z272" s="334"/>
      <c r="AB272" s="306" t="s">
        <v>1739</v>
      </c>
      <c r="AC272" s="334" t="s">
        <v>1702</v>
      </c>
      <c r="AP272" t="b">
        <v>1</v>
      </c>
      <c r="AQ272" s="323">
        <v>780</v>
      </c>
      <c r="AR272" s="322" t="s">
        <v>1463</v>
      </c>
      <c r="AT272"/>
      <c r="AU272"/>
      <c r="AV272"/>
      <c r="AW272" s="334"/>
      <c r="AX272" s="334"/>
      <c r="AY272" s="334"/>
    </row>
    <row r="273" spans="1:51">
      <c r="A273" s="334" t="s">
        <v>1243</v>
      </c>
      <c r="B273" s="334" t="s">
        <v>1596</v>
      </c>
      <c r="C273" s="334">
        <f>'Knittel 2003, Table 2 &amp; 3 Comb'!B15</f>
        <v>4.4999999999999998E-2</v>
      </c>
      <c r="D273" s="301">
        <f>'Knittel 2003, Table 2 &amp; 3 Comb'!E15</f>
        <v>16000000000</v>
      </c>
      <c r="E273" s="301">
        <f>'Knittel 2003, Table 2 &amp; 3 Comb'!I15</f>
        <v>3360000000</v>
      </c>
      <c r="F273" s="301">
        <f>'Knittel 2003, Table 2 &amp; 3 Comb'!K15</f>
        <v>1120000000</v>
      </c>
      <c r="G273" s="301">
        <f>E273+F273</f>
        <v>4480000000</v>
      </c>
      <c r="H273" s="336">
        <f>G273/D273</f>
        <v>0.28000000000000003</v>
      </c>
      <c r="M273" s="27">
        <f>(F273/G273)</f>
        <v>0.25</v>
      </c>
      <c r="O273" s="229" t="s">
        <v>1376</v>
      </c>
      <c r="P273" s="334"/>
      <c r="R273" s="304" t="s">
        <v>1395</v>
      </c>
      <c r="S273" t="s">
        <v>141</v>
      </c>
      <c r="T273" t="s">
        <v>61</v>
      </c>
      <c r="U273" t="s">
        <v>61</v>
      </c>
      <c r="V273" s="334"/>
      <c r="W273" s="334"/>
      <c r="X273" s="334"/>
      <c r="Y273" s="328"/>
      <c r="Z273" s="334"/>
      <c r="AB273" s="306" t="s">
        <v>1739</v>
      </c>
      <c r="AC273" s="334" t="s">
        <v>1702</v>
      </c>
      <c r="AP273" t="b">
        <v>1</v>
      </c>
      <c r="AQ273" s="323">
        <v>780</v>
      </c>
      <c r="AR273" s="322" t="s">
        <v>1463</v>
      </c>
      <c r="AT273"/>
      <c r="AU273"/>
      <c r="AV273"/>
      <c r="AW273" s="334"/>
      <c r="AX273" s="334"/>
      <c r="AY273" s="334"/>
    </row>
    <row r="274" spans="1:51">
      <c r="A274" s="334" t="s">
        <v>1243</v>
      </c>
      <c r="B274" s="334" t="s">
        <v>1596</v>
      </c>
      <c r="C274" s="334">
        <f>'Knittel 2003, Table 2 &amp; 3 Comb'!B16</f>
        <v>5.5E-2</v>
      </c>
      <c r="D274" s="301">
        <f>'Knittel 2003, Table 2 &amp; 3 Comb'!E16</f>
        <v>31000000000</v>
      </c>
      <c r="E274" s="301">
        <f>'Knittel 2003, Table 2 &amp; 3 Comb'!I16</f>
        <v>6200000000</v>
      </c>
      <c r="F274" s="301">
        <f>'Knittel 2003, Table 2 &amp; 3 Comb'!K16</f>
        <v>930000000</v>
      </c>
      <c r="G274" s="301">
        <f>E274+F274</f>
        <v>7130000000</v>
      </c>
      <c r="H274" s="336">
        <f>G274/D274</f>
        <v>0.23</v>
      </c>
      <c r="M274" s="27">
        <f>(F274/G274)</f>
        <v>0.13043478260869565</v>
      </c>
      <c r="O274" s="229" t="s">
        <v>1376</v>
      </c>
      <c r="P274" s="334"/>
      <c r="R274" s="304" t="s">
        <v>1395</v>
      </c>
      <c r="S274" t="s">
        <v>141</v>
      </c>
      <c r="T274" t="s">
        <v>61</v>
      </c>
      <c r="U274" t="s">
        <v>61</v>
      </c>
      <c r="V274" s="334"/>
      <c r="W274" s="334"/>
      <c r="X274" s="334"/>
      <c r="Y274" s="316"/>
      <c r="Z274" s="334"/>
      <c r="AB274" s="306" t="s">
        <v>1739</v>
      </c>
      <c r="AC274" s="334" t="s">
        <v>1702</v>
      </c>
      <c r="AP274" t="b">
        <v>1</v>
      </c>
      <c r="AQ274" s="323">
        <v>780</v>
      </c>
      <c r="AR274" s="322" t="s">
        <v>1463</v>
      </c>
      <c r="AT274"/>
      <c r="AU274"/>
      <c r="AV274"/>
      <c r="AW274" s="334"/>
      <c r="AX274" s="334"/>
      <c r="AY274" s="334"/>
    </row>
    <row r="275" spans="1:51">
      <c r="A275" s="334" t="s">
        <v>1243</v>
      </c>
      <c r="B275" s="334" t="s">
        <v>1596</v>
      </c>
      <c r="C275" s="334">
        <f>'Knittel 2003, Table 2 &amp; 3 Comb'!B17</f>
        <v>6.5000000000000002E-2</v>
      </c>
      <c r="D275" s="301">
        <f>'Knittel 2003, Table 2 &amp; 3 Comb'!E17</f>
        <v>13000000000</v>
      </c>
      <c r="E275" s="301">
        <f>'Knittel 2003, Table 2 &amp; 3 Comb'!I17</f>
        <v>2340000000</v>
      </c>
      <c r="F275" s="301">
        <f>'Knittel 2003, Table 2 &amp; 3 Comb'!K17</f>
        <v>130000000</v>
      </c>
      <c r="G275" s="301">
        <f>E275+F275</f>
        <v>2470000000</v>
      </c>
      <c r="H275" s="336">
        <f>G275/D275</f>
        <v>0.19</v>
      </c>
      <c r="M275" s="27">
        <f>(F275/G275)</f>
        <v>5.2631578947368418E-2</v>
      </c>
      <c r="O275" s="229" t="s">
        <v>1376</v>
      </c>
      <c r="R275" s="304" t="s">
        <v>1395</v>
      </c>
      <c r="S275" t="s">
        <v>141</v>
      </c>
      <c r="T275" t="s">
        <v>61</v>
      </c>
      <c r="U275" t="s">
        <v>61</v>
      </c>
      <c r="V275" s="334"/>
      <c r="W275" s="334"/>
      <c r="X275" s="334"/>
      <c r="Y275" s="328"/>
      <c r="Z275" s="334"/>
      <c r="AB275" s="306" t="s">
        <v>1739</v>
      </c>
      <c r="AC275" s="334" t="s">
        <v>1702</v>
      </c>
      <c r="AP275" t="b">
        <v>1</v>
      </c>
      <c r="AQ275" s="323">
        <v>780</v>
      </c>
      <c r="AR275" s="322" t="s">
        <v>1463</v>
      </c>
      <c r="AT275"/>
      <c r="AU275"/>
      <c r="AV275"/>
      <c r="AW275" s="334"/>
      <c r="AX275" s="334"/>
      <c r="AY275" s="334"/>
    </row>
    <row r="276" spans="1:51">
      <c r="A276" s="334" t="s">
        <v>1243</v>
      </c>
      <c r="B276" s="334" t="s">
        <v>1596</v>
      </c>
      <c r="C276" s="334">
        <f>'Knittel 2003, Table 2 &amp; 3 Comb'!B18</f>
        <v>7.4999999999999997E-2</v>
      </c>
      <c r="D276" s="301">
        <f>'Knittel 2003, Table 2 &amp; 3 Comb'!E18</f>
        <v>14000000000</v>
      </c>
      <c r="E276" s="301">
        <f>'Knittel 2003, Table 2 &amp; 3 Comb'!I18</f>
        <v>2380000000</v>
      </c>
      <c r="F276" s="301">
        <f>'Knittel 2003, Table 2 &amp; 3 Comb'!K18</f>
        <v>700000000</v>
      </c>
      <c r="G276" s="301">
        <f>E276+F276</f>
        <v>3080000000</v>
      </c>
      <c r="H276" s="336">
        <f>G276/D276</f>
        <v>0.22</v>
      </c>
      <c r="M276" s="27">
        <f>(F276/G276)</f>
        <v>0.22727272727272727</v>
      </c>
      <c r="O276" s="229" t="s">
        <v>1376</v>
      </c>
      <c r="R276" s="304" t="s">
        <v>1395</v>
      </c>
      <c r="S276" t="s">
        <v>141</v>
      </c>
      <c r="T276" t="s">
        <v>61</v>
      </c>
      <c r="U276" t="s">
        <v>61</v>
      </c>
      <c r="V276" s="334"/>
      <c r="W276" s="334"/>
      <c r="X276" s="334"/>
      <c r="Y276" s="316"/>
      <c r="Z276" s="334"/>
      <c r="AB276" s="306" t="s">
        <v>1739</v>
      </c>
      <c r="AC276" s="334" t="s">
        <v>1702</v>
      </c>
      <c r="AP276" t="b">
        <v>1</v>
      </c>
      <c r="AQ276" s="323">
        <v>780</v>
      </c>
      <c r="AR276" s="322" t="s">
        <v>1463</v>
      </c>
      <c r="AT276"/>
      <c r="AU276"/>
      <c r="AV276"/>
      <c r="AW276" s="334"/>
      <c r="AX276" s="334"/>
      <c r="AY276" s="334"/>
    </row>
    <row r="277" spans="1:51">
      <c r="A277" s="334" t="s">
        <v>1243</v>
      </c>
      <c r="B277" s="334" t="s">
        <v>1596</v>
      </c>
      <c r="C277" s="334">
        <f>'Knittel 2003, Table 2 &amp; 3 Comb'!B19</f>
        <v>9.5000000000000001E-2</v>
      </c>
      <c r="D277" s="301">
        <f>'Knittel 2003, Table 2 &amp; 3 Comb'!E19</f>
        <v>14000000000</v>
      </c>
      <c r="E277" s="301">
        <f>'Knittel 2003, Table 2 &amp; 3 Comb'!I19</f>
        <v>1680000000</v>
      </c>
      <c r="F277" s="301">
        <f>'Knittel 2003, Table 2 &amp; 3 Comb'!K19</f>
        <v>3220000000</v>
      </c>
      <c r="G277" s="301">
        <f>E277+F277</f>
        <v>4900000000</v>
      </c>
      <c r="H277" s="336">
        <f>G277/D277</f>
        <v>0.35</v>
      </c>
      <c r="M277" s="27">
        <f>(F277/G277)</f>
        <v>0.65714285714285714</v>
      </c>
      <c r="O277" s="229" t="s">
        <v>1376</v>
      </c>
      <c r="R277" s="304" t="s">
        <v>1395</v>
      </c>
      <c r="S277" t="s">
        <v>141</v>
      </c>
      <c r="T277" t="s">
        <v>61</v>
      </c>
      <c r="U277" t="s">
        <v>61</v>
      </c>
      <c r="V277" s="334"/>
      <c r="W277" s="334"/>
      <c r="X277" s="334"/>
      <c r="Y277" s="328"/>
      <c r="Z277" s="334"/>
      <c r="AB277" s="306" t="s">
        <v>1739</v>
      </c>
      <c r="AC277" s="334" t="s">
        <v>1702</v>
      </c>
      <c r="AP277" t="b">
        <v>1</v>
      </c>
      <c r="AQ277" s="323">
        <v>780</v>
      </c>
      <c r="AR277" s="322" t="s">
        <v>1463</v>
      </c>
      <c r="AT277"/>
      <c r="AU277"/>
      <c r="AV277"/>
      <c r="AW277" s="334"/>
      <c r="AX277" s="334"/>
      <c r="AY277" s="334"/>
    </row>
    <row r="278" spans="1:51">
      <c r="A278" s="334" t="s">
        <v>1243</v>
      </c>
      <c r="B278" s="334" t="s">
        <v>1596</v>
      </c>
      <c r="C278" s="334">
        <f>'Knittel 2003, Table 2 &amp; 3 Comb'!B20</f>
        <v>0.14499999999999999</v>
      </c>
      <c r="D278" s="301">
        <f>'Knittel 2003, Table 2 &amp; 3 Comb'!E20</f>
        <v>8000000000</v>
      </c>
      <c r="E278" s="301">
        <f>'Knittel 2003, Table 2 &amp; 3 Comb'!I20</f>
        <v>1200000000</v>
      </c>
      <c r="F278" s="301">
        <f>'Knittel 2003, Table 2 &amp; 3 Comb'!K20</f>
        <v>1120000000</v>
      </c>
      <c r="G278" s="301">
        <f>E278+F278</f>
        <v>2320000000</v>
      </c>
      <c r="H278" s="336">
        <f>G278/D278</f>
        <v>0.28999999999999998</v>
      </c>
      <c r="M278" s="27">
        <f>(F278/G278)</f>
        <v>0.48275862068965519</v>
      </c>
      <c r="O278" s="229" t="s">
        <v>1376</v>
      </c>
      <c r="P278" s="334"/>
      <c r="R278" s="304" t="s">
        <v>1395</v>
      </c>
      <c r="S278" t="s">
        <v>141</v>
      </c>
      <c r="T278" t="s">
        <v>61</v>
      </c>
      <c r="U278" t="s">
        <v>61</v>
      </c>
      <c r="V278" s="334"/>
      <c r="W278" s="334"/>
      <c r="X278" s="334"/>
      <c r="Y278" s="328"/>
      <c r="Z278" s="334"/>
      <c r="AB278" s="306" t="s">
        <v>1739</v>
      </c>
      <c r="AC278" s="334" t="s">
        <v>1702</v>
      </c>
      <c r="AP278" t="b">
        <v>1</v>
      </c>
      <c r="AQ278" s="323">
        <v>780</v>
      </c>
      <c r="AR278" s="322" t="s">
        <v>1463</v>
      </c>
      <c r="AT278"/>
      <c r="AU278"/>
      <c r="AV278"/>
      <c r="AW278" s="334"/>
      <c r="AX278" s="334"/>
      <c r="AY278" s="334"/>
    </row>
    <row r="279" spans="1:51">
      <c r="A279" s="334" t="s">
        <v>1243</v>
      </c>
      <c r="B279" s="334" t="s">
        <v>1599</v>
      </c>
      <c r="C279" s="334">
        <f>'Knittel 2003, Table 2 &amp; 3 Comb'!B57</f>
        <v>5.0000000000000001E-3</v>
      </c>
      <c r="D279" s="301">
        <f>'Knittel 2003, Table 2 &amp; 3 Comb'!E57</f>
        <v>18000000000</v>
      </c>
      <c r="E279" s="301">
        <f>'Knittel 2003, Table 2 &amp; 3 Comb'!I57</f>
        <v>7200000000</v>
      </c>
      <c r="F279" s="301">
        <f>'Knittel 2003, Table 2 &amp; 3 Comb'!K57</f>
        <v>180000000</v>
      </c>
      <c r="G279" s="301">
        <f>E279+F279</f>
        <v>7380000000</v>
      </c>
      <c r="H279" s="336">
        <f>G279/D279</f>
        <v>0.41</v>
      </c>
      <c r="M279" s="27">
        <f>(F279/G279)</f>
        <v>2.4390243902439025E-2</v>
      </c>
      <c r="O279" s="229" t="s">
        <v>1376</v>
      </c>
      <c r="P279" s="293"/>
      <c r="R279" s="304" t="s">
        <v>1395</v>
      </c>
      <c r="S279" t="s">
        <v>141</v>
      </c>
      <c r="T279" t="s">
        <v>61</v>
      </c>
      <c r="U279" t="s">
        <v>61</v>
      </c>
      <c r="V279" s="334"/>
      <c r="W279" s="334"/>
      <c r="X279" s="334"/>
      <c r="Z279" s="334"/>
      <c r="AB279" s="306" t="s">
        <v>1739</v>
      </c>
      <c r="AC279" s="334" t="s">
        <v>1702</v>
      </c>
      <c r="AP279" t="b">
        <v>1</v>
      </c>
      <c r="AQ279" s="323">
        <v>780</v>
      </c>
      <c r="AR279" s="322" t="s">
        <v>1463</v>
      </c>
      <c r="AT279"/>
      <c r="AU279"/>
      <c r="AV279"/>
      <c r="AW279" s="334"/>
      <c r="AX279" s="334"/>
      <c r="AY279" s="334"/>
    </row>
    <row r="280" spans="1:51">
      <c r="A280" s="334" t="s">
        <v>1243</v>
      </c>
      <c r="B280" s="334" t="s">
        <v>1599</v>
      </c>
      <c r="C280" s="334">
        <f>'Knittel 2003, Table 2 &amp; 3 Comb'!B58</f>
        <v>1.4999999999999999E-2</v>
      </c>
      <c r="D280" s="301">
        <f>'Knittel 2003, Table 2 &amp; 3 Comb'!E58</f>
        <v>18000000000</v>
      </c>
      <c r="E280" s="301">
        <f>'Knittel 2003, Table 2 &amp; 3 Comb'!I58</f>
        <v>3060000000</v>
      </c>
      <c r="F280" s="301">
        <f>'Knittel 2003, Table 2 &amp; 3 Comb'!K58</f>
        <v>180000000</v>
      </c>
      <c r="G280" s="301">
        <f>E280+F280</f>
        <v>3240000000</v>
      </c>
      <c r="H280" s="336">
        <f>G280/D280</f>
        <v>0.18</v>
      </c>
      <c r="M280" s="27">
        <f>(F280/G280)</f>
        <v>5.5555555555555552E-2</v>
      </c>
      <c r="O280" s="229" t="s">
        <v>1376</v>
      </c>
      <c r="P280" s="334"/>
      <c r="R280" s="304" t="s">
        <v>1395</v>
      </c>
      <c r="S280" t="s">
        <v>141</v>
      </c>
      <c r="T280" t="s">
        <v>61</v>
      </c>
      <c r="U280" t="s">
        <v>61</v>
      </c>
      <c r="V280" s="334"/>
      <c r="W280" s="334"/>
      <c r="X280" s="334"/>
      <c r="Y280" s="327"/>
      <c r="Z280" s="334"/>
      <c r="AB280" s="306" t="s">
        <v>1739</v>
      </c>
      <c r="AC280" s="334" t="s">
        <v>1702</v>
      </c>
      <c r="AP280" t="b">
        <v>1</v>
      </c>
      <c r="AQ280" s="323">
        <v>780</v>
      </c>
      <c r="AR280" s="322" t="s">
        <v>1463</v>
      </c>
      <c r="AT280"/>
      <c r="AU280"/>
      <c r="AV280"/>
      <c r="AW280" s="334"/>
      <c r="AX280" s="334"/>
      <c r="AY280" s="334"/>
    </row>
    <row r="281" spans="1:51">
      <c r="A281" s="334" t="s">
        <v>1243</v>
      </c>
      <c r="B281" s="334" t="s">
        <v>1598</v>
      </c>
      <c r="C281" s="334">
        <f>'Knittel 2003, Table 2 &amp; 3 Comb'!B59</f>
        <v>2.5000000000000001E-2</v>
      </c>
      <c r="D281" s="301">
        <f>'Knittel 2003, Table 2 &amp; 3 Comb'!E59</f>
        <v>33000000000</v>
      </c>
      <c r="E281" s="301">
        <f>'Knittel 2003, Table 2 &amp; 3 Comb'!I59</f>
        <v>7920000000</v>
      </c>
      <c r="F281" s="301">
        <f>'Knittel 2003, Table 2 &amp; 3 Comb'!K59</f>
        <v>990000000</v>
      </c>
      <c r="G281" s="301">
        <f>E281+F281</f>
        <v>8910000000</v>
      </c>
      <c r="H281" s="336">
        <f>G281/D281</f>
        <v>0.27</v>
      </c>
      <c r="M281" s="27">
        <f>(F281/G281)</f>
        <v>0.1111111111111111</v>
      </c>
      <c r="O281" s="229" t="s">
        <v>1376</v>
      </c>
      <c r="P281" s="334"/>
      <c r="R281" s="304" t="s">
        <v>1395</v>
      </c>
      <c r="S281" t="s">
        <v>141</v>
      </c>
      <c r="T281" t="s">
        <v>61</v>
      </c>
      <c r="U281" t="s">
        <v>61</v>
      </c>
      <c r="V281" s="334"/>
      <c r="W281" s="334"/>
      <c r="X281" s="334"/>
      <c r="Y281" s="323"/>
      <c r="Z281" s="334"/>
      <c r="AB281" s="306" t="s">
        <v>1739</v>
      </c>
      <c r="AC281" s="334" t="s">
        <v>1702</v>
      </c>
      <c r="AP281" t="b">
        <v>1</v>
      </c>
      <c r="AQ281" s="323">
        <v>780</v>
      </c>
      <c r="AR281" s="322" t="s">
        <v>1463</v>
      </c>
      <c r="AT281"/>
      <c r="AU281"/>
      <c r="AV281"/>
      <c r="AW281" s="334"/>
      <c r="AX281" s="334"/>
      <c r="AY281" s="334"/>
    </row>
    <row r="282" spans="1:51">
      <c r="A282" s="334" t="s">
        <v>1243</v>
      </c>
      <c r="B282" s="334" t="s">
        <v>1598</v>
      </c>
      <c r="C282" s="334">
        <f>'Knittel 2003, Table 2 &amp; 3 Comb'!B60</f>
        <v>3.5000000000000003E-2</v>
      </c>
      <c r="D282" s="301">
        <f>'Knittel 2003, Table 2 &amp; 3 Comb'!E60</f>
        <v>42000000000</v>
      </c>
      <c r="E282" s="301">
        <f>'Knittel 2003, Table 2 &amp; 3 Comb'!I60</f>
        <v>6300000000</v>
      </c>
      <c r="F282" s="301">
        <f>'Knittel 2003, Table 2 &amp; 3 Comb'!K60</f>
        <v>420000000</v>
      </c>
      <c r="G282" s="301">
        <f>E282+F282</f>
        <v>6720000000</v>
      </c>
      <c r="H282" s="27">
        <f>G282/D282</f>
        <v>0.16</v>
      </c>
      <c r="M282" s="27">
        <f>(F282/G282)</f>
        <v>6.25E-2</v>
      </c>
      <c r="O282" s="229" t="s">
        <v>1376</v>
      </c>
      <c r="P282" s="293"/>
      <c r="R282" s="304" t="s">
        <v>1395</v>
      </c>
      <c r="S282" t="s">
        <v>141</v>
      </c>
      <c r="T282" t="s">
        <v>61</v>
      </c>
      <c r="U282" t="s">
        <v>61</v>
      </c>
      <c r="V282" s="334"/>
      <c r="W282" s="334"/>
      <c r="X282" s="334"/>
      <c r="Y282" s="327"/>
      <c r="Z282" s="334"/>
      <c r="AB282" s="306" t="s">
        <v>1739</v>
      </c>
      <c r="AC282" s="334" t="s">
        <v>1702</v>
      </c>
      <c r="AP282" t="b">
        <v>1</v>
      </c>
      <c r="AQ282" s="323">
        <v>780</v>
      </c>
      <c r="AR282" s="322" t="s">
        <v>1463</v>
      </c>
      <c r="AT282"/>
      <c r="AU282"/>
      <c r="AV282"/>
      <c r="AW282" s="334"/>
      <c r="AX282" s="334"/>
      <c r="AY282" s="334"/>
    </row>
    <row r="283" spans="1:51">
      <c r="A283" s="334" t="s">
        <v>1243</v>
      </c>
      <c r="B283" s="334" t="s">
        <v>1598</v>
      </c>
      <c r="C283" s="334">
        <f>'Knittel 2003, Table 2 &amp; 3 Comb'!B61</f>
        <v>4.4999999999999998E-2</v>
      </c>
      <c r="D283" s="301">
        <f>'Knittel 2003, Table 2 &amp; 3 Comb'!E61</f>
        <v>25000000000</v>
      </c>
      <c r="E283" s="301">
        <f>'Knittel 2003, Table 2 &amp; 3 Comb'!I61</f>
        <v>2250000000</v>
      </c>
      <c r="F283" s="301">
        <f>'Knittel 2003, Table 2 &amp; 3 Comb'!K61</f>
        <v>750000000</v>
      </c>
      <c r="G283" s="301">
        <f>E283+F283</f>
        <v>3000000000</v>
      </c>
      <c r="H283" s="27">
        <f>G283/D283</f>
        <v>0.12</v>
      </c>
      <c r="M283" s="27">
        <f>(F283/G283)</f>
        <v>0.25</v>
      </c>
      <c r="O283" s="229" t="s">
        <v>1376</v>
      </c>
      <c r="P283" s="293"/>
      <c r="R283" s="304" t="s">
        <v>1395</v>
      </c>
      <c r="S283" t="s">
        <v>141</v>
      </c>
      <c r="T283" t="s">
        <v>61</v>
      </c>
      <c r="U283" t="s">
        <v>61</v>
      </c>
      <c r="V283" s="334"/>
      <c r="W283" s="334"/>
      <c r="X283" s="334"/>
      <c r="Z283" s="334"/>
      <c r="AB283" s="306" t="s">
        <v>1739</v>
      </c>
      <c r="AC283" s="334" t="s">
        <v>1702</v>
      </c>
      <c r="AP283" t="b">
        <v>1</v>
      </c>
      <c r="AQ283" s="323">
        <v>780</v>
      </c>
      <c r="AR283" s="322" t="s">
        <v>1463</v>
      </c>
      <c r="AT283"/>
      <c r="AU283"/>
      <c r="AV283"/>
      <c r="AW283" s="334"/>
      <c r="AX283" s="334"/>
      <c r="AY283" s="334"/>
    </row>
    <row r="284" spans="1:51">
      <c r="A284" s="334" t="s">
        <v>1243</v>
      </c>
      <c r="B284" s="334" t="s">
        <v>1598</v>
      </c>
      <c r="C284" s="334">
        <f>'Knittel 2003, Table 2 &amp; 3 Comb'!B62</f>
        <v>5.5E-2</v>
      </c>
      <c r="D284" s="301">
        <f>'Knittel 2003, Table 2 &amp; 3 Comb'!E62</f>
        <v>27000000000</v>
      </c>
      <c r="E284" s="301">
        <f>'Knittel 2003, Table 2 &amp; 3 Comb'!I62</f>
        <v>3780000000</v>
      </c>
      <c r="F284" s="301">
        <f>'Knittel 2003, Table 2 &amp; 3 Comb'!K62</f>
        <v>1080000000</v>
      </c>
      <c r="G284" s="301">
        <f>E284+F284</f>
        <v>4860000000</v>
      </c>
      <c r="H284" s="27">
        <f>G284/D284</f>
        <v>0.18</v>
      </c>
      <c r="M284" s="27">
        <f>(F284/G284)</f>
        <v>0.22222222222222221</v>
      </c>
      <c r="O284" s="229" t="s">
        <v>1376</v>
      </c>
      <c r="P284" s="293"/>
      <c r="R284" s="304" t="s">
        <v>1395</v>
      </c>
      <c r="S284" t="s">
        <v>141</v>
      </c>
      <c r="T284" t="s">
        <v>61</v>
      </c>
      <c r="U284" t="s">
        <v>61</v>
      </c>
      <c r="V284" s="334"/>
      <c r="W284" s="334"/>
      <c r="X284" s="334"/>
      <c r="Y284" s="334"/>
      <c r="Z284" s="334"/>
      <c r="AB284" s="306" t="s">
        <v>1739</v>
      </c>
      <c r="AC284" s="334" t="s">
        <v>1702</v>
      </c>
      <c r="AP284" t="b">
        <v>1</v>
      </c>
      <c r="AQ284" s="323">
        <v>780</v>
      </c>
      <c r="AR284" s="322" t="s">
        <v>1463</v>
      </c>
      <c r="AT284"/>
      <c r="AU284"/>
      <c r="AV284"/>
      <c r="AW284" s="334"/>
      <c r="AX284" s="334"/>
      <c r="AY284" s="334"/>
    </row>
    <row r="285" spans="1:51">
      <c r="A285" s="334" t="s">
        <v>1243</v>
      </c>
      <c r="B285" s="334" t="s">
        <v>1598</v>
      </c>
      <c r="C285" s="334">
        <f>'Knittel 2003, Table 2 &amp; 3 Comb'!B63</f>
        <v>6.5000000000000002E-2</v>
      </c>
      <c r="D285" s="301">
        <f>'Knittel 2003, Table 2 &amp; 3 Comb'!E63</f>
        <v>18000000000</v>
      </c>
      <c r="E285" s="301">
        <f>'Knittel 2003, Table 2 &amp; 3 Comb'!I63</f>
        <v>1260000000</v>
      </c>
      <c r="F285" s="301">
        <f>'Knittel 2003, Table 2 &amp; 3 Comb'!K63</f>
        <v>1620000000</v>
      </c>
      <c r="G285" s="301">
        <f>E285+F285</f>
        <v>2880000000</v>
      </c>
      <c r="H285" s="27">
        <f>G285/D285</f>
        <v>0.16</v>
      </c>
      <c r="M285" s="27">
        <f>(F285/G285)</f>
        <v>0.5625</v>
      </c>
      <c r="O285" s="229" t="s">
        <v>1376</v>
      </c>
      <c r="P285" s="293"/>
      <c r="R285" s="304" t="s">
        <v>1395</v>
      </c>
      <c r="S285" t="s">
        <v>141</v>
      </c>
      <c r="T285" s="304" t="s">
        <v>61</v>
      </c>
      <c r="U285" s="304" t="s">
        <v>61</v>
      </c>
      <c r="V285" s="334"/>
      <c r="W285" s="334"/>
      <c r="X285" s="334"/>
      <c r="Y285" s="328"/>
      <c r="Z285" s="334"/>
      <c r="AB285" s="306" t="s">
        <v>1739</v>
      </c>
      <c r="AC285" s="334" t="s">
        <v>1702</v>
      </c>
      <c r="AP285" t="b">
        <v>1</v>
      </c>
      <c r="AQ285" s="323">
        <v>780</v>
      </c>
      <c r="AR285" s="322" t="s">
        <v>1463</v>
      </c>
      <c r="AT285"/>
      <c r="AU285"/>
      <c r="AV285"/>
      <c r="AW285" s="334"/>
      <c r="AX285" s="334"/>
      <c r="AY285" s="334"/>
    </row>
    <row r="286" spans="1:51">
      <c r="A286" s="334" t="s">
        <v>1243</v>
      </c>
      <c r="B286" s="334" t="s">
        <v>1598</v>
      </c>
      <c r="C286" s="334">
        <f>'Knittel 2003, Table 2 &amp; 3 Comb'!B64</f>
        <v>7.4999999999999997E-2</v>
      </c>
      <c r="D286" s="301">
        <f>'Knittel 2003, Table 2 &amp; 3 Comb'!E64</f>
        <v>13000000000</v>
      </c>
      <c r="E286" s="301">
        <f>'Knittel 2003, Table 2 &amp; 3 Comb'!I64</f>
        <v>1040000000</v>
      </c>
      <c r="F286" s="301">
        <f>'Knittel 2003, Table 2 &amp; 3 Comb'!K64</f>
        <v>3250000000</v>
      </c>
      <c r="G286" s="301">
        <f>E286+F286</f>
        <v>4290000000</v>
      </c>
      <c r="H286" s="27">
        <f>G286/D286</f>
        <v>0.33</v>
      </c>
      <c r="M286" s="27">
        <f>(F286/G286)</f>
        <v>0.75757575757575757</v>
      </c>
      <c r="O286" s="303" t="s">
        <v>1376</v>
      </c>
      <c r="P286" s="293"/>
      <c r="R286" s="304" t="s">
        <v>1395</v>
      </c>
      <c r="S286" s="303" t="s">
        <v>141</v>
      </c>
      <c r="T286" s="304" t="s">
        <v>61</v>
      </c>
      <c r="U286" s="304" t="s">
        <v>61</v>
      </c>
      <c r="V286" s="334"/>
      <c r="W286" s="334"/>
      <c r="X286" s="334"/>
      <c r="Y286" s="328"/>
      <c r="Z286" s="334"/>
      <c r="AB286" s="306" t="s">
        <v>1739</v>
      </c>
      <c r="AC286" s="334" t="s">
        <v>1702</v>
      </c>
      <c r="AP286" t="b">
        <v>1</v>
      </c>
      <c r="AQ286" s="323">
        <v>780</v>
      </c>
      <c r="AR286" s="322" t="s">
        <v>1463</v>
      </c>
      <c r="AT286"/>
      <c r="AU286"/>
      <c r="AV286"/>
      <c r="AW286" s="334"/>
      <c r="AX286" s="334"/>
      <c r="AY286" s="334"/>
    </row>
    <row r="287" spans="1:51">
      <c r="A287" s="334" t="s">
        <v>1243</v>
      </c>
      <c r="B287" s="334" t="s">
        <v>1598</v>
      </c>
      <c r="C287" s="334">
        <f>'Knittel 2003, Table 2 &amp; 3 Comb'!B65</f>
        <v>8.5000000000000006E-2</v>
      </c>
      <c r="D287" s="301">
        <f>'Knittel 2003, Table 2 &amp; 3 Comb'!E65</f>
        <v>5000000000</v>
      </c>
      <c r="E287" s="301">
        <f>'Knittel 2003, Table 2 &amp; 3 Comb'!I65</f>
        <v>350000000</v>
      </c>
      <c r="F287" s="301">
        <f>'Knittel 2003, Table 2 &amp; 3 Comb'!K65</f>
        <v>1100000000</v>
      </c>
      <c r="G287" s="301">
        <f>E287+F287</f>
        <v>1450000000</v>
      </c>
      <c r="H287" s="27">
        <f>G287/D287</f>
        <v>0.28999999999999998</v>
      </c>
      <c r="M287" s="27">
        <f>(F287/G287)</f>
        <v>0.75862068965517238</v>
      </c>
      <c r="O287" s="303" t="s">
        <v>1376</v>
      </c>
      <c r="P287" s="334"/>
      <c r="R287" s="304" t="s">
        <v>1395</v>
      </c>
      <c r="S287" s="303" t="s">
        <v>141</v>
      </c>
      <c r="T287" s="304" t="s">
        <v>61</v>
      </c>
      <c r="U287" s="304" t="s">
        <v>61</v>
      </c>
      <c r="V287" s="334"/>
      <c r="W287" s="334"/>
      <c r="X287" s="334"/>
      <c r="Y287" s="323"/>
      <c r="Z287" s="334"/>
      <c r="AB287" s="306" t="s">
        <v>1739</v>
      </c>
      <c r="AC287" s="334" t="s">
        <v>1702</v>
      </c>
      <c r="AP287" t="b">
        <v>1</v>
      </c>
      <c r="AQ287" s="323">
        <v>780</v>
      </c>
      <c r="AR287" s="322" t="s">
        <v>1463</v>
      </c>
      <c r="AT287"/>
      <c r="AU287"/>
      <c r="AV287"/>
      <c r="AW287" s="334"/>
      <c r="AX287" s="334"/>
      <c r="AY287" s="334"/>
    </row>
    <row r="288" spans="1:51">
      <c r="A288" s="334" t="s">
        <v>1243</v>
      </c>
      <c r="B288" s="334" t="s">
        <v>1598</v>
      </c>
      <c r="C288" s="334">
        <f>'Knittel 2003, Table 2 &amp; 3 Comb'!B66</f>
        <v>9.5000000000000001E-2</v>
      </c>
      <c r="D288" s="301">
        <f>'Knittel 2003, Table 2 &amp; 3 Comb'!E66</f>
        <v>7000000000</v>
      </c>
      <c r="E288" s="301">
        <f>'Knittel 2003, Table 2 &amp; 3 Comb'!I66</f>
        <v>630000000</v>
      </c>
      <c r="F288" s="301">
        <f>'Knittel 2003, Table 2 &amp; 3 Comb'!K66</f>
        <v>1260000000</v>
      </c>
      <c r="G288" s="301">
        <f>E288+F288</f>
        <v>1890000000</v>
      </c>
      <c r="H288" s="27">
        <f>G288/D288</f>
        <v>0.27</v>
      </c>
      <c r="M288" s="27">
        <f>(F288/G288)</f>
        <v>0.66666666666666663</v>
      </c>
      <c r="O288" s="303" t="s">
        <v>1376</v>
      </c>
      <c r="P288" s="293"/>
      <c r="R288" s="304" t="s">
        <v>1395</v>
      </c>
      <c r="S288" s="303" t="s">
        <v>141</v>
      </c>
      <c r="T288" s="304" t="s">
        <v>61</v>
      </c>
      <c r="U288" s="304" t="s">
        <v>61</v>
      </c>
      <c r="V288" s="334"/>
      <c r="W288" s="334"/>
      <c r="X288" s="334"/>
      <c r="Z288" s="334"/>
      <c r="AB288" s="306" t="s">
        <v>1739</v>
      </c>
      <c r="AC288" s="334" t="s">
        <v>1702</v>
      </c>
      <c r="AP288" t="b">
        <v>1</v>
      </c>
      <c r="AQ288" s="323">
        <v>780</v>
      </c>
      <c r="AR288" s="322" t="s">
        <v>1463</v>
      </c>
      <c r="AT288"/>
      <c r="AU288"/>
      <c r="AV288"/>
      <c r="AW288" s="334"/>
      <c r="AX288" s="334"/>
      <c r="AY288" s="334"/>
    </row>
    <row r="289" spans="1:51">
      <c r="A289" s="334" t="s">
        <v>1243</v>
      </c>
      <c r="B289" s="334" t="s">
        <v>1604</v>
      </c>
      <c r="C289" s="334">
        <f>'Knittel 2003, Table 2 &amp; 3 Comb'!B25</f>
        <v>5.0000000000000001E-3</v>
      </c>
      <c r="D289" s="301">
        <f>'Knittel 2003, Table 2 &amp; 3 Comb'!E25</f>
        <v>46000000000</v>
      </c>
      <c r="E289" s="301">
        <f>'Knittel 2003, Table 2 &amp; 3 Comb'!I25</f>
        <v>22080000000</v>
      </c>
      <c r="F289" s="301">
        <f>'Knittel 2003, Table 2 &amp; 3 Comb'!K25</f>
        <v>1380000000</v>
      </c>
      <c r="G289" s="301">
        <f>E289+F289</f>
        <v>23460000000</v>
      </c>
      <c r="H289" s="27">
        <f>G289/D289</f>
        <v>0.51</v>
      </c>
      <c r="M289" s="27">
        <f>(F289/G289)</f>
        <v>5.8823529411764705E-2</v>
      </c>
      <c r="O289" s="303" t="s">
        <v>1376</v>
      </c>
      <c r="P289" s="293"/>
      <c r="R289" s="304" t="s">
        <v>1395</v>
      </c>
      <c r="S289" s="303" t="s">
        <v>141</v>
      </c>
      <c r="T289" s="304" t="s">
        <v>61</v>
      </c>
      <c r="U289" s="304" t="s">
        <v>61</v>
      </c>
      <c r="V289" s="334"/>
      <c r="W289" s="334"/>
      <c r="X289" s="334"/>
      <c r="Y289" s="324"/>
      <c r="Z289" s="334"/>
      <c r="AB289" s="306" t="s">
        <v>1739</v>
      </c>
      <c r="AC289" s="334" t="s">
        <v>1702</v>
      </c>
      <c r="AP289" t="b">
        <v>1</v>
      </c>
      <c r="AQ289" s="323">
        <v>780</v>
      </c>
      <c r="AR289" s="322" t="s">
        <v>1463</v>
      </c>
      <c r="AT289"/>
      <c r="AU289"/>
      <c r="AV289"/>
      <c r="AW289" s="334"/>
      <c r="AX289" s="334"/>
      <c r="AY289" s="334"/>
    </row>
    <row r="290" spans="1:51">
      <c r="A290" s="334" t="s">
        <v>1243</v>
      </c>
      <c r="B290" s="334" t="s">
        <v>1604</v>
      </c>
      <c r="C290" s="334">
        <f>'Knittel 2003, Table 2 &amp; 3 Comb'!B26</f>
        <v>1.4999999999999999E-2</v>
      </c>
      <c r="D290" s="301">
        <f>'Knittel 2003, Table 2 &amp; 3 Comb'!E26</f>
        <v>48000000000</v>
      </c>
      <c r="E290" s="301">
        <f>'Knittel 2003, Table 2 &amp; 3 Comb'!I26</f>
        <v>12000000000</v>
      </c>
      <c r="F290" s="301">
        <f>'Knittel 2003, Table 2 &amp; 3 Comb'!K26</f>
        <v>960000000</v>
      </c>
      <c r="G290" s="301">
        <f>E290+F290</f>
        <v>12960000000</v>
      </c>
      <c r="H290" s="27">
        <f>G290/D290</f>
        <v>0.27</v>
      </c>
      <c r="M290" s="27">
        <f>(F290/G290)</f>
        <v>7.407407407407407E-2</v>
      </c>
      <c r="O290" s="303" t="s">
        <v>1376</v>
      </c>
      <c r="P290" s="334"/>
      <c r="R290" s="304" t="s">
        <v>1395</v>
      </c>
      <c r="S290" s="303" t="s">
        <v>141</v>
      </c>
      <c r="T290" s="304" t="s">
        <v>61</v>
      </c>
      <c r="U290" s="304" t="s">
        <v>61</v>
      </c>
      <c r="V290" s="334"/>
      <c r="W290" s="334"/>
      <c r="X290" s="334"/>
      <c r="Y290" s="334"/>
      <c r="Z290" s="334"/>
      <c r="AB290" s="306" t="s">
        <v>1739</v>
      </c>
      <c r="AC290" s="334" t="s">
        <v>1702</v>
      </c>
      <c r="AP290" t="b">
        <v>1</v>
      </c>
      <c r="AQ290" s="323">
        <v>780</v>
      </c>
      <c r="AR290" s="322" t="s">
        <v>1463</v>
      </c>
      <c r="AT290"/>
      <c r="AU290"/>
      <c r="AV290"/>
      <c r="AW290" s="334"/>
      <c r="AX290" s="334"/>
      <c r="AY290" s="334"/>
    </row>
    <row r="291" spans="1:51">
      <c r="A291" s="334" t="s">
        <v>1243</v>
      </c>
      <c r="B291" s="334" t="s">
        <v>1603</v>
      </c>
      <c r="C291" s="334">
        <f>'Knittel 2003, Table 2 &amp; 3 Comb'!B29</f>
        <v>4.4999999999999998E-2</v>
      </c>
      <c r="D291" s="301">
        <f>'Knittel 2003, Table 2 &amp; 3 Comb'!E29</f>
        <v>96000000000</v>
      </c>
      <c r="E291" s="301">
        <f>'Knittel 2003, Table 2 &amp; 3 Comb'!I29</f>
        <v>17280000000</v>
      </c>
      <c r="F291" s="301">
        <f>'Knittel 2003, Table 2 &amp; 3 Comb'!K29</f>
        <v>22080000000</v>
      </c>
      <c r="G291" s="301">
        <f>E291+F291</f>
        <v>39360000000</v>
      </c>
      <c r="H291" s="27">
        <f>G291/D291</f>
        <v>0.41</v>
      </c>
      <c r="M291" s="27">
        <f>(F291/G291)</f>
        <v>0.56097560975609762</v>
      </c>
      <c r="O291" s="229" t="s">
        <v>1376</v>
      </c>
      <c r="P291" s="334"/>
      <c r="R291" s="304" t="s">
        <v>1395</v>
      </c>
      <c r="S291" t="s">
        <v>141</v>
      </c>
      <c r="T291" t="s">
        <v>61</v>
      </c>
      <c r="U291" t="s">
        <v>61</v>
      </c>
      <c r="V291" s="334"/>
      <c r="W291" s="334"/>
      <c r="X291" s="334"/>
      <c r="Y291" s="328"/>
      <c r="Z291" s="334"/>
      <c r="AB291" s="306" t="s">
        <v>1739</v>
      </c>
      <c r="AC291" s="334" t="s">
        <v>1702</v>
      </c>
      <c r="AP291" t="b">
        <v>1</v>
      </c>
      <c r="AQ291" s="323">
        <v>780</v>
      </c>
      <c r="AR291" s="322" t="s">
        <v>1463</v>
      </c>
      <c r="AT291"/>
      <c r="AU291"/>
      <c r="AV291"/>
      <c r="AW291" s="334"/>
      <c r="AX291" s="334"/>
      <c r="AY291" s="334"/>
    </row>
    <row r="292" spans="1:51">
      <c r="A292" s="334" t="s">
        <v>1243</v>
      </c>
      <c r="B292" s="334" t="s">
        <v>1603</v>
      </c>
      <c r="C292" s="334">
        <f>'Knittel 2003, Table 2 &amp; 3 Comb'!B33</f>
        <v>9.5000000000000001E-2</v>
      </c>
      <c r="D292" s="301">
        <f>'Knittel 2003, Table 2 &amp; 3 Comb'!E33</f>
        <v>45000000000</v>
      </c>
      <c r="E292" s="301">
        <f>'Knittel 2003, Table 2 &amp; 3 Comb'!I33</f>
        <v>6750000000</v>
      </c>
      <c r="F292" s="301">
        <f>'Knittel 2003, Table 2 &amp; 3 Comb'!K33</f>
        <v>13500000000</v>
      </c>
      <c r="G292" s="301">
        <f>E292+F292</f>
        <v>20250000000</v>
      </c>
      <c r="H292" s="27">
        <f>G292/D292</f>
        <v>0.45</v>
      </c>
      <c r="M292" s="27">
        <f>(F292/G292)</f>
        <v>0.66666666666666663</v>
      </c>
      <c r="O292" s="229" t="s">
        <v>1376</v>
      </c>
      <c r="P292" s="334"/>
      <c r="R292" s="304" t="s">
        <v>1395</v>
      </c>
      <c r="S292" t="s">
        <v>141</v>
      </c>
      <c r="T292" t="s">
        <v>61</v>
      </c>
      <c r="U292" t="s">
        <v>61</v>
      </c>
      <c r="V292" s="334"/>
      <c r="W292" s="334"/>
      <c r="X292" s="334"/>
      <c r="Y292" s="334"/>
      <c r="Z292" s="334"/>
      <c r="AB292" s="306" t="s">
        <v>1739</v>
      </c>
      <c r="AC292" s="334" t="s">
        <v>1702</v>
      </c>
      <c r="AP292" t="b">
        <v>1</v>
      </c>
      <c r="AQ292" s="323">
        <v>780</v>
      </c>
      <c r="AR292" s="322" t="s">
        <v>1463</v>
      </c>
      <c r="AT292"/>
      <c r="AU292"/>
      <c r="AV292"/>
      <c r="AW292" s="334"/>
      <c r="AX292" s="334"/>
      <c r="AY292" s="334"/>
    </row>
    <row r="293" spans="1:51">
      <c r="A293" s="334" t="s">
        <v>1243</v>
      </c>
      <c r="B293" s="334" t="s">
        <v>1603</v>
      </c>
      <c r="C293" s="334">
        <f>'Knittel 2003, Table 2 &amp; 3 Comb'!B34</f>
        <v>0.14499999999999999</v>
      </c>
      <c r="D293" s="301">
        <f>'Knittel 2003, Table 2 &amp; 3 Comb'!E34</f>
        <v>12000000000</v>
      </c>
      <c r="E293" s="301">
        <f>'Knittel 2003, Table 2 &amp; 3 Comb'!I34</f>
        <v>1080000000</v>
      </c>
      <c r="F293" s="301">
        <f>'Knittel 2003, Table 2 &amp; 3 Comb'!K34</f>
        <v>3360000000</v>
      </c>
      <c r="G293" s="301">
        <f>E293+F293</f>
        <v>4440000000</v>
      </c>
      <c r="H293" s="27">
        <f>G293/D293</f>
        <v>0.37</v>
      </c>
      <c r="M293" s="27">
        <f>(F293/G293)</f>
        <v>0.7567567567567568</v>
      </c>
      <c r="O293" s="229" t="s">
        <v>1376</v>
      </c>
      <c r="R293" s="304" t="s">
        <v>1395</v>
      </c>
      <c r="S293" t="s">
        <v>141</v>
      </c>
      <c r="T293" t="s">
        <v>61</v>
      </c>
      <c r="U293" t="s">
        <v>61</v>
      </c>
      <c r="V293" s="334"/>
      <c r="W293" s="334"/>
      <c r="X293" s="334"/>
      <c r="Y293" s="328"/>
      <c r="Z293" s="334"/>
      <c r="AB293" s="306" t="s">
        <v>1739</v>
      </c>
      <c r="AC293" s="334" t="s">
        <v>1702</v>
      </c>
      <c r="AP293" t="b">
        <v>1</v>
      </c>
      <c r="AQ293" s="323">
        <v>780</v>
      </c>
      <c r="AR293" s="322" t="s">
        <v>1463</v>
      </c>
      <c r="AT293"/>
      <c r="AU293"/>
      <c r="AV293"/>
      <c r="AW293" s="334"/>
      <c r="AX293" s="334"/>
      <c r="AY293" s="334"/>
    </row>
    <row r="294" spans="1:51">
      <c r="A294" s="334" t="s">
        <v>1243</v>
      </c>
      <c r="B294" s="334" t="s">
        <v>1606</v>
      </c>
      <c r="C294" s="334">
        <f>'Knittel 2003, Table 2 &amp; 3 Comb'!B75</f>
        <v>5.0000000000000001E-3</v>
      </c>
      <c r="D294" s="301">
        <f>'Knittel 2003, Table 2 &amp; 3 Comb'!E75</f>
        <v>23000000000</v>
      </c>
      <c r="E294" s="301">
        <f>'Knittel 2003, Table 2 &amp; 3 Comb'!I75</f>
        <v>10810000000</v>
      </c>
      <c r="F294" s="301">
        <f>'Knittel 2003, Table 2 &amp; 3 Comb'!K75</f>
        <v>460000000</v>
      </c>
      <c r="G294" s="301">
        <f>E294+F294</f>
        <v>11270000000</v>
      </c>
      <c r="H294" s="336">
        <f>G294/D294</f>
        <v>0.49</v>
      </c>
      <c r="M294" s="27">
        <f>(F294/G294)</f>
        <v>4.0816326530612242E-2</v>
      </c>
      <c r="O294" s="229" t="s">
        <v>1376</v>
      </c>
      <c r="R294" s="304" t="s">
        <v>1395</v>
      </c>
      <c r="S294" t="s">
        <v>141</v>
      </c>
      <c r="T294" t="s">
        <v>61</v>
      </c>
      <c r="U294" t="s">
        <v>61</v>
      </c>
      <c r="V294" s="334"/>
      <c r="W294" s="334"/>
      <c r="X294" s="334"/>
      <c r="Y294" s="328"/>
      <c r="Z294" s="334"/>
      <c r="AB294" s="306" t="s">
        <v>1739</v>
      </c>
      <c r="AC294" s="334" t="s">
        <v>1702</v>
      </c>
      <c r="AP294" t="b">
        <v>1</v>
      </c>
      <c r="AQ294" s="323">
        <v>780</v>
      </c>
      <c r="AR294" s="322" t="s">
        <v>1463</v>
      </c>
      <c r="AT294"/>
      <c r="AU294"/>
      <c r="AV294"/>
      <c r="AW294" s="334"/>
      <c r="AX294" s="334"/>
      <c r="AY294" s="334"/>
    </row>
    <row r="295" spans="1:51">
      <c r="A295" s="334" t="s">
        <v>1243</v>
      </c>
      <c r="B295" s="334" t="s">
        <v>1606</v>
      </c>
      <c r="C295" s="334">
        <f>'Knittel 2003, Table 2 &amp; 3 Comb'!B76</f>
        <v>1.4999999999999999E-2</v>
      </c>
      <c r="D295" s="301">
        <f>'Knittel 2003, Table 2 &amp; 3 Comb'!E76</f>
        <v>46000000000</v>
      </c>
      <c r="E295" s="301">
        <f>'Knittel 2003, Table 2 &amp; 3 Comb'!I76</f>
        <v>28520000000</v>
      </c>
      <c r="F295" s="301">
        <f>'Knittel 2003, Table 2 &amp; 3 Comb'!K76</f>
        <v>460000000</v>
      </c>
      <c r="G295" s="301">
        <f>E295+F295</f>
        <v>28980000000</v>
      </c>
      <c r="H295" s="336">
        <f>G295/D295</f>
        <v>0.63</v>
      </c>
      <c r="M295" s="27">
        <f>(F295/G295)</f>
        <v>1.5873015873015872E-2</v>
      </c>
      <c r="O295" s="229" t="s">
        <v>1376</v>
      </c>
      <c r="R295" s="304" t="s">
        <v>1395</v>
      </c>
      <c r="S295" s="304" t="s">
        <v>141</v>
      </c>
      <c r="T295" s="304" t="s">
        <v>61</v>
      </c>
      <c r="U295" s="304" t="s">
        <v>61</v>
      </c>
      <c r="V295" s="334"/>
      <c r="W295" s="334"/>
      <c r="X295" s="334"/>
      <c r="Y295" s="328"/>
      <c r="Z295" s="334"/>
      <c r="AB295" s="306" t="s">
        <v>1739</v>
      </c>
      <c r="AC295" s="334" t="s">
        <v>1702</v>
      </c>
      <c r="AP295" t="b">
        <v>1</v>
      </c>
      <c r="AQ295" s="323">
        <v>780</v>
      </c>
      <c r="AR295" s="323" t="s">
        <v>1463</v>
      </c>
      <c r="AT295"/>
      <c r="AU295"/>
      <c r="AV295"/>
      <c r="AW295" s="334"/>
      <c r="AX295" s="334"/>
      <c r="AY295" s="334"/>
    </row>
    <row r="296" spans="1:51">
      <c r="A296" s="334" t="s">
        <v>1243</v>
      </c>
      <c r="B296" s="334" t="s">
        <v>1605</v>
      </c>
      <c r="C296" s="334">
        <f>'Knittel 2003, Table 2 &amp; 3 Comb'!B77</f>
        <v>2.5000000000000001E-2</v>
      </c>
      <c r="D296" s="301">
        <f>'Knittel 2003, Table 2 &amp; 3 Comb'!E77</f>
        <v>21000000000</v>
      </c>
      <c r="E296" s="301">
        <f>'Knittel 2003, Table 2 &amp; 3 Comb'!I77</f>
        <v>8190000000</v>
      </c>
      <c r="F296" s="301">
        <f>'Knittel 2003, Table 2 &amp; 3 Comb'!K77</f>
        <v>210000000</v>
      </c>
      <c r="G296" s="301">
        <f>E296+F296</f>
        <v>8400000000</v>
      </c>
      <c r="H296" s="336">
        <f>G296/D296</f>
        <v>0.4</v>
      </c>
      <c r="M296" s="27">
        <f>(F296/G296)</f>
        <v>2.5000000000000001E-2</v>
      </c>
      <c r="O296" s="229" t="s">
        <v>1376</v>
      </c>
      <c r="R296" s="304" t="s">
        <v>1395</v>
      </c>
      <c r="S296" s="304" t="s">
        <v>141</v>
      </c>
      <c r="T296" s="304" t="s">
        <v>61</v>
      </c>
      <c r="U296" s="304" t="s">
        <v>61</v>
      </c>
      <c r="V296" s="334"/>
      <c r="W296" s="334"/>
      <c r="X296" s="334"/>
      <c r="Y296" s="328"/>
      <c r="Z296" s="334"/>
      <c r="AB296" s="306" t="s">
        <v>1739</v>
      </c>
      <c r="AC296" s="334" t="s">
        <v>1702</v>
      </c>
      <c r="AP296" t="b">
        <v>1</v>
      </c>
      <c r="AQ296" s="323">
        <v>780</v>
      </c>
      <c r="AR296" s="323" t="s">
        <v>1463</v>
      </c>
      <c r="AT296"/>
      <c r="AU296"/>
      <c r="AV296"/>
      <c r="AW296" s="334"/>
      <c r="AX296" s="334"/>
      <c r="AY296" s="334"/>
    </row>
    <row r="297" spans="1:51">
      <c r="A297" s="334" t="s">
        <v>1243</v>
      </c>
      <c r="B297" s="334" t="s">
        <v>1605</v>
      </c>
      <c r="C297" s="334">
        <f>'Knittel 2003, Table 2 &amp; 3 Comb'!B78</f>
        <v>3.5000000000000003E-2</v>
      </c>
      <c r="D297" s="301">
        <f>'Knittel 2003, Table 2 &amp; 3 Comb'!E78</f>
        <v>25000000000</v>
      </c>
      <c r="E297" s="301">
        <f>'Knittel 2003, Table 2 &amp; 3 Comb'!I78</f>
        <v>7750000000</v>
      </c>
      <c r="F297" s="301">
        <f>'Knittel 2003, Table 2 &amp; 3 Comb'!K78</f>
        <v>1000000000</v>
      </c>
      <c r="G297" s="301">
        <f>E297+F297</f>
        <v>8750000000</v>
      </c>
      <c r="H297" s="336">
        <f>G297/D297</f>
        <v>0.35</v>
      </c>
      <c r="M297" s="27">
        <f>(F297/G297)</f>
        <v>0.11428571428571428</v>
      </c>
      <c r="O297" s="229" t="s">
        <v>1376</v>
      </c>
      <c r="R297" s="304" t="s">
        <v>1395</v>
      </c>
      <c r="S297" s="304" t="s">
        <v>141</v>
      </c>
      <c r="T297" s="304" t="s">
        <v>61</v>
      </c>
      <c r="U297" s="304" t="s">
        <v>61</v>
      </c>
      <c r="V297" s="334"/>
      <c r="W297" s="334"/>
      <c r="X297" s="334"/>
      <c r="Y297" s="327"/>
      <c r="Z297" s="334"/>
      <c r="AB297" s="306" t="s">
        <v>1739</v>
      </c>
      <c r="AC297" s="334" t="s">
        <v>1702</v>
      </c>
      <c r="AP297" t="b">
        <v>1</v>
      </c>
      <c r="AQ297" s="323">
        <v>780</v>
      </c>
      <c r="AR297" s="323" t="s">
        <v>1463</v>
      </c>
      <c r="AT297"/>
      <c r="AU297"/>
      <c r="AV297"/>
      <c r="AW297" s="334"/>
      <c r="AX297" s="334"/>
      <c r="AY297" s="334"/>
    </row>
    <row r="298" spans="1:51">
      <c r="A298" s="334" t="s">
        <v>1243</v>
      </c>
      <c r="B298" s="334" t="s">
        <v>1605</v>
      </c>
      <c r="C298" s="334">
        <f>'Knittel 2003, Table 2 &amp; 3 Comb'!B79</f>
        <v>4.4999999999999998E-2</v>
      </c>
      <c r="D298" s="301">
        <f>'Knittel 2003, Table 2 &amp; 3 Comb'!E79</f>
        <v>21000000000</v>
      </c>
      <c r="E298" s="301">
        <f>'Knittel 2003, Table 2 &amp; 3 Comb'!I79</f>
        <v>6300000000</v>
      </c>
      <c r="F298" s="301">
        <f>'Knittel 2003, Table 2 &amp; 3 Comb'!K79</f>
        <v>840000000</v>
      </c>
      <c r="G298" s="301">
        <f>E298+F298</f>
        <v>7140000000</v>
      </c>
      <c r="H298" s="336">
        <f>G298/D298</f>
        <v>0.34</v>
      </c>
      <c r="M298" s="27">
        <f>(F298/G298)</f>
        <v>0.11764705882352941</v>
      </c>
      <c r="O298" s="229" t="s">
        <v>1376</v>
      </c>
      <c r="R298" s="304" t="s">
        <v>1395</v>
      </c>
      <c r="S298" s="304" t="s">
        <v>141</v>
      </c>
      <c r="T298" s="304" t="s">
        <v>61</v>
      </c>
      <c r="U298" s="304" t="s">
        <v>61</v>
      </c>
      <c r="V298" s="334"/>
      <c r="W298" s="334"/>
      <c r="X298" s="334"/>
      <c r="Y298" s="334"/>
      <c r="Z298" s="334"/>
      <c r="AB298" s="306" t="s">
        <v>1739</v>
      </c>
      <c r="AC298" s="334" t="s">
        <v>1702</v>
      </c>
      <c r="AP298" t="b">
        <v>1</v>
      </c>
      <c r="AQ298" s="323">
        <v>780</v>
      </c>
      <c r="AR298" s="323" t="s">
        <v>1463</v>
      </c>
      <c r="AT298"/>
      <c r="AU298"/>
      <c r="AV298"/>
      <c r="AW298" s="334"/>
      <c r="AX298" s="334"/>
      <c r="AY298" s="334"/>
    </row>
    <row r="299" spans="1:51">
      <c r="A299" s="334" t="s">
        <v>1243</v>
      </c>
      <c r="B299" s="334" t="s">
        <v>1605</v>
      </c>
      <c r="C299" s="334">
        <f>'Knittel 2003, Table 2 &amp; 3 Comb'!B80</f>
        <v>5.5E-2</v>
      </c>
      <c r="D299" s="301">
        <f>'Knittel 2003, Table 2 &amp; 3 Comb'!E80</f>
        <v>22000000000</v>
      </c>
      <c r="E299" s="301">
        <f>'Knittel 2003, Table 2 &amp; 3 Comb'!I80</f>
        <v>2640000000</v>
      </c>
      <c r="F299" s="301">
        <f>'Knittel 2003, Table 2 &amp; 3 Comb'!K80</f>
        <v>3520000000</v>
      </c>
      <c r="G299" s="301">
        <f>E299+F299</f>
        <v>6160000000</v>
      </c>
      <c r="H299" s="336">
        <f>G299/D299</f>
        <v>0.28000000000000003</v>
      </c>
      <c r="M299" s="27">
        <f>(F299/G299)</f>
        <v>0.5714285714285714</v>
      </c>
      <c r="O299" s="229" t="s">
        <v>1376</v>
      </c>
      <c r="R299" s="304" t="s">
        <v>1395</v>
      </c>
      <c r="S299" s="304" t="s">
        <v>141</v>
      </c>
      <c r="T299" s="304" t="s">
        <v>61</v>
      </c>
      <c r="U299" s="304" t="s">
        <v>61</v>
      </c>
      <c r="V299" s="334"/>
      <c r="W299" s="334"/>
      <c r="X299" s="334"/>
      <c r="Y299" s="327"/>
      <c r="Z299" s="334"/>
      <c r="AB299" s="306" t="s">
        <v>1739</v>
      </c>
      <c r="AC299" s="334" t="s">
        <v>1702</v>
      </c>
      <c r="AP299" t="b">
        <v>1</v>
      </c>
      <c r="AQ299" s="323">
        <v>780</v>
      </c>
      <c r="AR299" s="323" t="s">
        <v>1463</v>
      </c>
      <c r="AT299"/>
      <c r="AU299"/>
      <c r="AV299"/>
      <c r="AW299" s="334"/>
      <c r="AX299" s="334"/>
      <c r="AY299" s="334"/>
    </row>
    <row r="300" spans="1:51">
      <c r="A300" s="334" t="s">
        <v>1243</v>
      </c>
      <c r="B300" s="334" t="s">
        <v>1605</v>
      </c>
      <c r="C300" s="334">
        <f>'Knittel 2003, Table 2 &amp; 3 Comb'!B81</f>
        <v>6.5000000000000002E-2</v>
      </c>
      <c r="D300" s="301">
        <f>'Knittel 2003, Table 2 &amp; 3 Comb'!E81</f>
        <v>23000000000</v>
      </c>
      <c r="E300" s="301">
        <f>'Knittel 2003, Table 2 &amp; 3 Comb'!I81</f>
        <v>1380000000</v>
      </c>
      <c r="F300" s="301">
        <f>'Knittel 2003, Table 2 &amp; 3 Comb'!K81</f>
        <v>2990000000</v>
      </c>
      <c r="G300" s="301">
        <f>E300+F300</f>
        <v>4370000000</v>
      </c>
      <c r="H300" s="336">
        <f>G300/D300</f>
        <v>0.19</v>
      </c>
      <c r="M300" s="27">
        <f>(F300/G300)</f>
        <v>0.68421052631578949</v>
      </c>
      <c r="O300" s="229" t="s">
        <v>1376</v>
      </c>
      <c r="R300" s="304" t="s">
        <v>1395</v>
      </c>
      <c r="S300" s="304" t="s">
        <v>141</v>
      </c>
      <c r="T300" s="304" t="s">
        <v>61</v>
      </c>
      <c r="U300" s="304" t="s">
        <v>61</v>
      </c>
      <c r="V300" s="334"/>
      <c r="W300" s="334"/>
      <c r="X300" s="334"/>
      <c r="Y300" s="327"/>
      <c r="Z300" s="334"/>
      <c r="AB300" s="306" t="s">
        <v>1739</v>
      </c>
      <c r="AC300" s="334" t="s">
        <v>1702</v>
      </c>
      <c r="AP300" t="b">
        <v>1</v>
      </c>
      <c r="AQ300" s="323">
        <v>780</v>
      </c>
      <c r="AR300" s="323" t="s">
        <v>1463</v>
      </c>
      <c r="AT300"/>
      <c r="AU300"/>
      <c r="AV300"/>
      <c r="AW300" s="334"/>
      <c r="AX300" s="334"/>
      <c r="AY300" s="334"/>
    </row>
    <row r="301" spans="1:51">
      <c r="A301" s="334" t="s">
        <v>1243</v>
      </c>
      <c r="B301" s="334" t="s">
        <v>1605</v>
      </c>
      <c r="C301" s="334">
        <f>'Knittel 2003, Table 2 &amp; 3 Comb'!B82</f>
        <v>7.4999999999999997E-2</v>
      </c>
      <c r="D301" s="301">
        <f>'Knittel 2003, Table 2 &amp; 3 Comb'!E82</f>
        <v>31000000000</v>
      </c>
      <c r="E301" s="301">
        <f>'Knittel 2003, Table 2 &amp; 3 Comb'!I82</f>
        <v>1550000000</v>
      </c>
      <c r="F301" s="301">
        <f>'Knittel 2003, Table 2 &amp; 3 Comb'!K82</f>
        <v>4650000000</v>
      </c>
      <c r="G301" s="301">
        <f>E301+F301</f>
        <v>6200000000</v>
      </c>
      <c r="H301" s="336">
        <f>G301/D301</f>
        <v>0.2</v>
      </c>
      <c r="M301" s="27">
        <f>(F301/G301)</f>
        <v>0.75</v>
      </c>
      <c r="O301" s="229" t="s">
        <v>1376</v>
      </c>
      <c r="R301" s="304" t="s">
        <v>1395</v>
      </c>
      <c r="S301" s="304" t="s">
        <v>141</v>
      </c>
      <c r="T301" s="304" t="s">
        <v>61</v>
      </c>
      <c r="U301" s="304" t="s">
        <v>61</v>
      </c>
      <c r="V301" s="334"/>
      <c r="W301" s="334"/>
      <c r="X301" s="334"/>
      <c r="Y301" s="328"/>
      <c r="Z301" s="334"/>
      <c r="AB301" s="306" t="s">
        <v>1739</v>
      </c>
      <c r="AC301" s="334" t="s">
        <v>1702</v>
      </c>
      <c r="AP301" t="b">
        <v>1</v>
      </c>
      <c r="AQ301" s="323">
        <v>780</v>
      </c>
      <c r="AR301" s="323" t="s">
        <v>1463</v>
      </c>
      <c r="AT301"/>
      <c r="AU301"/>
      <c r="AV301"/>
      <c r="AW301" s="334"/>
      <c r="AX301" s="334"/>
      <c r="AY301" s="334"/>
    </row>
    <row r="302" spans="1:51">
      <c r="A302" s="334" t="s">
        <v>1243</v>
      </c>
      <c r="B302" s="334" t="s">
        <v>1605</v>
      </c>
      <c r="C302" s="334">
        <f>'Knittel 2003, Table 2 &amp; 3 Comb'!B83</f>
        <v>8.5000000000000006E-2</v>
      </c>
      <c r="D302" s="301">
        <f>'Knittel 2003, Table 2 &amp; 3 Comb'!E83</f>
        <v>43000000000</v>
      </c>
      <c r="E302" s="301">
        <f>'Knittel 2003, Table 2 &amp; 3 Comb'!I83</f>
        <v>1290000000</v>
      </c>
      <c r="F302" s="301">
        <f>'Knittel 2003, Table 2 &amp; 3 Comb'!K83</f>
        <v>5160000000</v>
      </c>
      <c r="G302" s="301">
        <f>E302+F302</f>
        <v>6450000000</v>
      </c>
      <c r="H302" s="336">
        <f>G302/D302</f>
        <v>0.15</v>
      </c>
      <c r="M302" s="27">
        <f>(F302/G302)</f>
        <v>0.8</v>
      </c>
      <c r="O302" s="229" t="s">
        <v>1376</v>
      </c>
      <c r="P302" s="293"/>
      <c r="R302" s="304" t="s">
        <v>1395</v>
      </c>
      <c r="S302" s="304" t="s">
        <v>141</v>
      </c>
      <c r="T302" s="304" t="s">
        <v>61</v>
      </c>
      <c r="U302" s="304" t="s">
        <v>61</v>
      </c>
      <c r="V302" s="334"/>
      <c r="W302" s="334"/>
      <c r="X302" s="334"/>
      <c r="Y302" s="328"/>
      <c r="Z302" s="334"/>
      <c r="AB302" s="306" t="s">
        <v>1739</v>
      </c>
      <c r="AC302" s="334" t="s">
        <v>1702</v>
      </c>
      <c r="AP302" t="b">
        <v>1</v>
      </c>
      <c r="AQ302" s="323">
        <v>780</v>
      </c>
      <c r="AR302" s="323" t="s">
        <v>1463</v>
      </c>
      <c r="AT302"/>
      <c r="AU302"/>
      <c r="AV302"/>
      <c r="AW302" s="334"/>
      <c r="AX302" s="334"/>
      <c r="AY302" s="334"/>
    </row>
    <row r="303" spans="1:51">
      <c r="A303" s="334" t="s">
        <v>1243</v>
      </c>
      <c r="B303" s="334" t="s">
        <v>1605</v>
      </c>
      <c r="C303" s="334">
        <f>'Knittel 2003, Table 2 &amp; 3 Comb'!B84</f>
        <v>9.5000000000000001E-2</v>
      </c>
      <c r="D303" s="301">
        <f>'Knittel 2003, Table 2 &amp; 3 Comb'!E84</f>
        <v>22000000000</v>
      </c>
      <c r="E303" s="301">
        <f>'Knittel 2003, Table 2 &amp; 3 Comb'!I84</f>
        <v>440000000</v>
      </c>
      <c r="F303" s="301">
        <f>'Knittel 2003, Table 2 &amp; 3 Comb'!K84</f>
        <v>4180000000</v>
      </c>
      <c r="G303" s="301">
        <f>E303+F303</f>
        <v>4620000000</v>
      </c>
      <c r="H303" s="336">
        <f>G303/D303</f>
        <v>0.21</v>
      </c>
      <c r="M303" s="27">
        <f>(F303/G303)</f>
        <v>0.90476190476190477</v>
      </c>
      <c r="O303" s="229" t="s">
        <v>1376</v>
      </c>
      <c r="R303" s="304" t="s">
        <v>1395</v>
      </c>
      <c r="S303" s="304" t="s">
        <v>141</v>
      </c>
      <c r="T303" s="304" t="s">
        <v>61</v>
      </c>
      <c r="U303" s="304" t="s">
        <v>61</v>
      </c>
      <c r="V303" s="334"/>
      <c r="W303" s="334"/>
      <c r="X303" s="334"/>
      <c r="Z303" s="334"/>
      <c r="AB303" s="306" t="s">
        <v>1739</v>
      </c>
      <c r="AC303" s="334" t="s">
        <v>1702</v>
      </c>
      <c r="AP303" t="b">
        <v>1</v>
      </c>
      <c r="AQ303" s="323">
        <v>780</v>
      </c>
      <c r="AR303" s="323" t="s">
        <v>1463</v>
      </c>
      <c r="AT303"/>
      <c r="AU303"/>
      <c r="AV303"/>
      <c r="AW303" s="334"/>
      <c r="AX303" s="334"/>
      <c r="AY303" s="334"/>
    </row>
    <row r="304" spans="1:51">
      <c r="A304" s="334" t="s">
        <v>1243</v>
      </c>
      <c r="B304" s="334" t="s">
        <v>1605</v>
      </c>
      <c r="C304" s="334">
        <f>'Knittel 2003, Table 2 &amp; 3 Comb'!B85</f>
        <v>0.105</v>
      </c>
      <c r="D304" s="301">
        <f>'Knittel 2003, Table 2 &amp; 3 Comb'!E85</f>
        <v>10000000000</v>
      </c>
      <c r="E304" s="301">
        <f>'Knittel 2003, Table 2 &amp; 3 Comb'!I85</f>
        <v>100000000</v>
      </c>
      <c r="F304" s="301">
        <f>'Knittel 2003, Table 2 &amp; 3 Comb'!K85</f>
        <v>2200000000</v>
      </c>
      <c r="G304" s="301">
        <f>E304+F304</f>
        <v>2300000000</v>
      </c>
      <c r="H304" s="336">
        <f>G304/D304</f>
        <v>0.23</v>
      </c>
      <c r="M304" s="27">
        <f>(F304/G304)</f>
        <v>0.95652173913043481</v>
      </c>
      <c r="O304" s="229" t="s">
        <v>1376</v>
      </c>
      <c r="R304" s="304" t="s">
        <v>1395</v>
      </c>
      <c r="S304" s="304" t="s">
        <v>141</v>
      </c>
      <c r="T304" s="304" t="s">
        <v>61</v>
      </c>
      <c r="U304" s="304" t="s">
        <v>61</v>
      </c>
      <c r="V304" s="334"/>
      <c r="W304" s="334"/>
      <c r="X304" s="334"/>
      <c r="Y304" s="334"/>
      <c r="Z304" s="334"/>
      <c r="AB304" s="306" t="s">
        <v>1739</v>
      </c>
      <c r="AC304" s="334" t="s">
        <v>1702</v>
      </c>
      <c r="AP304" t="b">
        <v>1</v>
      </c>
      <c r="AQ304" s="323">
        <v>780</v>
      </c>
      <c r="AR304" s="323" t="s">
        <v>1463</v>
      </c>
      <c r="AT304"/>
      <c r="AU304"/>
      <c r="AV304"/>
      <c r="AW304" s="334"/>
      <c r="AX304" s="334"/>
      <c r="AY304" s="334"/>
    </row>
    <row r="305" spans="1:51">
      <c r="A305" s="334" t="s">
        <v>1243</v>
      </c>
      <c r="B305" s="334" t="s">
        <v>1605</v>
      </c>
      <c r="C305" s="334">
        <f>'Knittel 2003, Table 2 &amp; 3 Comb'!B86</f>
        <v>0.115</v>
      </c>
      <c r="D305" s="301">
        <f>'Knittel 2003, Table 2 &amp; 3 Comb'!E86</f>
        <v>17000000000</v>
      </c>
      <c r="F305" s="301">
        <f>'Knittel 2003, Table 2 &amp; 3 Comb'!K86</f>
        <v>4420000000</v>
      </c>
      <c r="G305" s="301">
        <f>E305+F305</f>
        <v>4420000000</v>
      </c>
      <c r="H305" s="336">
        <f>G305/D305</f>
        <v>0.26</v>
      </c>
      <c r="M305" s="27">
        <f>(F305/G305)</f>
        <v>1</v>
      </c>
      <c r="O305" s="229" t="s">
        <v>1376</v>
      </c>
      <c r="P305" s="293"/>
      <c r="R305" s="304" t="s">
        <v>1395</v>
      </c>
      <c r="S305" s="304" t="s">
        <v>141</v>
      </c>
      <c r="T305" s="304" t="s">
        <v>61</v>
      </c>
      <c r="U305" s="304" t="s">
        <v>61</v>
      </c>
      <c r="V305" s="334"/>
      <c r="W305" s="334"/>
      <c r="X305" s="334"/>
      <c r="Y305" s="334"/>
      <c r="Z305" s="334"/>
      <c r="AB305" s="306" t="s">
        <v>1739</v>
      </c>
      <c r="AC305" s="334" t="s">
        <v>1702</v>
      </c>
      <c r="AQ305" s="323">
        <v>780</v>
      </c>
      <c r="AR305" s="323" t="s">
        <v>1463</v>
      </c>
      <c r="AT305"/>
      <c r="AU305"/>
      <c r="AV305"/>
      <c r="AW305" s="334"/>
      <c r="AX305" s="334"/>
      <c r="AY305" s="334"/>
    </row>
    <row r="306" spans="1:51">
      <c r="A306" s="334" t="s">
        <v>1243</v>
      </c>
      <c r="B306" s="334" t="s">
        <v>1677</v>
      </c>
      <c r="C306" s="334">
        <f>'Knittel 2003, Table 2 &amp; 3 Comb'!B39</f>
        <v>5.0000000000000001E-3</v>
      </c>
      <c r="D306" s="301">
        <f>'Knittel 2003, Table 2 &amp; 3 Comb'!E39</f>
        <v>5000000000</v>
      </c>
      <c r="E306" s="301">
        <f>'Knittel 2003, Table 2 &amp; 3 Comb'!I39</f>
        <v>850000000</v>
      </c>
      <c r="F306" s="301">
        <f>'Knittel 2003, Table 2 &amp; 3 Comb'!K39</f>
        <v>50000000</v>
      </c>
      <c r="G306" s="301">
        <f>E306+F306</f>
        <v>900000000</v>
      </c>
      <c r="H306" s="27">
        <f>G306/D306</f>
        <v>0.18</v>
      </c>
      <c r="M306" s="27">
        <f>(F306/G306)</f>
        <v>5.5555555555555552E-2</v>
      </c>
      <c r="O306" s="229" t="s">
        <v>1376</v>
      </c>
      <c r="R306" s="304" t="s">
        <v>1395</v>
      </c>
      <c r="S306" s="304" t="s">
        <v>141</v>
      </c>
      <c r="T306" s="304" t="s">
        <v>61</v>
      </c>
      <c r="U306" s="304" t="s">
        <v>61</v>
      </c>
      <c r="V306" s="334"/>
      <c r="W306" s="334"/>
      <c r="X306" s="334"/>
      <c r="Y306" s="334"/>
      <c r="Z306" s="334"/>
      <c r="AB306" s="306" t="s">
        <v>1739</v>
      </c>
      <c r="AC306" s="334" t="s">
        <v>1702</v>
      </c>
      <c r="AQ306" s="323">
        <v>780</v>
      </c>
      <c r="AR306" s="323" t="s">
        <v>1463</v>
      </c>
      <c r="AS306" t="b">
        <v>1</v>
      </c>
      <c r="AT306"/>
      <c r="AU306"/>
      <c r="AV306"/>
      <c r="AW306" s="334"/>
      <c r="AX306" s="334"/>
      <c r="AY306" s="334"/>
    </row>
    <row r="307" spans="1:51">
      <c r="A307" s="334" t="s">
        <v>1243</v>
      </c>
      <c r="B307" s="334" t="s">
        <v>1677</v>
      </c>
      <c r="C307" s="334">
        <f>'Knittel 2003, Table 2 &amp; 3 Comb'!B40</f>
        <v>1.4999999999999999E-2</v>
      </c>
      <c r="D307" s="301">
        <f>'Knittel 2003, Table 2 &amp; 3 Comb'!E40</f>
        <v>5000000000</v>
      </c>
      <c r="E307" s="301">
        <f>'Knittel 2003, Table 2 &amp; 3 Comb'!I40</f>
        <v>950000000</v>
      </c>
      <c r="F307" s="301">
        <f>'Knittel 2003, Table 2 &amp; 3 Comb'!K40</f>
        <v>50000000</v>
      </c>
      <c r="G307" s="301">
        <f>E307+F307</f>
        <v>1000000000</v>
      </c>
      <c r="H307" s="27">
        <f>G307/D307</f>
        <v>0.2</v>
      </c>
      <c r="M307" s="27">
        <f>(F307/G307)</f>
        <v>0.05</v>
      </c>
      <c r="O307" s="229" t="s">
        <v>1376</v>
      </c>
      <c r="R307" s="304" t="s">
        <v>1395</v>
      </c>
      <c r="S307" s="304" t="s">
        <v>141</v>
      </c>
      <c r="T307" s="304" t="s">
        <v>61</v>
      </c>
      <c r="U307" s="304" t="s">
        <v>61</v>
      </c>
      <c r="V307" s="334"/>
      <c r="W307" s="334"/>
      <c r="X307" s="334"/>
      <c r="Y307" s="334"/>
      <c r="Z307" s="334"/>
      <c r="AB307" s="306" t="s">
        <v>1739</v>
      </c>
      <c r="AC307" s="334" t="s">
        <v>1702</v>
      </c>
      <c r="AQ307" s="323">
        <v>780</v>
      </c>
      <c r="AR307" s="323" t="s">
        <v>1463</v>
      </c>
      <c r="AS307" t="b">
        <v>1</v>
      </c>
      <c r="AT307"/>
      <c r="AU307"/>
      <c r="AV307"/>
      <c r="AW307" s="334"/>
      <c r="AX307" s="334"/>
      <c r="AY307" s="334"/>
    </row>
    <row r="308" spans="1:51">
      <c r="A308" s="334" t="s">
        <v>1243</v>
      </c>
      <c r="B308" s="334" t="s">
        <v>1676</v>
      </c>
      <c r="C308" s="334">
        <f>'Knittel 2003, Table 2 &amp; 3 Comb'!B43</f>
        <v>4.4999999999999998E-2</v>
      </c>
      <c r="D308" s="301">
        <f>'Knittel 2003, Table 2 &amp; 3 Comb'!E43</f>
        <v>3000000000</v>
      </c>
      <c r="E308" s="301">
        <f>'Knittel 2003, Table 2 &amp; 3 Comb'!I43</f>
        <v>330000000</v>
      </c>
      <c r="F308" s="301">
        <f>'Knittel 2003, Table 2 &amp; 3 Comb'!K43</f>
        <v>15000000</v>
      </c>
      <c r="G308" s="301">
        <f>E308+F308</f>
        <v>345000000</v>
      </c>
      <c r="H308" s="336">
        <f>G308/D308</f>
        <v>0.115</v>
      </c>
      <c r="M308" s="27">
        <f>(F308/G308)</f>
        <v>4.3478260869565216E-2</v>
      </c>
      <c r="O308" s="229" t="s">
        <v>1376</v>
      </c>
      <c r="P308" s="334"/>
      <c r="R308" s="304" t="s">
        <v>1395</v>
      </c>
      <c r="S308" s="304" t="s">
        <v>141</v>
      </c>
      <c r="T308" s="304" t="s">
        <v>61</v>
      </c>
      <c r="U308" s="304" t="s">
        <v>61</v>
      </c>
      <c r="V308" s="334"/>
      <c r="W308" s="334"/>
      <c r="X308" s="334"/>
      <c r="Y308" s="334"/>
      <c r="Z308" s="334"/>
      <c r="AB308" s="306" t="s">
        <v>1739</v>
      </c>
      <c r="AC308" s="334" t="s">
        <v>1702</v>
      </c>
      <c r="AQ308" s="322">
        <v>780</v>
      </c>
      <c r="AR308" s="323" t="s">
        <v>1463</v>
      </c>
      <c r="AS308" t="b">
        <v>1</v>
      </c>
      <c r="AT308"/>
      <c r="AU308"/>
      <c r="AV308"/>
      <c r="AW308" s="334"/>
      <c r="AX308" s="334"/>
      <c r="AY308" s="334"/>
    </row>
    <row r="309" spans="1:51">
      <c r="A309" s="334" t="s">
        <v>1243</v>
      </c>
      <c r="B309" s="334" t="s">
        <v>1676</v>
      </c>
      <c r="C309" s="334">
        <f>'Knittel 2003, Table 2 &amp; 3 Comb'!B47</f>
        <v>9.5000000000000001E-2</v>
      </c>
      <c r="D309" s="301">
        <f>'Knittel 2003, Table 2 &amp; 3 Comb'!E47</f>
        <v>3000000000</v>
      </c>
      <c r="H309" s="336"/>
      <c r="O309" s="229" t="s">
        <v>1376</v>
      </c>
      <c r="R309" s="304" t="s">
        <v>1395</v>
      </c>
      <c r="S309" s="304" t="s">
        <v>141</v>
      </c>
      <c r="T309" s="304" t="s">
        <v>61</v>
      </c>
      <c r="U309" s="304" t="s">
        <v>61</v>
      </c>
      <c r="V309" s="334"/>
      <c r="W309" s="334"/>
      <c r="X309" s="334"/>
      <c r="Y309" s="334"/>
      <c r="Z309" s="334"/>
      <c r="AB309" s="306" t="s">
        <v>1739</v>
      </c>
      <c r="AC309" s="334" t="s">
        <v>1702</v>
      </c>
      <c r="AQ309" s="322">
        <v>780</v>
      </c>
      <c r="AR309" s="323" t="s">
        <v>1463</v>
      </c>
      <c r="AS309" t="b">
        <v>1</v>
      </c>
      <c r="AT309"/>
      <c r="AU309"/>
      <c r="AV309"/>
      <c r="AW309" s="334"/>
      <c r="AX309" s="334"/>
      <c r="AY309" s="334"/>
    </row>
    <row r="310" spans="1:51">
      <c r="A310" s="334" t="s">
        <v>1243</v>
      </c>
      <c r="B310" s="334" t="s">
        <v>1676</v>
      </c>
      <c r="C310" s="334">
        <f>'Knittel 2003, Table 2 &amp; 3 Comb'!B48</f>
        <v>0.14499999999999999</v>
      </c>
      <c r="D310" s="301">
        <f>'Knittel 2003, Table 2 &amp; 3 Comb'!E48</f>
        <v>1000000000</v>
      </c>
      <c r="H310" s="336"/>
      <c r="O310" s="229" t="s">
        <v>1376</v>
      </c>
      <c r="R310" s="304" t="s">
        <v>1395</v>
      </c>
      <c r="S310" s="304" t="s">
        <v>141</v>
      </c>
      <c r="T310" s="304" t="s">
        <v>61</v>
      </c>
      <c r="U310" s="304" t="s">
        <v>61</v>
      </c>
      <c r="V310" s="334"/>
      <c r="W310" s="334"/>
      <c r="X310" s="334"/>
      <c r="Y310" s="334"/>
      <c r="Z310" s="334"/>
      <c r="AB310" s="306" t="s">
        <v>1739</v>
      </c>
      <c r="AC310" s="334" t="s">
        <v>1702</v>
      </c>
      <c r="AQ310" s="322">
        <v>780</v>
      </c>
      <c r="AR310" s="323" t="s">
        <v>1463</v>
      </c>
      <c r="AS310" t="b">
        <v>1</v>
      </c>
      <c r="AT310"/>
      <c r="AU310"/>
      <c r="AV310"/>
      <c r="AW310" s="334"/>
      <c r="AX310" s="334"/>
      <c r="AY310" s="334"/>
    </row>
    <row r="311" spans="1:51">
      <c r="A311" s="334" t="s">
        <v>1243</v>
      </c>
      <c r="B311" s="334" t="s">
        <v>35</v>
      </c>
      <c r="C311" s="334">
        <f>'Knittel 2003, Table 2 &amp; 3 Comb'!B91</f>
        <v>5.0000000000000001E-3</v>
      </c>
      <c r="D311" s="301">
        <f>'Knittel 2003, Table 2 &amp; 3 Comb'!E91</f>
        <v>2000000000</v>
      </c>
      <c r="E311" s="301">
        <f>'Knittel 2003, Table 2 &amp; 3 Comb'!I91</f>
        <v>320000000</v>
      </c>
      <c r="G311" s="301">
        <f>E311+F311</f>
        <v>320000000</v>
      </c>
      <c r="H311" s="336">
        <f>G311/D311</f>
        <v>0.16</v>
      </c>
      <c r="O311" s="229" t="s">
        <v>1376</v>
      </c>
      <c r="Q311" s="301" t="b">
        <v>1</v>
      </c>
      <c r="R311" s="304" t="s">
        <v>1395</v>
      </c>
      <c r="S311" s="304" t="s">
        <v>141</v>
      </c>
      <c r="T311" s="304" t="s">
        <v>61</v>
      </c>
      <c r="U311" s="304" t="s">
        <v>61</v>
      </c>
      <c r="V311" s="334"/>
      <c r="W311" s="334"/>
      <c r="X311" s="334"/>
      <c r="Y311" s="334"/>
      <c r="Z311" s="334"/>
      <c r="AB311" s="306" t="s">
        <v>1739</v>
      </c>
      <c r="AC311" s="334" t="s">
        <v>1702</v>
      </c>
      <c r="AQ311" s="322">
        <v>780</v>
      </c>
      <c r="AR311" s="323" t="s">
        <v>1463</v>
      </c>
      <c r="AS311" t="b">
        <v>1</v>
      </c>
      <c r="AT311"/>
      <c r="AU311"/>
      <c r="AV311"/>
      <c r="AW311" s="334"/>
      <c r="AX311" s="334"/>
      <c r="AY311" s="334"/>
    </row>
    <row r="312" spans="1:51">
      <c r="A312" s="334" t="s">
        <v>1243</v>
      </c>
      <c r="B312" s="334" t="s">
        <v>35</v>
      </c>
      <c r="C312" s="334">
        <f>'Knittel 2003, Table 2 &amp; 3 Comb'!B92</f>
        <v>1.4999999999999999E-2</v>
      </c>
      <c r="D312" s="301">
        <f>'Knittel 2003, Table 2 &amp; 3 Comb'!E92</f>
        <v>1000000000</v>
      </c>
      <c r="E312" s="301">
        <f>'Knittel 2003, Table 2 &amp; 3 Comb'!I92</f>
        <v>130000000</v>
      </c>
      <c r="G312" s="301">
        <f>E312+F312</f>
        <v>130000000</v>
      </c>
      <c r="H312" s="336">
        <f>G312/D312</f>
        <v>0.13</v>
      </c>
      <c r="O312" s="229" t="s">
        <v>1376</v>
      </c>
      <c r="Q312" s="301" t="b">
        <v>1</v>
      </c>
      <c r="R312" s="304" t="s">
        <v>1395</v>
      </c>
      <c r="S312" s="304" t="s">
        <v>141</v>
      </c>
      <c r="T312" s="304" t="s">
        <v>61</v>
      </c>
      <c r="U312" s="304" t="s">
        <v>61</v>
      </c>
      <c r="V312" s="334"/>
      <c r="W312" s="334"/>
      <c r="X312" s="334"/>
      <c r="Y312" s="334"/>
      <c r="Z312" s="334"/>
      <c r="AB312" s="306" t="s">
        <v>1739</v>
      </c>
      <c r="AC312" s="334" t="s">
        <v>1702</v>
      </c>
      <c r="AQ312" s="322">
        <v>780</v>
      </c>
      <c r="AR312" s="323" t="s">
        <v>1463</v>
      </c>
      <c r="AS312" t="b">
        <v>1</v>
      </c>
      <c r="AT312"/>
      <c r="AU312"/>
      <c r="AV312"/>
      <c r="AW312" s="334"/>
      <c r="AX312" s="334"/>
      <c r="AY312" s="334"/>
    </row>
    <row r="313" spans="1:51">
      <c r="A313" s="334" t="s">
        <v>1243</v>
      </c>
      <c r="B313" s="334" t="s">
        <v>34</v>
      </c>
      <c r="C313" s="334">
        <f>'Knittel 2003, Table 2 &amp; 3 Comb'!B93</f>
        <v>2.5000000000000001E-2</v>
      </c>
      <c r="D313" s="301">
        <f>'Knittel 2003, Table 2 &amp; 3 Comb'!E93</f>
        <v>2000000000</v>
      </c>
      <c r="E313" s="301">
        <f>'Knittel 2003, Table 2 &amp; 3 Comb'!I93</f>
        <v>240000000</v>
      </c>
      <c r="F313" s="301">
        <f>'Knittel 2003, Table 2 &amp; 3 Comb'!K93</f>
        <v>10000000</v>
      </c>
      <c r="G313" s="301">
        <f>E313+F313</f>
        <v>250000000</v>
      </c>
      <c r="H313" s="336">
        <f>G313/D313</f>
        <v>0.125</v>
      </c>
      <c r="M313" s="27">
        <f>F313/G313</f>
        <v>0.04</v>
      </c>
      <c r="O313" s="229" t="s">
        <v>1376</v>
      </c>
      <c r="R313" s="304" t="s">
        <v>1395</v>
      </c>
      <c r="S313" s="304" t="s">
        <v>141</v>
      </c>
      <c r="T313" s="304" t="s">
        <v>61</v>
      </c>
      <c r="U313" s="304" t="s">
        <v>61</v>
      </c>
      <c r="V313" s="334"/>
      <c r="W313" s="334"/>
      <c r="X313" s="334"/>
      <c r="Y313" s="334"/>
      <c r="Z313" s="334"/>
      <c r="AB313" s="306" t="s">
        <v>1739</v>
      </c>
      <c r="AC313" s="334" t="s">
        <v>1702</v>
      </c>
      <c r="AQ313" s="322">
        <v>780</v>
      </c>
      <c r="AR313" s="323" t="s">
        <v>1463</v>
      </c>
      <c r="AS313" t="b">
        <v>1</v>
      </c>
      <c r="AT313"/>
      <c r="AU313"/>
      <c r="AV313"/>
      <c r="AW313" s="334"/>
      <c r="AX313" s="334"/>
      <c r="AY313" s="334"/>
    </row>
    <row r="314" spans="1:51">
      <c r="A314" s="334" t="s">
        <v>1243</v>
      </c>
      <c r="B314" s="334" t="s">
        <v>34</v>
      </c>
      <c r="C314" s="334">
        <f>'Knittel 2003, Table 2 &amp; 3 Comb'!B94</f>
        <v>3.5000000000000003E-2</v>
      </c>
      <c r="D314" s="301">
        <f>'Knittel 2003, Table 2 &amp; 3 Comb'!E94</f>
        <v>1000000000</v>
      </c>
      <c r="E314" s="301">
        <f>'Knittel 2003, Table 2 &amp; 3 Comb'!I94</f>
        <v>150000000</v>
      </c>
      <c r="G314" s="301">
        <f>E314+F314</f>
        <v>150000000</v>
      </c>
      <c r="H314" s="336">
        <f>G314/D314</f>
        <v>0.15</v>
      </c>
      <c r="M314" s="27">
        <f>F314/G314</f>
        <v>0</v>
      </c>
      <c r="O314" s="229" t="s">
        <v>1376</v>
      </c>
      <c r="Q314" s="301" t="b">
        <v>1</v>
      </c>
      <c r="R314" s="304" t="s">
        <v>1395</v>
      </c>
      <c r="S314" s="304" t="s">
        <v>141</v>
      </c>
      <c r="T314" s="304" t="s">
        <v>61</v>
      </c>
      <c r="U314" s="304" t="s">
        <v>61</v>
      </c>
      <c r="V314" s="334"/>
      <c r="W314" s="334"/>
      <c r="X314" s="334"/>
      <c r="Y314" s="334"/>
      <c r="Z314" s="334"/>
      <c r="AB314" s="306" t="s">
        <v>1739</v>
      </c>
      <c r="AC314" s="334" t="s">
        <v>1702</v>
      </c>
      <c r="AQ314">
        <v>780</v>
      </c>
      <c r="AR314" s="323" t="s">
        <v>1463</v>
      </c>
      <c r="AS314" t="b">
        <v>1</v>
      </c>
      <c r="AT314"/>
      <c r="AU314"/>
      <c r="AV314"/>
      <c r="AW314" s="334"/>
      <c r="AX314" s="334"/>
      <c r="AY314" s="334"/>
    </row>
    <row r="315" spans="1:51">
      <c r="A315" s="334" t="s">
        <v>1243</v>
      </c>
      <c r="B315" s="334" t="s">
        <v>34</v>
      </c>
      <c r="C315" s="334">
        <f>'Knittel 2003, Table 2 &amp; 3 Comb'!B95</f>
        <v>4.4999999999999998E-2</v>
      </c>
      <c r="D315" s="301">
        <f>'Knittel 2003, Table 2 &amp; 3 Comb'!E95</f>
        <v>6000000000</v>
      </c>
      <c r="E315" s="301">
        <f>'Knittel 2003, Table 2 &amp; 3 Comb'!I95</f>
        <v>780000000</v>
      </c>
      <c r="F315" s="301">
        <f>'Knittel 2003, Table 2 &amp; 3 Comb'!K95</f>
        <v>120000000</v>
      </c>
      <c r="G315" s="301">
        <f>E315+F315</f>
        <v>900000000</v>
      </c>
      <c r="H315" s="336">
        <f>G315/D315</f>
        <v>0.15</v>
      </c>
      <c r="M315" s="27">
        <f>F315/G315</f>
        <v>0.13333333333333333</v>
      </c>
      <c r="O315" s="229" t="s">
        <v>1376</v>
      </c>
      <c r="R315" s="304" t="s">
        <v>1395</v>
      </c>
      <c r="S315" s="304" t="s">
        <v>141</v>
      </c>
      <c r="T315" s="304" t="s">
        <v>61</v>
      </c>
      <c r="U315" s="304" t="s">
        <v>61</v>
      </c>
      <c r="V315" s="334"/>
      <c r="W315" s="334"/>
      <c r="X315" s="334"/>
      <c r="Y315" s="334"/>
      <c r="Z315" s="334"/>
      <c r="AB315" s="306" t="s">
        <v>1739</v>
      </c>
      <c r="AC315" s="334" t="s">
        <v>1702</v>
      </c>
      <c r="AQ315" s="322">
        <v>780</v>
      </c>
      <c r="AR315" s="323" t="s">
        <v>1463</v>
      </c>
      <c r="AS315" t="b">
        <v>1</v>
      </c>
      <c r="AT315"/>
      <c r="AU315"/>
      <c r="AV315"/>
      <c r="AW315" s="334"/>
      <c r="AX315" s="334"/>
      <c r="AY315" s="334"/>
    </row>
    <row r="316" spans="1:51">
      <c r="A316" s="334" t="s">
        <v>1243</v>
      </c>
      <c r="B316" s="334" t="s">
        <v>34</v>
      </c>
      <c r="C316" s="334">
        <f>'Knittel 2003, Table 2 &amp; 3 Comb'!B96</f>
        <v>5.5E-2</v>
      </c>
      <c r="D316" s="301">
        <f>'Knittel 2003, Table 2 &amp; 3 Comb'!E96</f>
        <v>5000000000</v>
      </c>
      <c r="E316" s="301">
        <f>'Knittel 2003, Table 2 &amp; 3 Comb'!I96</f>
        <v>500000000</v>
      </c>
      <c r="F316" s="301">
        <f>'Knittel 2003, Table 2 &amp; 3 Comb'!K96</f>
        <v>100000000</v>
      </c>
      <c r="G316" s="301">
        <f>E316+F316</f>
        <v>600000000</v>
      </c>
      <c r="H316" s="336">
        <f>G316/D316</f>
        <v>0.12</v>
      </c>
      <c r="M316" s="27">
        <f>F316/G316</f>
        <v>0.16666666666666666</v>
      </c>
      <c r="O316" s="229" t="s">
        <v>1376</v>
      </c>
      <c r="P316" s="334"/>
      <c r="R316" s="304" t="s">
        <v>1395</v>
      </c>
      <c r="S316" s="304" t="s">
        <v>141</v>
      </c>
      <c r="T316" s="304" t="s">
        <v>61</v>
      </c>
      <c r="U316" s="304" t="s">
        <v>61</v>
      </c>
      <c r="V316" s="334"/>
      <c r="W316" s="334"/>
      <c r="X316" s="334"/>
      <c r="Y316" s="334"/>
      <c r="Z316" s="334"/>
      <c r="AB316" s="306" t="s">
        <v>1739</v>
      </c>
      <c r="AC316" s="334" t="s">
        <v>1702</v>
      </c>
      <c r="AQ316" s="322">
        <v>780</v>
      </c>
      <c r="AR316" s="323" t="s">
        <v>1463</v>
      </c>
      <c r="AS316" t="b">
        <v>1</v>
      </c>
      <c r="AT316"/>
      <c r="AU316"/>
      <c r="AV316"/>
      <c r="AW316" s="334"/>
      <c r="AX316" s="334"/>
      <c r="AY316" s="334"/>
    </row>
    <row r="317" spans="1:51">
      <c r="A317" s="334" t="s">
        <v>1243</v>
      </c>
      <c r="B317" s="334" t="s">
        <v>34</v>
      </c>
      <c r="C317" s="334">
        <f>'Knittel 2003, Table 2 &amp; 3 Comb'!B97</f>
        <v>6.5000000000000002E-2</v>
      </c>
      <c r="D317" s="301">
        <f>'Knittel 2003, Table 2 &amp; 3 Comb'!E97</f>
        <v>2000000000</v>
      </c>
      <c r="E317" s="301">
        <f>'Knittel 2003, Table 2 &amp; 3 Comb'!I97</f>
        <v>240000000</v>
      </c>
      <c r="F317" s="301">
        <f>'Knittel 2003, Table 2 &amp; 3 Comb'!K97</f>
        <v>40000000</v>
      </c>
      <c r="G317" s="301">
        <f>E317+F317</f>
        <v>280000000</v>
      </c>
      <c r="H317" s="336">
        <f>G317/D317</f>
        <v>0.14000000000000001</v>
      </c>
      <c r="M317" s="27">
        <f>F317/G317</f>
        <v>0.14285714285714285</v>
      </c>
      <c r="O317" s="229" t="s">
        <v>1376</v>
      </c>
      <c r="P317" s="334"/>
      <c r="R317" s="304" t="s">
        <v>1395</v>
      </c>
      <c r="S317" s="304" t="s">
        <v>141</v>
      </c>
      <c r="T317" s="304" t="s">
        <v>61</v>
      </c>
      <c r="U317" s="304" t="s">
        <v>61</v>
      </c>
      <c r="V317" s="334"/>
      <c r="W317" s="334"/>
      <c r="X317" s="334"/>
      <c r="Y317" s="334"/>
      <c r="Z317" s="334"/>
      <c r="AB317" s="306" t="s">
        <v>1739</v>
      </c>
      <c r="AC317" s="334" t="s">
        <v>1702</v>
      </c>
      <c r="AQ317" s="322">
        <v>780</v>
      </c>
      <c r="AR317" s="323" t="s">
        <v>1463</v>
      </c>
      <c r="AS317" t="b">
        <v>1</v>
      </c>
      <c r="AT317"/>
      <c r="AU317"/>
      <c r="AV317"/>
      <c r="AW317" s="334"/>
      <c r="AX317" s="334"/>
      <c r="AY317" s="334"/>
    </row>
    <row r="318" spans="1:51">
      <c r="A318" s="334" t="s">
        <v>1243</v>
      </c>
      <c r="B318" s="334" t="s">
        <v>34</v>
      </c>
      <c r="C318" s="334">
        <f>'Knittel 2003, Table 2 &amp; 3 Comb'!B98</f>
        <v>7.4999999999999997E-2</v>
      </c>
      <c r="D318" s="301">
        <f>'Knittel 2003, Table 2 &amp; 3 Comb'!E98</f>
        <v>2000000000</v>
      </c>
      <c r="E318" s="301">
        <f>'Knittel 2003, Table 2 &amp; 3 Comb'!I98</f>
        <v>120000000</v>
      </c>
      <c r="F318" s="301">
        <f>'Knittel 2003, Table 2 &amp; 3 Comb'!K98</f>
        <v>40000000</v>
      </c>
      <c r="G318" s="301">
        <f>E318+F318</f>
        <v>160000000</v>
      </c>
      <c r="H318" s="336">
        <f>G318/D318</f>
        <v>0.08</v>
      </c>
      <c r="M318" s="27">
        <f>F318/G318</f>
        <v>0.25</v>
      </c>
      <c r="O318" s="229" t="s">
        <v>1376</v>
      </c>
      <c r="P318" s="293"/>
      <c r="R318" s="304" t="s">
        <v>1395</v>
      </c>
      <c r="S318" s="304" t="s">
        <v>141</v>
      </c>
      <c r="T318" s="304" t="s">
        <v>61</v>
      </c>
      <c r="U318" s="324" t="s">
        <v>61</v>
      </c>
      <c r="V318" s="334"/>
      <c r="W318" s="334"/>
      <c r="X318" s="334"/>
      <c r="Y318" s="328"/>
      <c r="Z318" s="334"/>
      <c r="AB318" s="306" t="s">
        <v>1739</v>
      </c>
      <c r="AC318" s="334" t="s">
        <v>1702</v>
      </c>
      <c r="AQ318" s="322">
        <v>780</v>
      </c>
      <c r="AR318" s="326" t="s">
        <v>1463</v>
      </c>
      <c r="AS318" t="b">
        <v>1</v>
      </c>
      <c r="AT318"/>
      <c r="AU318"/>
      <c r="AV318"/>
      <c r="AW318" s="334"/>
      <c r="AX318" s="334"/>
      <c r="AY318" s="334"/>
    </row>
    <row r="319" spans="1:51">
      <c r="A319" s="334" t="s">
        <v>1243</v>
      </c>
      <c r="B319" s="334" t="s">
        <v>34</v>
      </c>
      <c r="C319" s="334">
        <f>'Knittel 2003, Table 2 &amp; 3 Comb'!B99</f>
        <v>8.5000000000000006E-2</v>
      </c>
      <c r="D319" s="301">
        <f>'Knittel 2003, Table 2 &amp; 3 Comb'!E99</f>
        <v>5000000000</v>
      </c>
      <c r="E319" s="301">
        <f>'Knittel 2003, Table 2 &amp; 3 Comb'!I99</f>
        <v>600000000</v>
      </c>
      <c r="F319" s="301">
        <f>'Knittel 2003, Table 2 &amp; 3 Comb'!K99</f>
        <v>200000000</v>
      </c>
      <c r="G319" s="301">
        <f>E319+F319</f>
        <v>800000000</v>
      </c>
      <c r="H319" s="336">
        <f>G319/D319</f>
        <v>0.16</v>
      </c>
      <c r="M319" s="27">
        <f>F319/G319</f>
        <v>0.25</v>
      </c>
      <c r="O319" s="229" t="s">
        <v>1376</v>
      </c>
      <c r="R319" s="304" t="s">
        <v>1395</v>
      </c>
      <c r="S319" s="304" t="s">
        <v>141</v>
      </c>
      <c r="T319" s="304" t="s">
        <v>61</v>
      </c>
      <c r="U319" s="324" t="s">
        <v>61</v>
      </c>
      <c r="V319" s="334"/>
      <c r="W319" s="334"/>
      <c r="X319" s="334"/>
      <c r="Y319" s="326"/>
      <c r="Z319" s="334"/>
      <c r="AB319" s="306" t="s">
        <v>1739</v>
      </c>
      <c r="AC319" s="334" t="s">
        <v>1702</v>
      </c>
      <c r="AQ319" s="322">
        <v>780</v>
      </c>
      <c r="AR319" s="326" t="s">
        <v>1463</v>
      </c>
      <c r="AS319" t="b">
        <v>1</v>
      </c>
      <c r="AT319"/>
      <c r="AU319"/>
      <c r="AV319"/>
      <c r="AW319" s="334"/>
      <c r="AX319" s="334"/>
      <c r="AY319" s="334"/>
    </row>
    <row r="320" spans="1:51">
      <c r="A320" s="334" t="s">
        <v>1243</v>
      </c>
      <c r="B320" s="334" t="s">
        <v>34</v>
      </c>
      <c r="C320" s="334">
        <f>'Knittel 2003, Table 2 &amp; 3 Comb'!B100</f>
        <v>9.5000000000000001E-2</v>
      </c>
      <c r="D320" s="301">
        <f>'Knittel 2003, Table 2 &amp; 3 Comb'!E100</f>
        <v>3000000000</v>
      </c>
      <c r="E320" s="301">
        <f>'Knittel 2003, Table 2 &amp; 3 Comb'!I100</f>
        <v>360000000</v>
      </c>
      <c r="F320" s="301">
        <f>'Knittel 2003, Table 2 &amp; 3 Comb'!K100</f>
        <v>90000000</v>
      </c>
      <c r="G320" s="301">
        <f>E320+F320</f>
        <v>450000000</v>
      </c>
      <c r="H320" s="336">
        <f>G320/D320</f>
        <v>0.15</v>
      </c>
      <c r="M320" s="27">
        <f>F320/G320</f>
        <v>0.2</v>
      </c>
      <c r="O320" s="229" t="s">
        <v>1376</v>
      </c>
      <c r="P320" s="289"/>
      <c r="R320" s="304" t="s">
        <v>1395</v>
      </c>
      <c r="S320" s="304" t="s">
        <v>141</v>
      </c>
      <c r="T320" s="304" t="s">
        <v>61</v>
      </c>
      <c r="U320" s="324" t="s">
        <v>61</v>
      </c>
      <c r="V320" s="334"/>
      <c r="W320" s="334"/>
      <c r="X320" s="334"/>
      <c r="Y320" s="334"/>
      <c r="Z320" s="334"/>
      <c r="AB320" s="306" t="s">
        <v>1739</v>
      </c>
      <c r="AC320" s="334" t="s">
        <v>1702</v>
      </c>
      <c r="AQ320" s="322">
        <v>780</v>
      </c>
      <c r="AR320" s="326" t="s">
        <v>1463</v>
      </c>
      <c r="AS320" t="b">
        <v>1</v>
      </c>
      <c r="AT320"/>
      <c r="AU320"/>
      <c r="AV320"/>
      <c r="AW320" s="334"/>
      <c r="AX320" s="334"/>
      <c r="AY320" s="334"/>
    </row>
    <row r="321" spans="1:51">
      <c r="A321" s="277" t="s">
        <v>320</v>
      </c>
      <c r="B321" s="334" t="s">
        <v>179</v>
      </c>
      <c r="C321" s="334">
        <f>'Kochling 2011'!E8</f>
        <v>1E-3</v>
      </c>
      <c r="D321" s="301">
        <f>'Kochling 2011'!G8</f>
        <v>153846153.84615386</v>
      </c>
      <c r="E321" s="301">
        <f>'Kochling 2011'!J8</f>
        <v>93384615.384615391</v>
      </c>
      <c r="G321" s="301">
        <f>E321+F321</f>
        <v>93384615.384615391</v>
      </c>
      <c r="H321" s="336">
        <f>G321/D321</f>
        <v>0.60699999999999998</v>
      </c>
      <c r="M321" s="27">
        <f>F321/G321</f>
        <v>0</v>
      </c>
      <c r="O321" s="229" t="s">
        <v>440</v>
      </c>
      <c r="P321" s="293"/>
      <c r="Q321" s="301" t="b">
        <v>1</v>
      </c>
      <c r="R321" s="304" t="s">
        <v>460</v>
      </c>
      <c r="S321" s="304" t="s">
        <v>141</v>
      </c>
      <c r="T321" s="304" t="s">
        <v>145</v>
      </c>
      <c r="U321" s="324" t="s">
        <v>147</v>
      </c>
      <c r="V321" s="313">
        <v>0.55000000000000004</v>
      </c>
      <c r="W321" s="313">
        <v>0.55000000000000004</v>
      </c>
      <c r="X321" s="306" t="s">
        <v>247</v>
      </c>
      <c r="Y321" s="334" t="s">
        <v>96</v>
      </c>
      <c r="Z321" s="314" t="s">
        <v>100</v>
      </c>
      <c r="AB321" s="334" t="s">
        <v>311</v>
      </c>
      <c r="AC321" s="334" t="s">
        <v>1702</v>
      </c>
      <c r="AQ321" s="322">
        <v>0.5</v>
      </c>
      <c r="AR321" s="326" t="s">
        <v>162</v>
      </c>
      <c r="AS321" t="b">
        <v>1</v>
      </c>
      <c r="AT321"/>
      <c r="AU321"/>
      <c r="AV321"/>
      <c r="AW321" s="334"/>
      <c r="AX321" s="334"/>
      <c r="AY321" s="334"/>
    </row>
    <row r="322" spans="1:51">
      <c r="A322" s="277" t="s">
        <v>320</v>
      </c>
      <c r="B322" s="334" t="s">
        <v>179</v>
      </c>
      <c r="C322" s="334">
        <f>'Kochling 2011'!E9</f>
        <v>0.16</v>
      </c>
      <c r="D322" s="301">
        <f>'Kochling 2011'!G9</f>
        <v>107692307.6923077</v>
      </c>
      <c r="E322" s="301">
        <f>'Kochling 2011'!J9</f>
        <v>39846153.846153848</v>
      </c>
      <c r="G322" s="301">
        <f>E322+F322</f>
        <v>39846153.846153848</v>
      </c>
      <c r="H322" s="336">
        <f>G322/D322</f>
        <v>0.37</v>
      </c>
      <c r="M322" s="27">
        <f>F322/G322</f>
        <v>0</v>
      </c>
      <c r="O322" s="229" t="s">
        <v>440</v>
      </c>
      <c r="P322" s="293"/>
      <c r="Q322" s="301" t="b">
        <v>1</v>
      </c>
      <c r="R322" s="304" t="s">
        <v>460</v>
      </c>
      <c r="S322" s="304" t="s">
        <v>141</v>
      </c>
      <c r="T322" s="304" t="s">
        <v>145</v>
      </c>
      <c r="U322" s="324" t="s">
        <v>147</v>
      </c>
      <c r="V322" s="313">
        <v>0.55000000000000004</v>
      </c>
      <c r="W322" s="313">
        <v>0.55000000000000004</v>
      </c>
      <c r="X322" s="306" t="s">
        <v>247</v>
      </c>
      <c r="Y322" s="334" t="s">
        <v>96</v>
      </c>
      <c r="Z322" s="314" t="s">
        <v>100</v>
      </c>
      <c r="AB322" s="334" t="s">
        <v>311</v>
      </c>
      <c r="AC322" s="334" t="s">
        <v>1702</v>
      </c>
      <c r="AQ322" s="322">
        <v>0.5</v>
      </c>
      <c r="AR322" s="326" t="s">
        <v>162</v>
      </c>
      <c r="AS322" t="b">
        <v>1</v>
      </c>
      <c r="AT322"/>
      <c r="AU322"/>
      <c r="AV322"/>
      <c r="AW322" s="334"/>
      <c r="AX322" s="334"/>
      <c r="AY322" s="334"/>
    </row>
    <row r="323" spans="1:51">
      <c r="A323" s="277" t="s">
        <v>320</v>
      </c>
      <c r="B323" s="334" t="s">
        <v>179</v>
      </c>
      <c r="C323" s="334">
        <f>'Kochling 2011'!E10</f>
        <v>0.28499999999999998</v>
      </c>
      <c r="D323" s="301">
        <f>'Kochling 2011'!G10</f>
        <v>53846153.846153848</v>
      </c>
      <c r="E323" s="301">
        <f>'Kochling 2011'!J10</f>
        <v>10876923.076923076</v>
      </c>
      <c r="G323" s="301">
        <f>E323+F323</f>
        <v>10876923.076923076</v>
      </c>
      <c r="H323" s="336">
        <f>G323/D323</f>
        <v>0.20199999999999999</v>
      </c>
      <c r="M323" s="27">
        <f>F323/G323</f>
        <v>0</v>
      </c>
      <c r="O323" s="229" t="s">
        <v>440</v>
      </c>
      <c r="P323" s="293"/>
      <c r="Q323" s="301" t="b">
        <v>1</v>
      </c>
      <c r="R323" s="304" t="s">
        <v>460</v>
      </c>
      <c r="S323" s="304" t="s">
        <v>141</v>
      </c>
      <c r="T323" s="304" t="s">
        <v>145</v>
      </c>
      <c r="U323" s="324" t="s">
        <v>147</v>
      </c>
      <c r="V323" s="313">
        <v>0.55000000000000004</v>
      </c>
      <c r="W323" s="313">
        <v>0.55000000000000004</v>
      </c>
      <c r="X323" s="306" t="s">
        <v>247</v>
      </c>
      <c r="Y323" s="334" t="s">
        <v>96</v>
      </c>
      <c r="Z323" s="314" t="s">
        <v>100</v>
      </c>
      <c r="AB323" s="334" t="s">
        <v>311</v>
      </c>
      <c r="AC323" s="334" t="s">
        <v>1702</v>
      </c>
      <c r="AQ323" s="322">
        <v>0.5</v>
      </c>
      <c r="AR323" s="326" t="s">
        <v>162</v>
      </c>
      <c r="AS323" t="b">
        <v>1</v>
      </c>
      <c r="AT323"/>
      <c r="AU323"/>
      <c r="AV323"/>
      <c r="AW323" s="334"/>
      <c r="AX323" s="334"/>
      <c r="AY323" s="334"/>
    </row>
    <row r="324" spans="1:51">
      <c r="A324" s="277" t="s">
        <v>320</v>
      </c>
      <c r="B324" s="334" t="s">
        <v>38</v>
      </c>
      <c r="C324" s="334">
        <f>'Kochling 2011'!E11</f>
        <v>1E-3</v>
      </c>
      <c r="D324" s="301">
        <f>'Kochling 2011'!G11</f>
        <v>384615384.61538458</v>
      </c>
      <c r="E324" s="301">
        <f>'Kochling 2011'!J11</f>
        <v>225769230.76923078</v>
      </c>
      <c r="F324" s="301">
        <f>'Kochling 2011'!K11</f>
        <v>99230769.230769217</v>
      </c>
      <c r="G324" s="301">
        <f>E324+F324</f>
        <v>325000000</v>
      </c>
      <c r="H324" s="336">
        <f>G324/D324</f>
        <v>0.84500000000000008</v>
      </c>
      <c r="M324" s="27">
        <f>F324/G324</f>
        <v>0.30532544378698223</v>
      </c>
      <c r="O324" s="229" t="s">
        <v>440</v>
      </c>
      <c r="R324" s="304" t="s">
        <v>460</v>
      </c>
      <c r="S324" s="304" t="s">
        <v>141</v>
      </c>
      <c r="T324" s="304" t="s">
        <v>145</v>
      </c>
      <c r="U324" s="324" t="s">
        <v>147</v>
      </c>
      <c r="V324" s="313">
        <v>0.55000000000000004</v>
      </c>
      <c r="W324" s="313">
        <v>0.55000000000000004</v>
      </c>
      <c r="X324" s="306" t="s">
        <v>247</v>
      </c>
      <c r="Y324" s="323" t="s">
        <v>96</v>
      </c>
      <c r="Z324" s="314" t="s">
        <v>100</v>
      </c>
      <c r="AB324" s="334" t="s">
        <v>311</v>
      </c>
      <c r="AC324" s="334" t="s">
        <v>1702</v>
      </c>
      <c r="AQ324" s="322">
        <v>20</v>
      </c>
      <c r="AR324" s="326"/>
      <c r="AS324" t="b">
        <v>1</v>
      </c>
      <c r="AT324"/>
      <c r="AU324"/>
      <c r="AV324"/>
      <c r="AW324" s="334"/>
      <c r="AX324" s="334"/>
      <c r="AY324" s="334"/>
    </row>
    <row r="325" spans="1:51">
      <c r="A325" s="277" t="s">
        <v>320</v>
      </c>
      <c r="B325" s="334" t="s">
        <v>38</v>
      </c>
      <c r="C325" s="334">
        <f>'Kochling 2011'!E15</f>
        <v>5.0000000000000001E-3</v>
      </c>
      <c r="D325" s="301">
        <f>'Kochling 2011'!G15</f>
        <v>192307692.30769229</v>
      </c>
      <c r="E325" s="301">
        <f>'Kochling 2011'!J15</f>
        <v>155961538.46153843</v>
      </c>
      <c r="F325" s="301">
        <f>'Kochling 2011'!K15</f>
        <v>64230769.230769217</v>
      </c>
      <c r="G325" s="301">
        <f>E325+F325</f>
        <v>220192307.69230765</v>
      </c>
      <c r="H325" s="336">
        <f>G325/D325</f>
        <v>1.1449999999999998</v>
      </c>
      <c r="M325" s="27">
        <f>F325/G325</f>
        <v>0.29170305676855895</v>
      </c>
      <c r="O325" s="229" t="s">
        <v>440</v>
      </c>
      <c r="P325" s="289"/>
      <c r="R325" s="304" t="s">
        <v>460</v>
      </c>
      <c r="S325" s="304" t="s">
        <v>141</v>
      </c>
      <c r="T325" s="304" t="s">
        <v>145</v>
      </c>
      <c r="U325" s="324" t="s">
        <v>147</v>
      </c>
      <c r="V325" s="313">
        <v>0.55000000000000004</v>
      </c>
      <c r="W325" s="313">
        <v>0.55000000000000004</v>
      </c>
      <c r="X325" s="306" t="s">
        <v>247</v>
      </c>
      <c r="Y325" s="334" t="s">
        <v>96</v>
      </c>
      <c r="Z325" s="314" t="s">
        <v>100</v>
      </c>
      <c r="AB325" s="334" t="s">
        <v>311</v>
      </c>
      <c r="AC325" s="334" t="s">
        <v>1702</v>
      </c>
      <c r="AQ325" s="322">
        <v>20</v>
      </c>
      <c r="AR325" s="326"/>
      <c r="AS325" t="b">
        <v>1</v>
      </c>
      <c r="AT325"/>
      <c r="AU325"/>
      <c r="AV325"/>
      <c r="AW325" s="334"/>
      <c r="AX325" s="334"/>
      <c r="AY325" s="334"/>
    </row>
    <row r="326" spans="1:51">
      <c r="A326" s="277" t="s">
        <v>320</v>
      </c>
      <c r="B326" s="334" t="s">
        <v>38</v>
      </c>
      <c r="C326" s="334">
        <f>'Kochling 2011'!E17</f>
        <v>0.01</v>
      </c>
      <c r="D326" s="301">
        <f>'Kochling 2011'!G17</f>
        <v>92307692.307692304</v>
      </c>
      <c r="E326" s="301">
        <f>'Kochling 2011'!J17</f>
        <v>56307692.307692304</v>
      </c>
      <c r="F326" s="301">
        <f>'Kochling 2011'!K17</f>
        <v>19107692.307692304</v>
      </c>
      <c r="G326" s="301">
        <f>E326+F326</f>
        <v>75415384.615384609</v>
      </c>
      <c r="H326" s="27">
        <f>G326/D326</f>
        <v>0.81699999999999995</v>
      </c>
      <c r="M326" s="27">
        <f>F326/G326</f>
        <v>0.25336597307221542</v>
      </c>
      <c r="O326" s="229" t="s">
        <v>440</v>
      </c>
      <c r="P326" s="289"/>
      <c r="R326" s="304" t="s">
        <v>460</v>
      </c>
      <c r="S326" s="304" t="s">
        <v>141</v>
      </c>
      <c r="T326" s="304" t="s">
        <v>145</v>
      </c>
      <c r="U326" s="324" t="s">
        <v>147</v>
      </c>
      <c r="V326" s="313">
        <v>0.55000000000000004</v>
      </c>
      <c r="W326" s="313">
        <v>0.55000000000000004</v>
      </c>
      <c r="X326" s="306" t="s">
        <v>247</v>
      </c>
      <c r="Y326" s="334" t="s">
        <v>96</v>
      </c>
      <c r="Z326" s="314" t="s">
        <v>100</v>
      </c>
      <c r="AB326" s="334" t="s">
        <v>311</v>
      </c>
      <c r="AC326" s="334" t="s">
        <v>1702</v>
      </c>
      <c r="AQ326" s="322">
        <v>20</v>
      </c>
      <c r="AR326" s="326"/>
      <c r="AS326" t="b">
        <v>1</v>
      </c>
      <c r="AT326"/>
      <c r="AU326"/>
      <c r="AV326"/>
      <c r="AW326" s="334"/>
      <c r="AX326" s="334"/>
      <c r="AY326" s="334"/>
    </row>
    <row r="327" spans="1:51">
      <c r="A327" s="277" t="s">
        <v>320</v>
      </c>
      <c r="B327" s="334" t="s">
        <v>38</v>
      </c>
      <c r="C327" s="334">
        <f>'Kochling 2011'!E18</f>
        <v>7.0000000000000007E-2</v>
      </c>
      <c r="D327" s="301">
        <f>'Kochling 2011'!G18</f>
        <v>100000000</v>
      </c>
      <c r="E327" s="301">
        <f>'Kochling 2011'!J18</f>
        <v>33100000</v>
      </c>
      <c r="F327" s="301">
        <f>'Kochling 2011'!K18</f>
        <v>7200000.0000000009</v>
      </c>
      <c r="G327" s="301">
        <f>E327+F327</f>
        <v>40300000</v>
      </c>
      <c r="H327" s="27">
        <f>G327/D327</f>
        <v>0.40300000000000002</v>
      </c>
      <c r="M327" s="27">
        <f>F327/G327</f>
        <v>0.17866004962779158</v>
      </c>
      <c r="O327" s="229" t="s">
        <v>440</v>
      </c>
      <c r="P327" s="293"/>
      <c r="R327" s="304" t="s">
        <v>460</v>
      </c>
      <c r="S327" s="304" t="s">
        <v>141</v>
      </c>
      <c r="T327" s="304" t="s">
        <v>145</v>
      </c>
      <c r="U327" s="324" t="s">
        <v>147</v>
      </c>
      <c r="V327" s="313">
        <v>0.55000000000000004</v>
      </c>
      <c r="W327" s="313">
        <v>0.55000000000000004</v>
      </c>
      <c r="X327" s="306" t="s">
        <v>247</v>
      </c>
      <c r="Y327" s="334" t="s">
        <v>96</v>
      </c>
      <c r="Z327" s="314" t="s">
        <v>100</v>
      </c>
      <c r="AB327" s="334" t="s">
        <v>311</v>
      </c>
      <c r="AC327" s="334" t="s">
        <v>1702</v>
      </c>
      <c r="AQ327" s="322">
        <v>20</v>
      </c>
      <c r="AR327" s="326"/>
      <c r="AS327" t="b">
        <v>1</v>
      </c>
      <c r="AT327"/>
      <c r="AU327"/>
      <c r="AV327"/>
      <c r="AW327" s="334"/>
      <c r="AX327" s="334"/>
      <c r="AY327" s="334"/>
    </row>
    <row r="328" spans="1:51">
      <c r="A328" s="277" t="s">
        <v>320</v>
      </c>
      <c r="B328" s="334" t="s">
        <v>38</v>
      </c>
      <c r="C328" s="334">
        <f>'Kochling 2011'!E12</f>
        <v>7.0000000000000007E-2</v>
      </c>
      <c r="D328" s="301">
        <f>'Kochling 2011'!G12</f>
        <v>253846153.84615383</v>
      </c>
      <c r="E328" s="301">
        <f>'Kochling 2011'!J12</f>
        <v>132000000</v>
      </c>
      <c r="F328" s="301">
        <f>'Kochling 2011'!K12</f>
        <v>47469230.769230768</v>
      </c>
      <c r="G328" s="301">
        <f>E328+F328</f>
        <v>179469230.76923078</v>
      </c>
      <c r="H328" s="27">
        <f>G328/D328</f>
        <v>0.70700000000000007</v>
      </c>
      <c r="M328" s="27">
        <f>F328/G328</f>
        <v>0.26449787835926447</v>
      </c>
      <c r="O328" s="229" t="s">
        <v>440</v>
      </c>
      <c r="P328" s="289"/>
      <c r="R328" s="304" t="s">
        <v>460</v>
      </c>
      <c r="S328" s="304" t="s">
        <v>141</v>
      </c>
      <c r="T328" s="304" t="s">
        <v>145</v>
      </c>
      <c r="U328" s="324" t="s">
        <v>147</v>
      </c>
      <c r="V328" s="313">
        <v>0.55000000000000004</v>
      </c>
      <c r="W328" s="313">
        <v>0.55000000000000004</v>
      </c>
      <c r="X328" s="306" t="s">
        <v>247</v>
      </c>
      <c r="Y328" s="334" t="s">
        <v>96</v>
      </c>
      <c r="Z328" s="314" t="s">
        <v>100</v>
      </c>
      <c r="AB328" s="334" t="s">
        <v>311</v>
      </c>
      <c r="AC328" s="334" t="s">
        <v>1702</v>
      </c>
      <c r="AQ328" s="322">
        <v>20</v>
      </c>
      <c r="AR328" s="326"/>
      <c r="AS328" t="b">
        <v>1</v>
      </c>
      <c r="AT328"/>
      <c r="AU328"/>
      <c r="AV328"/>
      <c r="AW328" s="334"/>
      <c r="AX328" s="334"/>
      <c r="AY328" s="334"/>
    </row>
    <row r="329" spans="1:51">
      <c r="A329" s="277" t="s">
        <v>320</v>
      </c>
      <c r="B329" s="334" t="s">
        <v>38</v>
      </c>
      <c r="C329" s="334">
        <f>'Kochling 2011'!E13</f>
        <v>0.115</v>
      </c>
      <c r="D329" s="301">
        <f>'Kochling 2011'!G13</f>
        <v>423076923.07692307</v>
      </c>
      <c r="E329" s="301">
        <f>'Kochling 2011'!J13</f>
        <v>192500000</v>
      </c>
      <c r="F329" s="301">
        <f>'Kochling 2011'!K13</f>
        <v>41884615.384615384</v>
      </c>
      <c r="G329" s="301">
        <f>E329+F329</f>
        <v>234384615.38461539</v>
      </c>
      <c r="H329" s="27">
        <f>G329/D329</f>
        <v>0.55400000000000005</v>
      </c>
      <c r="M329" s="27">
        <f>F329/G329</f>
        <v>0.17870036101083031</v>
      </c>
      <c r="O329" s="229" t="s">
        <v>440</v>
      </c>
      <c r="P329" s="289"/>
      <c r="R329" s="304" t="s">
        <v>460</v>
      </c>
      <c r="S329" s="304" t="s">
        <v>141</v>
      </c>
      <c r="T329" s="304" t="s">
        <v>145</v>
      </c>
      <c r="U329" s="324" t="s">
        <v>147</v>
      </c>
      <c r="V329" s="313">
        <v>0.55000000000000004</v>
      </c>
      <c r="W329" s="313">
        <v>0.55000000000000004</v>
      </c>
      <c r="X329" s="306" t="s">
        <v>247</v>
      </c>
      <c r="Y329" s="323" t="s">
        <v>96</v>
      </c>
      <c r="Z329" s="314" t="s">
        <v>100</v>
      </c>
      <c r="AB329" s="334" t="s">
        <v>311</v>
      </c>
      <c r="AC329" s="334" t="s">
        <v>1702</v>
      </c>
      <c r="AQ329" s="322">
        <v>20</v>
      </c>
      <c r="AR329" s="326"/>
      <c r="AS329" t="b">
        <v>1</v>
      </c>
      <c r="AT329"/>
      <c r="AU329"/>
      <c r="AV329"/>
      <c r="AW329" s="334"/>
      <c r="AX329" s="334"/>
      <c r="AY329" s="334"/>
    </row>
    <row r="330" spans="1:51">
      <c r="A330" s="277" t="s">
        <v>320</v>
      </c>
      <c r="B330" s="334" t="s">
        <v>38</v>
      </c>
      <c r="C330" s="334">
        <f>'Kochling 2011'!E19</f>
        <v>0.13</v>
      </c>
      <c r="D330" s="301">
        <f>'Kochling 2011'!G19</f>
        <v>23076923.076923076</v>
      </c>
      <c r="E330" s="301">
        <f>'Kochling 2011'!J19</f>
        <v>10315384.615384616</v>
      </c>
      <c r="F330" s="301">
        <f>'Kochling 2011'!K19</f>
        <v>2261538.4615384615</v>
      </c>
      <c r="G330" s="301">
        <f>E330+F330</f>
        <v>12576923.076923078</v>
      </c>
      <c r="H330" s="27">
        <f>G330/D330</f>
        <v>0.54500000000000004</v>
      </c>
      <c r="M330" s="27">
        <f>F330/G330</f>
        <v>0.17981651376146787</v>
      </c>
      <c r="O330" s="229" t="s">
        <v>440</v>
      </c>
      <c r="P330" s="289"/>
      <c r="R330" s="304" t="s">
        <v>460</v>
      </c>
      <c r="S330" s="304" t="s">
        <v>141</v>
      </c>
      <c r="T330" s="304" t="s">
        <v>145</v>
      </c>
      <c r="U330" s="324" t="s">
        <v>147</v>
      </c>
      <c r="V330" s="313">
        <v>0.55000000000000004</v>
      </c>
      <c r="W330" s="313">
        <v>0.55000000000000004</v>
      </c>
      <c r="X330" s="306" t="s">
        <v>247</v>
      </c>
      <c r="Y330" s="327" t="s">
        <v>96</v>
      </c>
      <c r="Z330" s="314" t="s">
        <v>100</v>
      </c>
      <c r="AB330" s="334" t="s">
        <v>311</v>
      </c>
      <c r="AC330" s="334" t="s">
        <v>1702</v>
      </c>
      <c r="AQ330" s="322">
        <v>20</v>
      </c>
      <c r="AR330" s="326"/>
      <c r="AS330" t="b">
        <v>1</v>
      </c>
      <c r="AT330"/>
      <c r="AU330"/>
      <c r="AV330"/>
      <c r="AW330" s="334"/>
      <c r="AX330" s="334"/>
      <c r="AY330" s="334"/>
    </row>
    <row r="331" spans="1:51">
      <c r="A331" s="277" t="s">
        <v>320</v>
      </c>
      <c r="B331" s="334" t="s">
        <v>38</v>
      </c>
      <c r="C331" s="334">
        <f>'Kochling 2011'!E16</f>
        <v>0.155</v>
      </c>
      <c r="D331" s="301">
        <f>'Kochling 2011'!G16</f>
        <v>223076923.07692307</v>
      </c>
      <c r="E331" s="301">
        <f>'Kochling 2011'!J16</f>
        <v>142100000</v>
      </c>
      <c r="F331" s="301">
        <f>'Kochling 2011'!K16</f>
        <v>37699999.999999993</v>
      </c>
      <c r="G331" s="301">
        <f>E331+F331</f>
        <v>179800000</v>
      </c>
      <c r="H331" s="27">
        <f>G331/D331</f>
        <v>0.80600000000000005</v>
      </c>
      <c r="M331" s="27">
        <f>F331/G331</f>
        <v>0.20967741935483866</v>
      </c>
      <c r="O331" s="229" t="s">
        <v>440</v>
      </c>
      <c r="P331" s="289"/>
      <c r="R331" s="304" t="s">
        <v>460</v>
      </c>
      <c r="S331" s="304" t="s">
        <v>141</v>
      </c>
      <c r="T331" s="304" t="s">
        <v>145</v>
      </c>
      <c r="U331" s="324" t="s">
        <v>147</v>
      </c>
      <c r="V331" s="313">
        <v>0.55000000000000004</v>
      </c>
      <c r="W331" s="313">
        <v>0.55000000000000004</v>
      </c>
      <c r="X331" s="306" t="s">
        <v>247</v>
      </c>
      <c r="Y331" s="328" t="s">
        <v>96</v>
      </c>
      <c r="Z331" s="314" t="s">
        <v>100</v>
      </c>
      <c r="AB331" s="334" t="s">
        <v>311</v>
      </c>
      <c r="AC331" s="334" t="s">
        <v>1702</v>
      </c>
      <c r="AQ331" s="322">
        <v>20</v>
      </c>
      <c r="AR331" s="326"/>
      <c r="AS331" t="b">
        <v>1</v>
      </c>
      <c r="AT331"/>
      <c r="AU331"/>
      <c r="AV331"/>
      <c r="AW331" s="334"/>
      <c r="AX331" s="334"/>
      <c r="AY331" s="334"/>
    </row>
    <row r="332" spans="1:51">
      <c r="A332" s="277" t="s">
        <v>320</v>
      </c>
      <c r="B332" s="334" t="s">
        <v>38</v>
      </c>
      <c r="C332" s="334">
        <f>'Kochling 2011'!E20</f>
        <v>0.19</v>
      </c>
      <c r="D332" s="301">
        <f>'Kochling 2011'!G20</f>
        <v>30769230.769230768</v>
      </c>
      <c r="E332" s="301">
        <f>'Kochling 2011'!J20</f>
        <v>16307692.307692308</v>
      </c>
      <c r="F332" s="301">
        <f>'Kochling 2011'!K20</f>
        <v>5907692.307692308</v>
      </c>
      <c r="G332" s="301">
        <f>E332+F332</f>
        <v>22215384.615384616</v>
      </c>
      <c r="H332" s="27">
        <f>G332/D332</f>
        <v>0.72200000000000009</v>
      </c>
      <c r="M332" s="27">
        <f>F332/G332</f>
        <v>0.26592797783933519</v>
      </c>
      <c r="O332" s="229" t="s">
        <v>440</v>
      </c>
      <c r="P332" s="289"/>
      <c r="R332" s="304" t="s">
        <v>460</v>
      </c>
      <c r="S332" s="304" t="s">
        <v>141</v>
      </c>
      <c r="T332" s="304" t="s">
        <v>145</v>
      </c>
      <c r="U332" s="324" t="s">
        <v>147</v>
      </c>
      <c r="V332" s="313">
        <v>0.55000000000000004</v>
      </c>
      <c r="W332" s="313">
        <v>0.55000000000000004</v>
      </c>
      <c r="X332" s="306" t="s">
        <v>247</v>
      </c>
      <c r="Y332" s="328" t="s">
        <v>96</v>
      </c>
      <c r="Z332" s="314" t="s">
        <v>100</v>
      </c>
      <c r="AB332" s="334" t="s">
        <v>311</v>
      </c>
      <c r="AC332" s="334" t="s">
        <v>1702</v>
      </c>
      <c r="AQ332" s="322">
        <v>20</v>
      </c>
      <c r="AR332" s="326"/>
      <c r="AS332" t="b">
        <v>1</v>
      </c>
      <c r="AT332"/>
      <c r="AU332"/>
      <c r="AV332"/>
      <c r="AW332" s="334"/>
      <c r="AX332" s="334"/>
      <c r="AY332" s="334"/>
    </row>
    <row r="333" spans="1:51">
      <c r="A333" s="277" t="s">
        <v>320</v>
      </c>
      <c r="B333" s="334" t="s">
        <v>38</v>
      </c>
      <c r="C333" s="334">
        <f>'Kochling 2011'!E14</f>
        <v>0.19</v>
      </c>
      <c r="D333" s="301">
        <f>'Kochling 2011'!G14</f>
        <v>76923076.923076928</v>
      </c>
      <c r="E333" s="301">
        <f>'Kochling 2011'!J14</f>
        <v>42923076.92307692</v>
      </c>
      <c r="F333" s="301">
        <f>'Kochling 2011'!K14</f>
        <v>8769230.7692307699</v>
      </c>
      <c r="G333" s="301">
        <f>E333+F333</f>
        <v>51692307.692307688</v>
      </c>
      <c r="H333" s="27">
        <f>G333/D333</f>
        <v>0.67199999999999993</v>
      </c>
      <c r="M333" s="27">
        <f>F333/G333</f>
        <v>0.16964285714285718</v>
      </c>
      <c r="O333" s="229" t="s">
        <v>440</v>
      </c>
      <c r="P333" s="289"/>
      <c r="R333" s="304" t="s">
        <v>460</v>
      </c>
      <c r="S333" s="304" t="s">
        <v>141</v>
      </c>
      <c r="T333" s="304" t="s">
        <v>145</v>
      </c>
      <c r="U333" s="324" t="s">
        <v>147</v>
      </c>
      <c r="V333" s="313">
        <v>0.55000000000000004</v>
      </c>
      <c r="W333" s="313">
        <v>0.55000000000000004</v>
      </c>
      <c r="X333" s="306" t="s">
        <v>247</v>
      </c>
      <c r="Y333" s="334" t="s">
        <v>96</v>
      </c>
      <c r="Z333" s="314" t="s">
        <v>100</v>
      </c>
      <c r="AB333" s="334" t="s">
        <v>311</v>
      </c>
      <c r="AC333" s="334" t="s">
        <v>1702</v>
      </c>
      <c r="AQ333">
        <v>20</v>
      </c>
      <c r="AR333" s="326"/>
      <c r="AS333" t="b">
        <v>1</v>
      </c>
      <c r="AT333"/>
      <c r="AU333"/>
      <c r="AV333"/>
      <c r="AW333" s="334"/>
      <c r="AX333" s="334"/>
      <c r="AY333" s="334"/>
    </row>
    <row r="334" spans="1:51">
      <c r="A334" s="277" t="s">
        <v>135</v>
      </c>
      <c r="B334" s="334" t="s">
        <v>36</v>
      </c>
      <c r="C334" s="334">
        <v>7.4999999999999997E-2</v>
      </c>
      <c r="D334" s="301">
        <f>'Kolukirik 2011'!C7</f>
        <v>3520189115.4334102</v>
      </c>
      <c r="E334" s="301">
        <f>'Kolukirik 2011'!D7</f>
        <v>1727068884.6013401</v>
      </c>
      <c r="F334" s="301">
        <f>'Kolukirik 2011'!E7</f>
        <v>853800559.69824803</v>
      </c>
      <c r="G334" s="301">
        <f>E334+F334</f>
        <v>2580869444.2995882</v>
      </c>
      <c r="H334" s="27">
        <f>G334/D334</f>
        <v>0.7331621568240172</v>
      </c>
      <c r="M334" s="27">
        <f>F334/G334</f>
        <v>0.3308189655172416</v>
      </c>
      <c r="O334" s="229" t="s">
        <v>943</v>
      </c>
      <c r="P334" s="289">
        <f>'Kolukirik 2011'!F7</f>
        <v>4.0999999999999996</v>
      </c>
      <c r="R334" s="304" t="s">
        <v>460</v>
      </c>
      <c r="S334" s="304" t="s">
        <v>142</v>
      </c>
      <c r="T334" s="304" t="s">
        <v>47</v>
      </c>
      <c r="U334" s="324" t="s">
        <v>47</v>
      </c>
      <c r="V334" s="334"/>
      <c r="W334" s="334"/>
      <c r="X334" s="334"/>
      <c r="Y334" s="334"/>
      <c r="Z334" s="334"/>
      <c r="AQ334">
        <v>157</v>
      </c>
      <c r="AR334" s="326"/>
      <c r="AS334" t="b">
        <v>1</v>
      </c>
      <c r="AT334"/>
      <c r="AU334"/>
      <c r="AV334"/>
      <c r="AW334" s="334"/>
      <c r="AX334" s="334"/>
      <c r="AY334" s="334"/>
    </row>
    <row r="335" spans="1:51">
      <c r="A335" s="277" t="s">
        <v>135</v>
      </c>
      <c r="B335" s="334" t="s">
        <v>36</v>
      </c>
      <c r="C335" s="334">
        <v>7.4999999999999997E-2</v>
      </c>
      <c r="D335" s="301">
        <f>'Kolukirik 2011'!C9</f>
        <v>4746658323.3387203</v>
      </c>
      <c r="E335" s="301">
        <f>'Kolukirik 2011'!D9</f>
        <v>1187533677.4956</v>
      </c>
      <c r="F335" s="301">
        <f>'Kolukirik 2011'!E9</f>
        <v>1638073386.5220499</v>
      </c>
      <c r="G335" s="301">
        <f>E335+F335</f>
        <v>2825607064.0176497</v>
      </c>
      <c r="H335" s="27">
        <f>G335/D335</f>
        <v>0.59528343342610024</v>
      </c>
      <c r="M335" s="27">
        <f>F335/G335</f>
        <v>0.57972440944882131</v>
      </c>
      <c r="O335" s="229" t="s">
        <v>943</v>
      </c>
      <c r="P335" s="289">
        <f>'Kolukirik 2011'!F9</f>
        <v>5</v>
      </c>
      <c r="R335" s="304" t="s">
        <v>460</v>
      </c>
      <c r="S335" s="304" t="s">
        <v>142</v>
      </c>
      <c r="T335" s="304" t="s">
        <v>47</v>
      </c>
      <c r="U335" s="324" t="s">
        <v>47</v>
      </c>
      <c r="V335" s="334"/>
      <c r="W335" s="334"/>
      <c r="X335" s="334"/>
      <c r="Y335" s="328"/>
      <c r="Z335" s="334"/>
      <c r="AQ335">
        <v>30</v>
      </c>
      <c r="AR335" s="326"/>
      <c r="AS335" t="b">
        <v>1</v>
      </c>
      <c r="AT335"/>
      <c r="AU335"/>
      <c r="AV335"/>
      <c r="AW335" s="334"/>
      <c r="AX335" s="334"/>
      <c r="AY335" s="334"/>
    </row>
    <row r="336" spans="1:51">
      <c r="A336" s="277" t="s">
        <v>135</v>
      </c>
      <c r="B336" s="334" t="s">
        <v>36</v>
      </c>
      <c r="C336" s="334">
        <v>7.4999999999999997E-2</v>
      </c>
      <c r="D336" s="301">
        <f>'Kolukirik 2011'!C8</f>
        <v>9653230432.2886791</v>
      </c>
      <c r="E336" s="301">
        <f>'Kolukirik 2011'!D8</f>
        <v>4328796648.7632799</v>
      </c>
      <c r="F336" s="301">
        <f>'Kolukirik 2011'!E8</f>
        <v>2128243903.2869101</v>
      </c>
      <c r="G336" s="301">
        <f>E336+F336</f>
        <v>6457040552.05019</v>
      </c>
      <c r="H336" s="27">
        <f>G336/D336</f>
        <v>0.66889945260731687</v>
      </c>
      <c r="M336" s="27">
        <f>F336/G336</f>
        <v>0.32960051685151126</v>
      </c>
      <c r="O336" s="229" t="s">
        <v>943</v>
      </c>
      <c r="P336" s="289">
        <f>'Kolukirik 2011'!F8</f>
        <v>5.4</v>
      </c>
      <c r="R336" s="304" t="s">
        <v>460</v>
      </c>
      <c r="S336" s="304" t="s">
        <v>142</v>
      </c>
      <c r="T336" s="304" t="s">
        <v>47</v>
      </c>
      <c r="U336" s="324" t="s">
        <v>47</v>
      </c>
      <c r="V336" s="334"/>
      <c r="W336" s="334"/>
      <c r="X336" s="334"/>
      <c r="Y336" s="328"/>
      <c r="Z336" s="334"/>
      <c r="AQ336">
        <v>30</v>
      </c>
      <c r="AR336" s="326"/>
      <c r="AS336" t="b">
        <v>1</v>
      </c>
      <c r="AT336"/>
      <c r="AU336"/>
      <c r="AV336"/>
      <c r="AW336" s="334"/>
      <c r="AX336" s="334"/>
      <c r="AY336" s="334"/>
    </row>
    <row r="337" spans="1:53">
      <c r="A337" s="277" t="s">
        <v>135</v>
      </c>
      <c r="B337" s="334" t="s">
        <v>36</v>
      </c>
      <c r="C337" s="334">
        <v>7.4999999999999997E-2</v>
      </c>
      <c r="D337" s="301">
        <f>'Kolukirik 2011'!C10</f>
        <v>11319810189.2892</v>
      </c>
      <c r="E337" s="301">
        <f>'Kolukirik 2011'!D10</f>
        <v>4671568371.8343201</v>
      </c>
      <c r="F337" s="301">
        <f>'Kolukirik 2011'!E10</f>
        <v>1588708696.18119</v>
      </c>
      <c r="G337" s="301">
        <f>E337+F337</f>
        <v>6260277068.0155106</v>
      </c>
      <c r="H337" s="27">
        <f>G337/D337</f>
        <v>0.55303728272219466</v>
      </c>
      <c r="M337" s="27">
        <f>F337/G337</f>
        <v>0.25377609951132818</v>
      </c>
      <c r="O337" s="229" t="s">
        <v>943</v>
      </c>
      <c r="P337" s="328">
        <f>'Kolukirik 2011'!F10</f>
        <v>14</v>
      </c>
      <c r="R337" s="304" t="s">
        <v>460</v>
      </c>
      <c r="S337" s="304" t="s">
        <v>142</v>
      </c>
      <c r="T337" s="304" t="s">
        <v>47</v>
      </c>
      <c r="U337" s="324" t="s">
        <v>47</v>
      </c>
      <c r="V337" s="334"/>
      <c r="W337" s="334"/>
      <c r="X337" s="334"/>
      <c r="Y337" s="334"/>
      <c r="Z337" s="334"/>
      <c r="AQ337" s="322">
        <v>87</v>
      </c>
      <c r="AR337" s="326"/>
      <c r="AS337" t="b">
        <v>1</v>
      </c>
      <c r="AT337"/>
      <c r="AU337"/>
      <c r="AV337"/>
      <c r="AW337" s="334"/>
      <c r="AX337" s="334"/>
      <c r="AY337" s="334"/>
    </row>
    <row r="338" spans="1:53">
      <c r="A338" s="277" t="s">
        <v>135</v>
      </c>
      <c r="B338" s="334" t="s">
        <v>36</v>
      </c>
      <c r="C338" s="334">
        <v>7.4999999999999997E-2</v>
      </c>
      <c r="D338" s="301">
        <f>'Kolukirik 2011'!C12</f>
        <v>48307868801.167999</v>
      </c>
      <c r="E338" s="301">
        <f>'Kolukirik 2011'!D12</f>
        <v>26205002520.380299</v>
      </c>
      <c r="F338" s="301">
        <f>'Kolukirik 2011'!E12</f>
        <v>10322087222.5408</v>
      </c>
      <c r="G338" s="301">
        <f>E338+F338</f>
        <v>36527089742.921097</v>
      </c>
      <c r="H338" s="27">
        <f>G338/D338</f>
        <v>0.75613126079447202</v>
      </c>
      <c r="M338" s="27">
        <f>F338/G338</f>
        <v>0.28258717831581992</v>
      </c>
      <c r="O338" s="229" t="s">
        <v>943</v>
      </c>
      <c r="P338" s="328">
        <f>'Kolukirik 2011'!F12</f>
        <v>5</v>
      </c>
      <c r="R338" s="304" t="s">
        <v>460</v>
      </c>
      <c r="S338" s="304" t="s">
        <v>142</v>
      </c>
      <c r="T338" s="304" t="s">
        <v>47</v>
      </c>
      <c r="U338" s="324" t="s">
        <v>47</v>
      </c>
      <c r="V338" s="334"/>
      <c r="W338" s="334"/>
      <c r="X338" s="334"/>
      <c r="Y338" s="328"/>
      <c r="Z338" s="334"/>
      <c r="AQ338" s="322">
        <v>6</v>
      </c>
      <c r="AR338" s="326"/>
      <c r="AS338" t="b">
        <v>1</v>
      </c>
      <c r="AT338"/>
      <c r="AU338"/>
      <c r="AV338"/>
      <c r="AW338" s="334"/>
      <c r="AX338" s="334"/>
      <c r="AY338" s="334"/>
    </row>
    <row r="339" spans="1:53">
      <c r="A339" s="277" t="s">
        <v>135</v>
      </c>
      <c r="B339" s="334" t="s">
        <v>36</v>
      </c>
      <c r="C339" s="334">
        <v>7.4999999999999997E-2</v>
      </c>
      <c r="D339" s="301">
        <f>'Kolukirik 2011'!C11</f>
        <v>66458778745.372002</v>
      </c>
      <c r="E339" s="301">
        <f>'Kolukirik 2011'!D11</f>
        <v>26255757765.378601</v>
      </c>
      <c r="F339" s="301">
        <f>'Kolukirik 2011'!E11</f>
        <v>16551076810.762899</v>
      </c>
      <c r="G339" s="301">
        <f>E339+F339</f>
        <v>42806834576.141502</v>
      </c>
      <c r="H339" s="27">
        <f>G339/D339</f>
        <v>0.64411106228945636</v>
      </c>
      <c r="M339" s="27">
        <f>F339/G339</f>
        <v>0.38664566008316076</v>
      </c>
      <c r="O339" s="229" t="s">
        <v>943</v>
      </c>
      <c r="P339" s="289">
        <f>'Kolukirik 2011'!F11</f>
        <v>2.7</v>
      </c>
      <c r="R339" s="304" t="s">
        <v>460</v>
      </c>
      <c r="S339" s="304" t="s">
        <v>142</v>
      </c>
      <c r="T339" s="304" t="s">
        <v>47</v>
      </c>
      <c r="U339" s="324" t="s">
        <v>47</v>
      </c>
      <c r="V339" s="334"/>
      <c r="W339" s="334"/>
      <c r="X339" s="334"/>
      <c r="Y339" s="328"/>
      <c r="Z339" s="334"/>
      <c r="AQ339" s="322">
        <v>22</v>
      </c>
      <c r="AR339" s="326"/>
      <c r="AS339" t="b">
        <v>1</v>
      </c>
      <c r="AT339"/>
      <c r="AU339"/>
      <c r="AV339"/>
      <c r="AW339" s="334"/>
      <c r="AX339" s="334"/>
      <c r="AY339" s="334"/>
    </row>
    <row r="340" spans="1:53">
      <c r="A340" s="277" t="s">
        <v>135</v>
      </c>
      <c r="B340" s="334" t="s">
        <v>36</v>
      </c>
      <c r="C340" s="334">
        <v>7.4999999999999997E-2</v>
      </c>
      <c r="D340" s="301">
        <f>'Kolukirik 2011'!C16</f>
        <v>89170707966.139893</v>
      </c>
      <c r="E340" s="301">
        <f>'Kolukirik 2011'!D16</f>
        <v>40138360188.420097</v>
      </c>
      <c r="F340" s="301">
        <f>'Kolukirik 2011'!E16</f>
        <v>23809772122.8554</v>
      </c>
      <c r="G340" s="301">
        <f>E340+F340</f>
        <v>63948132311.275497</v>
      </c>
      <c r="H340" s="27">
        <f>G340/D340</f>
        <v>0.71714281258771695</v>
      </c>
      <c r="M340" s="27">
        <f>F340/G340</f>
        <v>0.3723294373471045</v>
      </c>
      <c r="O340" s="229" t="s">
        <v>943</v>
      </c>
      <c r="P340" s="334">
        <f>'Kolukirik 2011'!F16</f>
        <v>1.65</v>
      </c>
      <c r="R340" s="304" t="s">
        <v>460</v>
      </c>
      <c r="S340" t="s">
        <v>142</v>
      </c>
      <c r="T340" t="s">
        <v>47</v>
      </c>
      <c r="U340" s="324" t="s">
        <v>47</v>
      </c>
      <c r="V340" s="334"/>
      <c r="W340" s="334"/>
      <c r="X340" s="334"/>
      <c r="Y340" s="334"/>
      <c r="Z340" s="334"/>
      <c r="AQ340" s="322">
        <v>8</v>
      </c>
      <c r="AR340" s="326"/>
      <c r="AS340" t="b">
        <v>1</v>
      </c>
      <c r="AT340"/>
      <c r="AU340"/>
      <c r="AV340"/>
      <c r="AW340" s="334"/>
      <c r="AX340" s="334"/>
      <c r="AY340" s="334"/>
    </row>
    <row r="341" spans="1:53">
      <c r="A341" s="277" t="s">
        <v>135</v>
      </c>
      <c r="B341" s="334" t="s">
        <v>36</v>
      </c>
      <c r="C341" s="334">
        <v>7.4999999999999997E-2</v>
      </c>
      <c r="D341" s="301">
        <f>'Kolukirik 2011'!C13</f>
        <v>109627157532.46001</v>
      </c>
      <c r="E341" s="301">
        <f>'Kolukirik 2011'!D13</f>
        <v>51762006570.370697</v>
      </c>
      <c r="F341" s="301">
        <f>'Kolukirik 2011'!E13</f>
        <v>31904886061.4277</v>
      </c>
      <c r="G341" s="301">
        <f>E341+F341</f>
        <v>83666892631.798401</v>
      </c>
      <c r="H341" s="27">
        <f>G341/D341</f>
        <v>0.76319494653526054</v>
      </c>
      <c r="M341" s="27">
        <f>F341/G341</f>
        <v>0.38133226964499389</v>
      </c>
      <c r="O341" s="229" t="s">
        <v>943</v>
      </c>
      <c r="P341" s="334">
        <f>'Kolukirik 2011'!F13</f>
        <v>1.25</v>
      </c>
      <c r="R341" s="304" t="s">
        <v>460</v>
      </c>
      <c r="S341" t="s">
        <v>142</v>
      </c>
      <c r="T341" t="s">
        <v>47</v>
      </c>
      <c r="U341" t="s">
        <v>47</v>
      </c>
      <c r="V341" s="334"/>
      <c r="W341" s="334"/>
      <c r="X341" s="334"/>
      <c r="Y341" s="334"/>
      <c r="Z341" s="334"/>
      <c r="AQ341" s="322">
        <v>6</v>
      </c>
      <c r="AR341" s="322"/>
      <c r="AS341" t="b">
        <v>1</v>
      </c>
      <c r="AT341"/>
      <c r="AU341"/>
      <c r="AV341"/>
      <c r="AW341" s="334"/>
      <c r="AX341" s="334"/>
      <c r="AY341" s="334"/>
    </row>
    <row r="342" spans="1:53">
      <c r="A342" s="277" t="s">
        <v>135</v>
      </c>
      <c r="B342" s="334" t="s">
        <v>36</v>
      </c>
      <c r="C342" s="334">
        <v>7.4999999999999997E-2</v>
      </c>
      <c r="D342" s="301">
        <f>'Kolukirik 2011'!C15</f>
        <v>137343692965.53101</v>
      </c>
      <c r="E342" s="301">
        <f>'Kolukirik 2011'!D15</f>
        <v>93165076219.7771</v>
      </c>
      <c r="F342" s="301">
        <f>'Kolukirik 2011'!E15</f>
        <v>20327127983.174301</v>
      </c>
      <c r="G342" s="301">
        <f>E342+F342</f>
        <v>113492204202.9514</v>
      </c>
      <c r="H342" s="27">
        <f>G342/D342</f>
        <v>0.82633721106825353</v>
      </c>
      <c r="M342" s="27">
        <f>F342/G342</f>
        <v>0.17910594058799403</v>
      </c>
      <c r="O342" s="229" t="s">
        <v>943</v>
      </c>
      <c r="P342">
        <f>'Kolukirik 2011'!F15</f>
        <v>1</v>
      </c>
      <c r="R342" s="304" t="s">
        <v>460</v>
      </c>
      <c r="S342" t="s">
        <v>142</v>
      </c>
      <c r="T342" t="s">
        <v>47</v>
      </c>
      <c r="U342" t="s">
        <v>47</v>
      </c>
      <c r="V342" s="334"/>
      <c r="W342" s="334"/>
      <c r="X342" s="334"/>
      <c r="Y342" s="334"/>
      <c r="Z342" s="334"/>
      <c r="AQ342">
        <v>42</v>
      </c>
      <c r="AR342" s="322"/>
      <c r="AS342" t="b">
        <v>1</v>
      </c>
      <c r="AT342"/>
      <c r="AU342"/>
      <c r="AV342"/>
      <c r="AW342" s="334"/>
      <c r="AX342" s="334"/>
      <c r="AY342" s="334"/>
    </row>
    <row r="343" spans="1:53">
      <c r="A343" s="277" t="s">
        <v>135</v>
      </c>
      <c r="B343" s="334" t="s">
        <v>36</v>
      </c>
      <c r="C343" s="334">
        <v>7.4999999999999997E-2</v>
      </c>
      <c r="D343" s="301">
        <f>'Kolukirik 2011'!C14</f>
        <v>143131181450</v>
      </c>
      <c r="E343" s="301">
        <f>'Kolukirik 2011'!D14</f>
        <v>68933270758.373703</v>
      </c>
      <c r="F343" s="301">
        <f>'Kolukirik 2011'!E14</f>
        <v>43776051172.411301</v>
      </c>
      <c r="G343" s="301">
        <f>E343+F343</f>
        <v>112709321930.785</v>
      </c>
      <c r="H343" s="27">
        <f>G343/D343</f>
        <v>0.78745470266489581</v>
      </c>
      <c r="M343" s="27">
        <f>F343/G343</f>
        <v>0.38839778664709074</v>
      </c>
      <c r="O343" s="229" t="s">
        <v>943</v>
      </c>
      <c r="P343">
        <f>'Kolukirik 2011'!F14</f>
        <v>0.5</v>
      </c>
      <c r="R343" s="304" t="s">
        <v>460</v>
      </c>
      <c r="S343" t="s">
        <v>142</v>
      </c>
      <c r="T343" t="s">
        <v>47</v>
      </c>
      <c r="U343" t="s">
        <v>47</v>
      </c>
      <c r="V343" s="334"/>
      <c r="W343" s="334"/>
      <c r="X343" s="334"/>
      <c r="Y343" s="328"/>
      <c r="Z343" s="334"/>
      <c r="AQ343" s="322">
        <v>2</v>
      </c>
      <c r="AR343" s="322"/>
      <c r="AS343" t="b">
        <v>1</v>
      </c>
      <c r="AT343"/>
      <c r="AU343"/>
      <c r="AV343"/>
      <c r="AW343" s="334"/>
      <c r="AX343" s="334"/>
      <c r="AY343" s="334"/>
    </row>
    <row r="344" spans="1:53">
      <c r="A344" s="277" t="s">
        <v>1645</v>
      </c>
      <c r="B344" s="334" t="str">
        <f>'Kubo 2012'!B82</f>
        <v>White Oak River Estuary, Station H, Jul 08-1</v>
      </c>
      <c r="C344" s="334">
        <f>'Kubo 2012'!D82</f>
        <v>1.4999999999999999E-2</v>
      </c>
      <c r="N344" s="27">
        <f>'Kubo 2012'!I82</f>
        <v>3.8029347988495846E-2</v>
      </c>
      <c r="O344" s="229"/>
      <c r="R344" s="304"/>
      <c r="V344" s="334"/>
      <c r="W344" s="334"/>
      <c r="X344" s="334"/>
      <c r="Y344" s="334"/>
      <c r="Z344" s="334"/>
      <c r="AD344" s="326" t="s">
        <v>1719</v>
      </c>
      <c r="AE344" s="326" t="s">
        <v>1727</v>
      </c>
      <c r="AG344" s="326" t="s">
        <v>1705</v>
      </c>
      <c r="AH344" s="326" t="s">
        <v>1710</v>
      </c>
      <c r="AM344" s="326" t="s">
        <v>1438</v>
      </c>
      <c r="AN344" s="326" t="s">
        <v>1438</v>
      </c>
      <c r="AO344" s="326" t="s">
        <v>1577</v>
      </c>
      <c r="AQ344" s="322">
        <v>1</v>
      </c>
      <c r="AR344" s="322"/>
      <c r="AT344"/>
      <c r="AU344">
        <v>10</v>
      </c>
      <c r="AV344"/>
      <c r="AW344" s="334"/>
      <c r="AX344" s="334" t="b">
        <v>1</v>
      </c>
      <c r="AY344" s="334"/>
      <c r="AZ344" t="b">
        <v>1</v>
      </c>
      <c r="BA344" t="b">
        <v>1</v>
      </c>
    </row>
    <row r="345" spans="1:53">
      <c r="A345" s="277" t="s">
        <v>1645</v>
      </c>
      <c r="B345" s="334" t="str">
        <f>'Kubo 2012'!B83</f>
        <v>White Oak River Estuary, Station H, Jul 08-1</v>
      </c>
      <c r="C345" s="334">
        <f>'Kubo 2012'!D83</f>
        <v>4.4999999999999998E-2</v>
      </c>
      <c r="O345" s="229"/>
      <c r="R345" s="304"/>
      <c r="V345" s="334"/>
      <c r="W345" s="334"/>
      <c r="X345" s="334"/>
      <c r="Y345" s="334"/>
      <c r="Z345" s="334"/>
      <c r="AD345" s="326" t="s">
        <v>1719</v>
      </c>
      <c r="AE345" s="326" t="s">
        <v>1727</v>
      </c>
      <c r="AG345" s="326" t="s">
        <v>1705</v>
      </c>
      <c r="AH345" s="326" t="s">
        <v>1710</v>
      </c>
      <c r="AM345" s="326" t="s">
        <v>1438</v>
      </c>
      <c r="AN345" s="326" t="s">
        <v>1438</v>
      </c>
      <c r="AO345" s="326" t="s">
        <v>1577</v>
      </c>
      <c r="AQ345">
        <v>1</v>
      </c>
      <c r="AR345" s="322"/>
      <c r="AT345"/>
      <c r="AU345">
        <v>10</v>
      </c>
      <c r="AV345"/>
      <c r="AW345" s="334"/>
      <c r="AX345" s="334" t="b">
        <v>1</v>
      </c>
      <c r="AY345" s="334"/>
      <c r="AZ345" t="b">
        <v>1</v>
      </c>
      <c r="BA345" t="b">
        <v>1</v>
      </c>
    </row>
    <row r="346" spans="1:53">
      <c r="A346" s="277" t="s">
        <v>1645</v>
      </c>
      <c r="B346" s="334" t="str">
        <f>'Kubo 2012'!B84</f>
        <v>White Oak River Estuary, Station H, Jul 08-1</v>
      </c>
      <c r="C346" s="334">
        <f>'Kubo 2012'!D84</f>
        <v>7.4999999999999997E-2</v>
      </c>
      <c r="N346" s="27">
        <f>'Kubo 2012'!I84</f>
        <v>9.2698010750155491E-2</v>
      </c>
      <c r="O346" s="229"/>
      <c r="P346" s="328"/>
      <c r="R346" s="304"/>
      <c r="V346" s="334"/>
      <c r="W346" s="334"/>
      <c r="X346" s="334"/>
      <c r="Y346" s="334"/>
      <c r="Z346" s="334"/>
      <c r="AD346" s="326" t="s">
        <v>1719</v>
      </c>
      <c r="AE346" s="326" t="s">
        <v>1727</v>
      </c>
      <c r="AG346" s="326" t="s">
        <v>1705</v>
      </c>
      <c r="AH346" s="326" t="s">
        <v>1710</v>
      </c>
      <c r="AM346" s="326" t="s">
        <v>1438</v>
      </c>
      <c r="AN346" s="326" t="s">
        <v>1438</v>
      </c>
      <c r="AO346" s="326" t="s">
        <v>1577</v>
      </c>
      <c r="AQ346" s="322">
        <v>1</v>
      </c>
      <c r="AR346" s="322"/>
      <c r="AT346"/>
      <c r="AU346">
        <v>10</v>
      </c>
      <c r="AV346"/>
      <c r="AW346" s="334"/>
      <c r="AX346" s="334" t="b">
        <v>1</v>
      </c>
      <c r="AY346" s="334"/>
      <c r="AZ346" t="b">
        <v>1</v>
      </c>
      <c r="BA346" t="b">
        <v>1</v>
      </c>
    </row>
    <row r="347" spans="1:53">
      <c r="A347" s="277" t="s">
        <v>1645</v>
      </c>
      <c r="B347" s="334" t="str">
        <f>'Kubo 2012'!B85</f>
        <v>White Oak River Estuary, Station H, Jul 08-1</v>
      </c>
      <c r="C347" s="334">
        <f>'Kubo 2012'!D85</f>
        <v>0.105</v>
      </c>
      <c r="O347" s="229"/>
      <c r="P347" s="293"/>
      <c r="R347" s="304"/>
      <c r="V347" s="334"/>
      <c r="W347" s="334"/>
      <c r="X347" s="334"/>
      <c r="Y347" s="334"/>
      <c r="Z347" s="334"/>
      <c r="AD347" s="326" t="s">
        <v>1719</v>
      </c>
      <c r="AE347" s="326" t="s">
        <v>1727</v>
      </c>
      <c r="AG347" s="326" t="s">
        <v>1705</v>
      </c>
      <c r="AH347" s="326" t="s">
        <v>1710</v>
      </c>
      <c r="AM347" s="326" t="s">
        <v>1438</v>
      </c>
      <c r="AN347" s="326" t="s">
        <v>1438</v>
      </c>
      <c r="AO347" s="326" t="s">
        <v>1577</v>
      </c>
      <c r="AQ347" s="322">
        <v>1</v>
      </c>
      <c r="AR347" s="322"/>
      <c r="AT347"/>
      <c r="AU347">
        <v>10</v>
      </c>
      <c r="AV347"/>
      <c r="AW347" s="334"/>
      <c r="AX347" s="334" t="b">
        <v>1</v>
      </c>
      <c r="AY347" s="334"/>
      <c r="AZ347" t="b">
        <v>1</v>
      </c>
      <c r="BA347" t="b">
        <v>1</v>
      </c>
    </row>
    <row r="348" spans="1:53">
      <c r="A348" s="277" t="s">
        <v>1645</v>
      </c>
      <c r="B348" s="334" t="str">
        <f>'Kubo 2012'!B86</f>
        <v>White Oak River Estuary, Station H, Jul 08-1</v>
      </c>
      <c r="C348" s="334">
        <f>'Kubo 2012'!D86</f>
        <v>0.16500000000000001</v>
      </c>
      <c r="O348" s="229"/>
      <c r="R348" s="304"/>
      <c r="V348" s="334"/>
      <c r="W348" s="334"/>
      <c r="X348" s="334"/>
      <c r="Y348" s="334"/>
      <c r="Z348" s="334"/>
      <c r="AD348" s="326" t="s">
        <v>1719</v>
      </c>
      <c r="AE348" s="326" t="s">
        <v>1727</v>
      </c>
      <c r="AG348" s="326" t="s">
        <v>1705</v>
      </c>
      <c r="AH348" s="326" t="s">
        <v>1710</v>
      </c>
      <c r="AM348" s="326" t="s">
        <v>1438</v>
      </c>
      <c r="AN348" s="326" t="s">
        <v>1438</v>
      </c>
      <c r="AO348" s="326" t="s">
        <v>1577</v>
      </c>
      <c r="AQ348" s="322">
        <v>1</v>
      </c>
      <c r="AR348" s="322"/>
      <c r="AT348"/>
      <c r="AU348">
        <v>10</v>
      </c>
      <c r="AV348"/>
      <c r="AW348" s="334"/>
      <c r="AX348" s="334" t="b">
        <v>1</v>
      </c>
      <c r="AY348" s="334"/>
      <c r="AZ348" t="b">
        <v>1</v>
      </c>
      <c r="BA348" t="b">
        <v>1</v>
      </c>
    </row>
    <row r="349" spans="1:53">
      <c r="A349" s="277" t="s">
        <v>1645</v>
      </c>
      <c r="B349" s="334" t="str">
        <f>'Kubo 2012'!B87</f>
        <v>White Oak River Estuary, Station H, Jul 08-1</v>
      </c>
      <c r="C349" s="334">
        <f>'Kubo 2012'!D87</f>
        <v>0.19500000000000001</v>
      </c>
      <c r="N349" s="27">
        <f>'Kubo 2012'!I87</f>
        <v>8.5098514309722012E-2</v>
      </c>
      <c r="O349" s="229"/>
      <c r="R349" s="304"/>
      <c r="V349" s="334"/>
      <c r="W349" s="334"/>
      <c r="X349" s="334"/>
      <c r="Y349" s="328"/>
      <c r="Z349" s="334"/>
      <c r="AD349" s="326" t="s">
        <v>1719</v>
      </c>
      <c r="AE349" s="326" t="s">
        <v>1727</v>
      </c>
      <c r="AG349" s="326" t="s">
        <v>1705</v>
      </c>
      <c r="AH349" s="326" t="s">
        <v>1710</v>
      </c>
      <c r="AM349" s="326" t="s">
        <v>1438</v>
      </c>
      <c r="AN349" s="326" t="s">
        <v>1438</v>
      </c>
      <c r="AO349" s="326" t="s">
        <v>1577</v>
      </c>
      <c r="AQ349" s="322">
        <v>1</v>
      </c>
      <c r="AR349" s="322"/>
      <c r="AT349"/>
      <c r="AU349">
        <v>10</v>
      </c>
      <c r="AV349"/>
      <c r="AW349" s="334"/>
      <c r="AX349" s="334" t="b">
        <v>1</v>
      </c>
      <c r="AY349" s="334"/>
      <c r="AZ349" t="b">
        <v>1</v>
      </c>
      <c r="BA349" t="b">
        <v>1</v>
      </c>
    </row>
    <row r="350" spans="1:53">
      <c r="A350" s="277" t="s">
        <v>1645</v>
      </c>
      <c r="B350" s="334" t="str">
        <f>'Kubo 2012'!B88</f>
        <v>White Oak River Estuary, Station H, Jul 08-1</v>
      </c>
      <c r="C350" s="334">
        <f>'Kubo 2012'!D88</f>
        <v>0.255</v>
      </c>
      <c r="N350" s="27">
        <f>'Kubo 2012'!I88</f>
        <v>0.11958345159666549</v>
      </c>
      <c r="O350" s="229"/>
      <c r="P350" s="293"/>
      <c r="R350" s="304"/>
      <c r="V350" s="334"/>
      <c r="W350" s="334"/>
      <c r="X350" s="334"/>
      <c r="Y350" s="334"/>
      <c r="Z350" s="334"/>
      <c r="AD350" s="326" t="s">
        <v>1719</v>
      </c>
      <c r="AE350" s="326" t="s">
        <v>1727</v>
      </c>
      <c r="AG350" s="326" t="s">
        <v>1705</v>
      </c>
      <c r="AH350" s="326" t="s">
        <v>1710</v>
      </c>
      <c r="AM350" s="326" t="s">
        <v>1438</v>
      </c>
      <c r="AN350" s="326" t="s">
        <v>1438</v>
      </c>
      <c r="AO350" s="326" t="s">
        <v>1577</v>
      </c>
      <c r="AQ350" s="322">
        <v>1</v>
      </c>
      <c r="AR350" s="322"/>
      <c r="AT350"/>
      <c r="AU350">
        <v>10</v>
      </c>
      <c r="AV350"/>
      <c r="AW350" s="334"/>
      <c r="AX350" s="334" t="b">
        <v>1</v>
      </c>
      <c r="AY350" s="334"/>
      <c r="AZ350" t="b">
        <v>1</v>
      </c>
      <c r="BA350" t="b">
        <v>1</v>
      </c>
    </row>
    <row r="351" spans="1:53">
      <c r="A351" s="277" t="s">
        <v>1645</v>
      </c>
      <c r="B351" s="334" t="str">
        <f>'Kubo 2012'!B89</f>
        <v>White Oak River Estuary, Station H, Jul 08-1</v>
      </c>
      <c r="C351" s="334">
        <f>'Kubo 2012'!D89</f>
        <v>0.315</v>
      </c>
      <c r="N351" s="27">
        <f>'Kubo 2012'!I89</f>
        <v>0.14988931083255919</v>
      </c>
      <c r="O351" s="229"/>
      <c r="R351" s="304"/>
      <c r="V351" s="334"/>
      <c r="W351" s="334"/>
      <c r="X351" s="334"/>
      <c r="Y351" s="328"/>
      <c r="Z351" s="334"/>
      <c r="AD351" s="326" t="s">
        <v>1719</v>
      </c>
      <c r="AE351" s="326" t="s">
        <v>1727</v>
      </c>
      <c r="AG351" s="326" t="s">
        <v>1705</v>
      </c>
      <c r="AH351" s="326" t="s">
        <v>1710</v>
      </c>
      <c r="AM351" s="326" t="s">
        <v>1438</v>
      </c>
      <c r="AN351" s="326" t="s">
        <v>1438</v>
      </c>
      <c r="AO351" s="326" t="s">
        <v>1577</v>
      </c>
      <c r="AQ351">
        <v>1</v>
      </c>
      <c r="AR351" s="322"/>
      <c r="AT351"/>
      <c r="AU351">
        <v>10</v>
      </c>
      <c r="AV351"/>
      <c r="AW351" s="334"/>
      <c r="AX351" s="334" t="b">
        <v>1</v>
      </c>
      <c r="AY351" s="334"/>
      <c r="AZ351" t="b">
        <v>1</v>
      </c>
      <c r="BA351" t="b">
        <v>1</v>
      </c>
    </row>
    <row r="352" spans="1:53">
      <c r="A352" s="277" t="s">
        <v>1645</v>
      </c>
      <c r="B352" s="334" t="str">
        <f>'Kubo 2012'!B90</f>
        <v>White Oak River Estuary, Station H, Jul 08-1</v>
      </c>
      <c r="C352" s="334">
        <f>'Kubo 2012'!D90</f>
        <v>0.375</v>
      </c>
      <c r="N352" s="27">
        <f>'Kubo 2012'!I90</f>
        <v>0.1485677359960936</v>
      </c>
      <c r="O352" s="229"/>
      <c r="R352" s="304"/>
      <c r="V352" s="334"/>
      <c r="W352" s="334"/>
      <c r="X352" s="334"/>
      <c r="Y352" s="334"/>
      <c r="Z352" s="334"/>
      <c r="AD352" s="326" t="s">
        <v>1719</v>
      </c>
      <c r="AE352" s="326" t="s">
        <v>1727</v>
      </c>
      <c r="AG352" s="326" t="s">
        <v>1705</v>
      </c>
      <c r="AH352" s="326" t="s">
        <v>1710</v>
      </c>
      <c r="AM352" s="326" t="s">
        <v>1438</v>
      </c>
      <c r="AN352" s="326" t="s">
        <v>1438</v>
      </c>
      <c r="AO352" s="326" t="s">
        <v>1577</v>
      </c>
      <c r="AQ352" s="322">
        <v>1</v>
      </c>
      <c r="AR352" s="322"/>
      <c r="AT352"/>
      <c r="AU352">
        <v>10</v>
      </c>
      <c r="AV352"/>
      <c r="AW352" s="334"/>
      <c r="AX352" s="334" t="b">
        <v>1</v>
      </c>
      <c r="AY352" s="334"/>
      <c r="AZ352" t="b">
        <v>1</v>
      </c>
      <c r="BA352" t="b">
        <v>1</v>
      </c>
    </row>
    <row r="353" spans="1:53">
      <c r="A353" s="277" t="s">
        <v>1645</v>
      </c>
      <c r="B353" s="334" t="str">
        <f>'Kubo 2012'!B91</f>
        <v>White Oak River Estuary, Station H, Jul 08-1</v>
      </c>
      <c r="C353" s="334">
        <f>'Kubo 2012'!D91</f>
        <v>0.435</v>
      </c>
      <c r="N353" s="27">
        <f>'Kubo 2012'!I91</f>
        <v>0.13126599542897394</v>
      </c>
      <c r="O353" s="229"/>
      <c r="R353" s="304"/>
      <c r="S353" s="304"/>
      <c r="T353" s="304"/>
      <c r="U353" s="304"/>
      <c r="V353" s="334"/>
      <c r="W353" s="334"/>
      <c r="X353" s="334"/>
      <c r="Y353" s="334"/>
      <c r="Z353" s="334"/>
      <c r="AD353" s="326" t="s">
        <v>1719</v>
      </c>
      <c r="AE353" s="326" t="s">
        <v>1727</v>
      </c>
      <c r="AG353" s="326" t="s">
        <v>1705</v>
      </c>
      <c r="AH353" s="326" t="s">
        <v>1710</v>
      </c>
      <c r="AM353" s="326" t="s">
        <v>1438</v>
      </c>
      <c r="AN353" s="326" t="s">
        <v>1438</v>
      </c>
      <c r="AO353" s="326" t="s">
        <v>1577</v>
      </c>
      <c r="AQ353" s="322">
        <v>1</v>
      </c>
      <c r="AR353" s="322"/>
      <c r="AT353"/>
      <c r="AU353">
        <v>10</v>
      </c>
      <c r="AV353"/>
      <c r="AW353" s="334"/>
      <c r="AX353" s="334" t="b">
        <v>1</v>
      </c>
      <c r="AY353" s="334"/>
      <c r="AZ353" t="b">
        <v>1</v>
      </c>
      <c r="BA353" t="b">
        <v>1</v>
      </c>
    </row>
    <row r="354" spans="1:53">
      <c r="A354" s="277" t="s">
        <v>1645</v>
      </c>
      <c r="B354" s="334" t="str">
        <f>'Kubo 2012'!B92</f>
        <v>White Oak River Estuary, Station H, Jul 08-1</v>
      </c>
      <c r="C354" s="334">
        <f>'Kubo 2012'!D92</f>
        <v>0.495</v>
      </c>
      <c r="N354" s="27">
        <f>'Kubo 2012'!I92</f>
        <v>0.15159360717423054</v>
      </c>
      <c r="O354" s="229"/>
      <c r="R354" s="304"/>
      <c r="S354" s="304"/>
      <c r="T354" s="304"/>
      <c r="U354" s="304"/>
      <c r="V354" s="334"/>
      <c r="W354" s="334"/>
      <c r="X354" s="334"/>
      <c r="Y354" s="334"/>
      <c r="Z354" s="334"/>
      <c r="AD354" s="326" t="s">
        <v>1719</v>
      </c>
      <c r="AE354" s="326" t="s">
        <v>1727</v>
      </c>
      <c r="AG354" s="326" t="s">
        <v>1705</v>
      </c>
      <c r="AH354" s="326" t="s">
        <v>1710</v>
      </c>
      <c r="AM354" s="326" t="s">
        <v>1438</v>
      </c>
      <c r="AN354" s="326" t="s">
        <v>1438</v>
      </c>
      <c r="AO354" s="326" t="s">
        <v>1577</v>
      </c>
      <c r="AQ354">
        <v>1</v>
      </c>
      <c r="AR354" s="322"/>
      <c r="AT354"/>
      <c r="AU354">
        <v>10</v>
      </c>
      <c r="AV354"/>
      <c r="AW354" s="334"/>
      <c r="AX354" s="334" t="b">
        <v>1</v>
      </c>
      <c r="AY354" s="334"/>
      <c r="AZ354" t="b">
        <v>1</v>
      </c>
      <c r="BA354" t="b">
        <v>1</v>
      </c>
    </row>
    <row r="355" spans="1:53">
      <c r="A355" s="277" t="s">
        <v>1645</v>
      </c>
      <c r="B355" s="334" t="str">
        <f>'Kubo 2012'!B93</f>
        <v>White Oak River Estuary, Station H, Jul 08-1</v>
      </c>
      <c r="C355" s="334">
        <f>'Kubo 2012'!D93</f>
        <v>0.55500000000000005</v>
      </c>
      <c r="N355" s="27">
        <f>'Kubo 2012'!I93</f>
        <v>0.14114154918661059</v>
      </c>
      <c r="O355" s="229"/>
      <c r="P355" s="328"/>
      <c r="R355" s="304"/>
      <c r="S355" s="304"/>
      <c r="T355" s="304"/>
      <c r="U355" s="304"/>
      <c r="V355" s="334"/>
      <c r="W355" s="334"/>
      <c r="X355" s="334"/>
      <c r="Y355" s="334"/>
      <c r="Z355" s="334"/>
      <c r="AD355" s="326" t="s">
        <v>1719</v>
      </c>
      <c r="AE355" s="326" t="s">
        <v>1727</v>
      </c>
      <c r="AG355" s="326" t="s">
        <v>1705</v>
      </c>
      <c r="AH355" s="326" t="s">
        <v>1710</v>
      </c>
      <c r="AM355" s="326" t="s">
        <v>1438</v>
      </c>
      <c r="AN355" s="326" t="s">
        <v>1438</v>
      </c>
      <c r="AO355" s="326" t="s">
        <v>1577</v>
      </c>
      <c r="AQ355">
        <v>1</v>
      </c>
      <c r="AT355"/>
      <c r="AU355">
        <v>10</v>
      </c>
      <c r="AV355"/>
      <c r="AW355" s="334"/>
      <c r="AX355" s="334" t="b">
        <v>1</v>
      </c>
      <c r="AZ355" t="b">
        <v>1</v>
      </c>
      <c r="BA355" t="b">
        <v>1</v>
      </c>
    </row>
    <row r="356" spans="1:53">
      <c r="A356" s="277" t="s">
        <v>1645</v>
      </c>
      <c r="B356" s="334" t="str">
        <f>'Kubo 2012'!B94</f>
        <v>White Oak River Estuary, Station H, Jul 08-1</v>
      </c>
      <c r="C356" s="334">
        <f>'Kubo 2012'!D94</f>
        <v>0.58499999999999996</v>
      </c>
      <c r="N356" s="27">
        <f>'Kubo 2012'!I94</f>
        <v>0.14728110291497626</v>
      </c>
      <c r="O356" s="229"/>
      <c r="P356" s="328"/>
      <c r="R356" s="304"/>
      <c r="S356" s="304"/>
      <c r="T356" s="304"/>
      <c r="U356" s="304"/>
      <c r="V356" s="334"/>
      <c r="W356" s="334"/>
      <c r="X356" s="334"/>
      <c r="Y356" s="327"/>
      <c r="Z356" s="334"/>
      <c r="AD356" s="326" t="s">
        <v>1719</v>
      </c>
      <c r="AE356" s="326" t="s">
        <v>1727</v>
      </c>
      <c r="AG356" s="326" t="s">
        <v>1705</v>
      </c>
      <c r="AH356" s="326" t="s">
        <v>1710</v>
      </c>
      <c r="AM356" s="326" t="s">
        <v>1438</v>
      </c>
      <c r="AN356" s="326" t="s">
        <v>1438</v>
      </c>
      <c r="AO356" s="326" t="s">
        <v>1577</v>
      </c>
      <c r="AQ356" s="322">
        <v>1</v>
      </c>
      <c r="AT356"/>
      <c r="AU356">
        <v>10</v>
      </c>
      <c r="AV356"/>
      <c r="AW356" s="334"/>
      <c r="AX356" s="334" t="b">
        <v>1</v>
      </c>
      <c r="AZ356" t="b">
        <v>1</v>
      </c>
      <c r="BA356" t="b">
        <v>1</v>
      </c>
    </row>
    <row r="357" spans="1:53">
      <c r="A357" s="277" t="s">
        <v>1645</v>
      </c>
      <c r="B357" s="334" t="str">
        <f>'Kubo 2012'!B95</f>
        <v>White Oak River Estuary, Station H, Jul 08-1</v>
      </c>
      <c r="C357" s="334">
        <f>'Kubo 2012'!D95</f>
        <v>0.61499999999999999</v>
      </c>
      <c r="N357" s="27">
        <f>'Kubo 2012'!I95</f>
        <v>0.16372742719653008</v>
      </c>
      <c r="O357" s="229"/>
      <c r="R357" s="304"/>
      <c r="S357" s="304"/>
      <c r="T357" s="304"/>
      <c r="U357" s="304"/>
      <c r="V357" s="334"/>
      <c r="W357" s="334"/>
      <c r="X357" s="334"/>
      <c r="Y357" s="334"/>
      <c r="Z357" s="334"/>
      <c r="AD357" s="326" t="s">
        <v>1719</v>
      </c>
      <c r="AE357" s="326" t="s">
        <v>1727</v>
      </c>
      <c r="AG357" s="326" t="s">
        <v>1705</v>
      </c>
      <c r="AH357" s="326" t="s">
        <v>1710</v>
      </c>
      <c r="AM357" s="326" t="s">
        <v>1438</v>
      </c>
      <c r="AN357" s="326" t="s">
        <v>1438</v>
      </c>
      <c r="AO357" s="326" t="s">
        <v>1577</v>
      </c>
      <c r="AQ357" s="322">
        <v>1</v>
      </c>
      <c r="AT357"/>
      <c r="AU357">
        <v>10</v>
      </c>
      <c r="AV357"/>
      <c r="AW357" s="334"/>
      <c r="AX357" s="334" t="b">
        <v>1</v>
      </c>
      <c r="AZ357" t="b">
        <v>1</v>
      </c>
      <c r="BA357" t="b">
        <v>1</v>
      </c>
    </row>
    <row r="358" spans="1:53">
      <c r="A358" s="277" t="s">
        <v>1645</v>
      </c>
      <c r="B358" s="334" t="str">
        <f>'Kubo 2012'!B96</f>
        <v>White Oak River Estuary, Station H, Jul 08-1</v>
      </c>
      <c r="C358" s="334">
        <f>'Kubo 2012'!D96</f>
        <v>0.67500000000000004</v>
      </c>
      <c r="N358" s="27">
        <f>'Kubo 2012'!I96</f>
        <v>0.18813310459825852</v>
      </c>
      <c r="O358" s="303"/>
      <c r="R358" s="304"/>
      <c r="S358" s="304"/>
      <c r="T358" s="304"/>
      <c r="U358" s="304"/>
      <c r="V358" s="334"/>
      <c r="W358" s="334"/>
      <c r="X358" s="334"/>
      <c r="Y358" s="334"/>
      <c r="Z358" s="334"/>
      <c r="AD358" s="326" t="s">
        <v>1719</v>
      </c>
      <c r="AE358" s="326" t="s">
        <v>1727</v>
      </c>
      <c r="AG358" s="326" t="s">
        <v>1705</v>
      </c>
      <c r="AH358" s="326" t="s">
        <v>1710</v>
      </c>
      <c r="AM358" s="326" t="s">
        <v>1438</v>
      </c>
      <c r="AN358" s="326" t="s">
        <v>1438</v>
      </c>
      <c r="AO358" s="326" t="s">
        <v>1577</v>
      </c>
      <c r="AQ358">
        <v>1</v>
      </c>
      <c r="AT358"/>
      <c r="AU358">
        <v>10</v>
      </c>
      <c r="AV358"/>
      <c r="AW358" s="334"/>
      <c r="AX358" s="334" t="b">
        <v>1</v>
      </c>
      <c r="AZ358" t="b">
        <v>1</v>
      </c>
      <c r="BA358" t="b">
        <v>1</v>
      </c>
    </row>
    <row r="359" spans="1:53">
      <c r="A359" s="277" t="s">
        <v>1645</v>
      </c>
      <c r="B359" s="334" t="str">
        <f>'Kubo 2012'!B69</f>
        <v>White Oak River Estuary, Station H, Jul 08-2</v>
      </c>
      <c r="C359" s="334">
        <f>'Kubo 2012'!D69</f>
        <v>4.4999999999999998E-2</v>
      </c>
      <c r="N359" s="27">
        <f>'Kubo 2012'!I69</f>
        <v>0.21039756371442089</v>
      </c>
      <c r="O359" s="303"/>
      <c r="R359" s="304"/>
      <c r="S359" s="304"/>
      <c r="T359" s="304"/>
      <c r="U359" s="304"/>
      <c r="V359" s="334"/>
      <c r="W359" s="334"/>
      <c r="X359" s="334"/>
      <c r="Y359" s="328"/>
      <c r="Z359" s="334"/>
      <c r="AD359" s="326" t="s">
        <v>1720</v>
      </c>
      <c r="AE359" s="326" t="s">
        <v>1728</v>
      </c>
      <c r="AG359" s="326" t="s">
        <v>1705</v>
      </c>
      <c r="AH359" s="326" t="s">
        <v>1710</v>
      </c>
      <c r="AM359" s="326" t="s">
        <v>1438</v>
      </c>
      <c r="AN359" s="326" t="s">
        <v>1438</v>
      </c>
      <c r="AO359" s="326" t="s">
        <v>1577</v>
      </c>
      <c r="AQ359">
        <v>1</v>
      </c>
      <c r="AT359"/>
      <c r="AU359">
        <v>10</v>
      </c>
      <c r="AV359"/>
      <c r="AW359" s="334"/>
      <c r="AX359" s="334" t="b">
        <v>1</v>
      </c>
      <c r="AZ359" t="b">
        <v>1</v>
      </c>
      <c r="BA359" t="b">
        <v>1</v>
      </c>
    </row>
    <row r="360" spans="1:53">
      <c r="A360" s="277" t="s">
        <v>1645</v>
      </c>
      <c r="B360" s="334" t="str">
        <f>'Kubo 2012'!B70</f>
        <v>White Oak River Estuary, Station H, Jul 08-2</v>
      </c>
      <c r="C360" s="334">
        <f>'Kubo 2012'!D70</f>
        <v>0.105</v>
      </c>
      <c r="N360" s="27">
        <f>'Kubo 2012'!I70</f>
        <v>0.23668167696443682</v>
      </c>
      <c r="O360" s="303"/>
      <c r="R360" s="304"/>
      <c r="S360" s="304"/>
      <c r="T360" s="304"/>
      <c r="U360" s="304"/>
      <c r="V360" s="334"/>
      <c r="W360" s="334"/>
      <c r="X360" s="334"/>
      <c r="Y360" s="334"/>
      <c r="Z360" s="334"/>
      <c r="AD360" s="326" t="s">
        <v>1720</v>
      </c>
      <c r="AE360" s="326" t="s">
        <v>1728</v>
      </c>
      <c r="AG360" s="326" t="s">
        <v>1705</v>
      </c>
      <c r="AH360" s="326" t="s">
        <v>1710</v>
      </c>
      <c r="AM360" s="326" t="s">
        <v>1438</v>
      </c>
      <c r="AN360" s="326" t="s">
        <v>1438</v>
      </c>
      <c r="AO360" s="326" t="s">
        <v>1577</v>
      </c>
      <c r="AQ360" s="322">
        <v>1</v>
      </c>
      <c r="AT360"/>
      <c r="AU360">
        <v>10</v>
      </c>
      <c r="AV360"/>
      <c r="AW360" s="334"/>
      <c r="AX360" s="334" t="b">
        <v>1</v>
      </c>
      <c r="AZ360" t="b">
        <v>1</v>
      </c>
      <c r="BA360" t="b">
        <v>1</v>
      </c>
    </row>
    <row r="361" spans="1:53">
      <c r="A361" s="277" t="s">
        <v>1645</v>
      </c>
      <c r="B361" s="334" t="str">
        <f>'Kubo 2012'!B71</f>
        <v>White Oak River Estuary, Station H, Jul 08-2</v>
      </c>
      <c r="C361" s="334">
        <f>'Kubo 2012'!D71</f>
        <v>0.13500000000000001</v>
      </c>
      <c r="N361" s="27">
        <f>'Kubo 2012'!I71</f>
        <v>0.31798156992686999</v>
      </c>
      <c r="O361" s="303"/>
      <c r="R361" s="304"/>
      <c r="S361" s="303"/>
      <c r="T361" s="303"/>
      <c r="U361" s="303"/>
      <c r="V361" s="334"/>
      <c r="W361" s="334"/>
      <c r="X361" s="334"/>
      <c r="Y361" s="316"/>
      <c r="Z361" s="334"/>
      <c r="AD361" s="326" t="s">
        <v>1720</v>
      </c>
      <c r="AE361" s="326" t="s">
        <v>1728</v>
      </c>
      <c r="AG361" s="326" t="s">
        <v>1705</v>
      </c>
      <c r="AH361" s="326" t="s">
        <v>1710</v>
      </c>
      <c r="AM361" s="326" t="s">
        <v>1438</v>
      </c>
      <c r="AN361" s="326" t="s">
        <v>1438</v>
      </c>
      <c r="AO361" s="326" t="s">
        <v>1577</v>
      </c>
      <c r="AQ361" s="322">
        <v>1</v>
      </c>
      <c r="AT361"/>
      <c r="AU361">
        <v>10</v>
      </c>
      <c r="AV361"/>
      <c r="AW361" s="334"/>
      <c r="AX361" s="334" t="b">
        <v>1</v>
      </c>
      <c r="AZ361" t="b">
        <v>1</v>
      </c>
      <c r="BA361" t="b">
        <v>1</v>
      </c>
    </row>
    <row r="362" spans="1:53">
      <c r="A362" s="277" t="s">
        <v>1645</v>
      </c>
      <c r="B362" s="334" t="str">
        <f>'Kubo 2012'!B72</f>
        <v>White Oak River Estuary, Station H, Jul 08-2</v>
      </c>
      <c r="C362" s="334">
        <f>'Kubo 2012'!D72</f>
        <v>0.16500000000000001</v>
      </c>
      <c r="N362" s="27">
        <f>'Kubo 2012'!I72</f>
        <v>0.36173613401943627</v>
      </c>
      <c r="O362" s="303"/>
      <c r="R362" s="304"/>
      <c r="S362" s="303"/>
      <c r="T362" s="303"/>
      <c r="U362" s="303"/>
      <c r="V362" s="334"/>
      <c r="W362" s="334"/>
      <c r="X362" s="334"/>
      <c r="Y362" s="334"/>
      <c r="Z362" s="334"/>
      <c r="AD362" s="326" t="s">
        <v>1720</v>
      </c>
      <c r="AE362" s="326" t="s">
        <v>1728</v>
      </c>
      <c r="AG362" s="326" t="s">
        <v>1705</v>
      </c>
      <c r="AH362" s="326" t="s">
        <v>1710</v>
      </c>
      <c r="AM362" s="326" t="s">
        <v>1438</v>
      </c>
      <c r="AN362" s="326" t="s">
        <v>1438</v>
      </c>
      <c r="AO362" s="326" t="s">
        <v>1577</v>
      </c>
      <c r="AQ362" s="322">
        <v>1</v>
      </c>
      <c r="AR362" s="323"/>
      <c r="AT362"/>
      <c r="AU362">
        <v>10</v>
      </c>
      <c r="AV362"/>
      <c r="AW362" s="334"/>
      <c r="AX362" s="334" t="b">
        <v>1</v>
      </c>
      <c r="AZ362" t="b">
        <v>1</v>
      </c>
      <c r="BA362" t="b">
        <v>1</v>
      </c>
    </row>
    <row r="363" spans="1:53">
      <c r="A363" s="277" t="s">
        <v>1645</v>
      </c>
      <c r="B363" s="334" t="str">
        <f>'Kubo 2012'!B73</f>
        <v>White Oak River Estuary, Station H, Jul 08-2</v>
      </c>
      <c r="C363" s="334">
        <f>'Kubo 2012'!D73</f>
        <v>0.19500000000000001</v>
      </c>
      <c r="N363" s="27">
        <f>'Kubo 2012'!I73</f>
        <v>0.2673980641644142</v>
      </c>
      <c r="O363" s="303"/>
      <c r="P363" s="322"/>
      <c r="R363" s="304"/>
      <c r="S363" s="303"/>
      <c r="T363" s="303"/>
      <c r="U363" s="303"/>
      <c r="V363" s="334"/>
      <c r="W363" s="334"/>
      <c r="X363" s="334"/>
      <c r="Y363" s="334"/>
      <c r="Z363" s="334"/>
      <c r="AD363" s="326" t="s">
        <v>1720</v>
      </c>
      <c r="AE363" s="326" t="s">
        <v>1728</v>
      </c>
      <c r="AG363" s="326" t="s">
        <v>1705</v>
      </c>
      <c r="AH363" s="326" t="s">
        <v>1710</v>
      </c>
      <c r="AM363" s="326" t="s">
        <v>1438</v>
      </c>
      <c r="AN363" s="326" t="s">
        <v>1438</v>
      </c>
      <c r="AO363" s="326" t="s">
        <v>1577</v>
      </c>
      <c r="AQ363">
        <v>1</v>
      </c>
      <c r="AR363" s="323"/>
      <c r="AS363" s="322"/>
      <c r="AT363"/>
      <c r="AU363">
        <v>10</v>
      </c>
      <c r="AV363"/>
      <c r="AW363" s="334"/>
      <c r="AX363" s="334" t="b">
        <v>1</v>
      </c>
      <c r="AZ363" t="b">
        <v>1</v>
      </c>
      <c r="BA363" t="b">
        <v>1</v>
      </c>
    </row>
    <row r="364" spans="1:53">
      <c r="A364" s="277" t="s">
        <v>1645</v>
      </c>
      <c r="B364" s="334" t="str">
        <f>'Kubo 2012'!B74</f>
        <v>White Oak River Estuary, Station H, Jul 08-2</v>
      </c>
      <c r="C364" s="334">
        <f>'Kubo 2012'!D74</f>
        <v>0.22500000000000001</v>
      </c>
      <c r="N364" s="27">
        <f>'Kubo 2012'!I74</f>
        <v>0.29472204000063795</v>
      </c>
      <c r="O364" s="303"/>
      <c r="R364" s="304"/>
      <c r="S364" s="303"/>
      <c r="T364" s="303"/>
      <c r="U364" s="303"/>
      <c r="V364" s="334"/>
      <c r="W364" s="334"/>
      <c r="X364" s="334"/>
      <c r="Y364" s="327"/>
      <c r="Z364" s="334"/>
      <c r="AD364" s="326" t="s">
        <v>1720</v>
      </c>
      <c r="AE364" s="326" t="s">
        <v>1728</v>
      </c>
      <c r="AG364" s="326" t="s">
        <v>1705</v>
      </c>
      <c r="AH364" s="326" t="s">
        <v>1710</v>
      </c>
      <c r="AM364" s="326" t="s">
        <v>1438</v>
      </c>
      <c r="AN364" s="326" t="s">
        <v>1438</v>
      </c>
      <c r="AO364" s="326" t="s">
        <v>1577</v>
      </c>
      <c r="AQ364">
        <v>1</v>
      </c>
      <c r="AR364" s="323"/>
      <c r="AS364" s="322"/>
      <c r="AT364"/>
      <c r="AU364">
        <v>10</v>
      </c>
      <c r="AV364"/>
      <c r="AW364" s="334"/>
      <c r="AX364" s="334" t="b">
        <v>1</v>
      </c>
      <c r="AZ364" t="b">
        <v>1</v>
      </c>
      <c r="BA364" t="b">
        <v>1</v>
      </c>
    </row>
    <row r="365" spans="1:53">
      <c r="A365" s="277" t="s">
        <v>1645</v>
      </c>
      <c r="B365" s="334" t="str">
        <f>'Kubo 2012'!B75</f>
        <v>White Oak River Estuary, Station H, Jul 08-2</v>
      </c>
      <c r="C365" s="334">
        <f>'Kubo 2012'!D75</f>
        <v>0.255</v>
      </c>
      <c r="N365" s="27">
        <f>'Kubo 2012'!I75</f>
        <v>0.36705780657884041</v>
      </c>
      <c r="O365" s="303"/>
      <c r="R365" s="304"/>
      <c r="S365" s="303"/>
      <c r="T365" s="303"/>
      <c r="U365" s="303"/>
      <c r="V365" s="334"/>
      <c r="W365" s="334"/>
      <c r="X365" s="334"/>
      <c r="Y365" s="334"/>
      <c r="Z365" s="334"/>
      <c r="AD365" s="326" t="s">
        <v>1720</v>
      </c>
      <c r="AE365" s="326" t="s">
        <v>1728</v>
      </c>
      <c r="AG365" s="326" t="s">
        <v>1705</v>
      </c>
      <c r="AH365" s="326" t="s">
        <v>1710</v>
      </c>
      <c r="AM365" s="326" t="s">
        <v>1438</v>
      </c>
      <c r="AN365" s="326" t="s">
        <v>1438</v>
      </c>
      <c r="AO365" s="326" t="s">
        <v>1577</v>
      </c>
      <c r="AQ365">
        <v>1</v>
      </c>
      <c r="AR365" s="323"/>
      <c r="AS365" s="322"/>
      <c r="AT365"/>
      <c r="AU365">
        <v>10</v>
      </c>
      <c r="AV365"/>
      <c r="AW365" s="334"/>
      <c r="AX365" s="334" t="b">
        <v>1</v>
      </c>
      <c r="AZ365" t="b">
        <v>1</v>
      </c>
      <c r="BA365" t="b">
        <v>1</v>
      </c>
    </row>
    <row r="366" spans="1:53">
      <c r="A366" s="277" t="s">
        <v>1645</v>
      </c>
      <c r="B366" s="334" t="str">
        <f>'Kubo 2012'!B76</f>
        <v>White Oak River Estuary, Station H, Jul 08-2</v>
      </c>
      <c r="C366" s="334">
        <f>'Kubo 2012'!D76</f>
        <v>0.28499999999999998</v>
      </c>
      <c r="N366" s="27">
        <f>'Kubo 2012'!I76</f>
        <v>0.26806924593667397</v>
      </c>
      <c r="O366" s="303"/>
      <c r="P366" s="293"/>
      <c r="R366" s="304"/>
      <c r="S366" s="303"/>
      <c r="T366" s="303"/>
      <c r="U366" s="303"/>
      <c r="V366" s="334"/>
      <c r="W366" s="334"/>
      <c r="X366" s="334"/>
      <c r="Y366" s="334"/>
      <c r="Z366" s="334"/>
      <c r="AD366" s="326" t="s">
        <v>1720</v>
      </c>
      <c r="AE366" s="326" t="s">
        <v>1728</v>
      </c>
      <c r="AG366" s="326" t="s">
        <v>1705</v>
      </c>
      <c r="AH366" s="326" t="s">
        <v>1710</v>
      </c>
      <c r="AM366" s="326" t="s">
        <v>1438</v>
      </c>
      <c r="AN366" s="326" t="s">
        <v>1438</v>
      </c>
      <c r="AO366" s="326" t="s">
        <v>1577</v>
      </c>
      <c r="AQ366">
        <v>1</v>
      </c>
      <c r="AR366" s="323"/>
      <c r="AS366" s="322"/>
      <c r="AT366"/>
      <c r="AU366">
        <v>10</v>
      </c>
      <c r="AV366"/>
      <c r="AW366" s="334"/>
      <c r="AX366" s="334" t="b">
        <v>1</v>
      </c>
      <c r="AZ366" t="b">
        <v>1</v>
      </c>
      <c r="BA366" t="b">
        <v>1</v>
      </c>
    </row>
    <row r="367" spans="1:53">
      <c r="A367" s="277" t="s">
        <v>1645</v>
      </c>
      <c r="B367" s="334" t="str">
        <f>'Kubo 2012'!B77</f>
        <v>White Oak River Estuary, Station H, Jul 08-2</v>
      </c>
      <c r="C367" s="334">
        <f>'Kubo 2012'!D77</f>
        <v>0.315</v>
      </c>
      <c r="N367" s="27">
        <f>'Kubo 2012'!I77</f>
        <v>0.39126815585536978</v>
      </c>
      <c r="O367" s="303"/>
      <c r="P367" s="293"/>
      <c r="R367" s="304"/>
      <c r="S367" s="303"/>
      <c r="T367" s="303"/>
      <c r="U367" s="303"/>
      <c r="V367" s="334"/>
      <c r="W367" s="334"/>
      <c r="X367" s="334"/>
      <c r="Y367" s="334"/>
      <c r="Z367" s="334"/>
      <c r="AD367" s="326" t="s">
        <v>1720</v>
      </c>
      <c r="AE367" s="326" t="s">
        <v>1728</v>
      </c>
      <c r="AG367" s="326" t="s">
        <v>1705</v>
      </c>
      <c r="AH367" s="326" t="s">
        <v>1710</v>
      </c>
      <c r="AM367" s="326" t="s">
        <v>1438</v>
      </c>
      <c r="AN367" s="326" t="s">
        <v>1438</v>
      </c>
      <c r="AO367" s="326" t="s">
        <v>1577</v>
      </c>
      <c r="AQ367">
        <v>1</v>
      </c>
      <c r="AR367" s="323"/>
      <c r="AS367" s="322"/>
      <c r="AT367"/>
      <c r="AU367">
        <v>10</v>
      </c>
      <c r="AV367"/>
      <c r="AW367" s="334"/>
      <c r="AX367" s="334" t="b">
        <v>1</v>
      </c>
      <c r="AZ367" t="b">
        <v>1</v>
      </c>
      <c r="BA367" t="b">
        <v>1</v>
      </c>
    </row>
    <row r="368" spans="1:53">
      <c r="A368" s="277" t="s">
        <v>1645</v>
      </c>
      <c r="B368" s="334" t="str">
        <f>'Kubo 2012'!B78</f>
        <v>White Oak River Estuary, Station H, Jul 08-2</v>
      </c>
      <c r="C368" s="334">
        <f>'Kubo 2012'!D78</f>
        <v>0.34499999999999997</v>
      </c>
      <c r="N368" s="27">
        <f>'Kubo 2012'!I78</f>
        <v>0.45702872245928333</v>
      </c>
      <c r="O368" s="303"/>
      <c r="R368" s="304"/>
      <c r="S368" s="303"/>
      <c r="T368" s="303"/>
      <c r="U368" s="303"/>
      <c r="V368" s="334"/>
      <c r="W368" s="334"/>
      <c r="X368" s="334"/>
      <c r="Y368" s="334"/>
      <c r="Z368" s="334"/>
      <c r="AD368" s="326" t="s">
        <v>1720</v>
      </c>
      <c r="AE368" s="326" t="s">
        <v>1728</v>
      </c>
      <c r="AG368" s="326" t="s">
        <v>1705</v>
      </c>
      <c r="AH368" s="326" t="s">
        <v>1710</v>
      </c>
      <c r="AM368" s="326" t="s">
        <v>1438</v>
      </c>
      <c r="AN368" s="326" t="s">
        <v>1438</v>
      </c>
      <c r="AO368" s="326" t="s">
        <v>1577</v>
      </c>
      <c r="AQ368">
        <v>1</v>
      </c>
      <c r="AR368" s="323"/>
      <c r="AS368" s="322"/>
      <c r="AT368"/>
      <c r="AU368">
        <v>10</v>
      </c>
      <c r="AV368"/>
      <c r="AW368" s="334"/>
      <c r="AX368" s="334" t="b">
        <v>1</v>
      </c>
      <c r="AZ368" t="b">
        <v>1</v>
      </c>
      <c r="BA368" t="b">
        <v>1</v>
      </c>
    </row>
    <row r="369" spans="1:53">
      <c r="A369" s="277" t="s">
        <v>1645</v>
      </c>
      <c r="B369" s="334" t="str">
        <f>'Kubo 2012'!B79</f>
        <v>White Oak River Estuary, Station H, Jul 08-2</v>
      </c>
      <c r="C369" s="334">
        <f>'Kubo 2012'!D79</f>
        <v>0.40500000000000003</v>
      </c>
      <c r="N369" s="27">
        <f>'Kubo 2012'!I79</f>
        <v>0.42002505131000534</v>
      </c>
      <c r="O369" s="303"/>
      <c r="R369" s="304"/>
      <c r="S369" s="303"/>
      <c r="T369" s="303"/>
      <c r="U369" s="303"/>
      <c r="V369" s="334"/>
      <c r="W369" s="334"/>
      <c r="X369" s="334"/>
      <c r="Y369" s="334"/>
      <c r="Z369" s="334"/>
      <c r="AD369" s="326" t="s">
        <v>1720</v>
      </c>
      <c r="AE369" s="326" t="s">
        <v>1728</v>
      </c>
      <c r="AG369" s="326" t="s">
        <v>1705</v>
      </c>
      <c r="AH369" s="326" t="s">
        <v>1710</v>
      </c>
      <c r="AM369" s="326" t="s">
        <v>1438</v>
      </c>
      <c r="AN369" s="326" t="s">
        <v>1438</v>
      </c>
      <c r="AO369" s="326" t="s">
        <v>1577</v>
      </c>
      <c r="AQ369">
        <v>1</v>
      </c>
      <c r="AR369" s="323"/>
      <c r="AS369" s="322"/>
      <c r="AT369"/>
      <c r="AU369">
        <v>10</v>
      </c>
      <c r="AV369"/>
      <c r="AW369" s="334"/>
      <c r="AX369" s="334" t="b">
        <v>1</v>
      </c>
      <c r="AZ369" t="b">
        <v>1</v>
      </c>
      <c r="BA369" t="b">
        <v>1</v>
      </c>
    </row>
    <row r="370" spans="1:53">
      <c r="A370" s="277" t="s">
        <v>1645</v>
      </c>
      <c r="B370" s="334" t="str">
        <f>'Kubo 2012'!B80</f>
        <v>White Oak River Estuary, Station H, Jul 08-2</v>
      </c>
      <c r="C370" s="334">
        <f>'Kubo 2012'!D80</f>
        <v>0.435</v>
      </c>
      <c r="N370" s="27">
        <f>'Kubo 2012'!I80</f>
        <v>0.40077228668056913</v>
      </c>
      <c r="O370" s="303"/>
      <c r="P370" s="334"/>
      <c r="R370" s="304"/>
      <c r="S370" s="303"/>
      <c r="T370" s="303"/>
      <c r="U370" s="303"/>
      <c r="V370" s="334"/>
      <c r="W370" s="334"/>
      <c r="X370" s="334"/>
      <c r="Y370" s="323"/>
      <c r="Z370" s="334"/>
      <c r="AD370" s="326" t="s">
        <v>1720</v>
      </c>
      <c r="AE370" s="326" t="s">
        <v>1728</v>
      </c>
      <c r="AG370" s="326" t="s">
        <v>1705</v>
      </c>
      <c r="AH370" s="326" t="s">
        <v>1710</v>
      </c>
      <c r="AM370" s="326" t="s">
        <v>1438</v>
      </c>
      <c r="AN370" s="326" t="s">
        <v>1438</v>
      </c>
      <c r="AO370" s="326" t="s">
        <v>1577</v>
      </c>
      <c r="AQ370">
        <v>1</v>
      </c>
      <c r="AR370" s="323"/>
      <c r="AS370" s="322"/>
      <c r="AT370"/>
      <c r="AU370">
        <v>10</v>
      </c>
      <c r="AV370"/>
      <c r="AW370" s="334"/>
      <c r="AX370" s="334" t="b">
        <v>1</v>
      </c>
      <c r="AZ370" t="b">
        <v>1</v>
      </c>
      <c r="BA370" t="b">
        <v>1</v>
      </c>
    </row>
    <row r="371" spans="1:53">
      <c r="A371" s="277" t="s">
        <v>1645</v>
      </c>
      <c r="B371" s="334" t="str">
        <f>'Kubo 2012'!B81</f>
        <v>White Oak River Estuary, Station H, Jul 08-2</v>
      </c>
      <c r="C371" s="334">
        <f>'Kubo 2012'!D81</f>
        <v>0.46500000000000002</v>
      </c>
      <c r="N371" s="27">
        <f>'Kubo 2012'!I81</f>
        <v>0.44522425214946226</v>
      </c>
      <c r="O371" s="303"/>
      <c r="P371" s="334"/>
      <c r="R371" s="304"/>
      <c r="S371" s="304"/>
      <c r="T371" s="304"/>
      <c r="U371" s="304"/>
      <c r="V371" s="334"/>
      <c r="W371" s="334"/>
      <c r="X371" s="334"/>
      <c r="Z371" s="334"/>
      <c r="AD371" s="326" t="s">
        <v>1720</v>
      </c>
      <c r="AE371" s="326" t="s">
        <v>1728</v>
      </c>
      <c r="AG371" s="326" t="s">
        <v>1705</v>
      </c>
      <c r="AH371" s="326" t="s">
        <v>1710</v>
      </c>
      <c r="AM371" s="326" t="s">
        <v>1438</v>
      </c>
      <c r="AN371" s="326" t="s">
        <v>1438</v>
      </c>
      <c r="AO371" s="326" t="s">
        <v>1577</v>
      </c>
      <c r="AQ371">
        <v>1</v>
      </c>
      <c r="AT371"/>
      <c r="AU371">
        <v>10</v>
      </c>
      <c r="AV371"/>
      <c r="AW371" s="334"/>
      <c r="AX371" s="334" t="b">
        <v>1</v>
      </c>
      <c r="AZ371" t="b">
        <v>1</v>
      </c>
      <c r="BA371" t="b">
        <v>1</v>
      </c>
    </row>
    <row r="372" spans="1:53">
      <c r="A372" s="277" t="s">
        <v>491</v>
      </c>
      <c r="B372" s="334" t="s">
        <v>1481</v>
      </c>
      <c r="C372" s="334"/>
      <c r="D372" s="301">
        <f>'Leloup 2007'!E32</f>
        <v>12173623.399119781</v>
      </c>
      <c r="L372" s="301">
        <f>'Leloup 2007'!F32</f>
        <v>68224425.23313725</v>
      </c>
      <c r="O372" s="303"/>
      <c r="P372" s="334" t="str">
        <f>'Leloup 2007'!A32</f>
        <v>Methane zone</v>
      </c>
      <c r="R372" s="304"/>
      <c r="S372" s="303"/>
      <c r="T372" s="303"/>
      <c r="U372" s="303"/>
      <c r="V372" s="334"/>
      <c r="W372" s="334"/>
      <c r="X372" s="334"/>
      <c r="Y372" s="328"/>
      <c r="Z372" s="334"/>
      <c r="AT372"/>
      <c r="AU372"/>
      <c r="AV372"/>
      <c r="AW372" s="334"/>
      <c r="AX372" s="334"/>
    </row>
    <row r="373" spans="1:53">
      <c r="A373" s="277" t="s">
        <v>491</v>
      </c>
      <c r="B373" s="334" t="s">
        <v>1481</v>
      </c>
      <c r="C373" s="334"/>
      <c r="D373" s="301">
        <f>'Leloup 2007'!E35</f>
        <v>12315538.874201678</v>
      </c>
      <c r="L373" s="301">
        <f>'Leloup 2007'!F35</f>
        <v>16306163.635865495</v>
      </c>
      <c r="O373" s="303"/>
      <c r="P373" s="334" t="str">
        <f>'Leloup 2007'!A35</f>
        <v>Methane zone</v>
      </c>
      <c r="R373" s="304"/>
      <c r="S373" s="303"/>
      <c r="T373" s="303"/>
      <c r="U373" s="303"/>
      <c r="V373" s="334"/>
      <c r="W373" s="334"/>
      <c r="X373" s="334"/>
      <c r="Y373" s="334"/>
      <c r="Z373" s="334"/>
      <c r="AQ373" s="326"/>
      <c r="AS373" s="322"/>
      <c r="AT373"/>
      <c r="AU373"/>
      <c r="AV373"/>
      <c r="AW373" s="334"/>
      <c r="AX373" s="334"/>
    </row>
    <row r="374" spans="1:53">
      <c r="A374" s="277" t="s">
        <v>491</v>
      </c>
      <c r="B374" s="334" t="s">
        <v>1481</v>
      </c>
      <c r="C374" s="334"/>
      <c r="D374" s="301">
        <f>'Leloup 2007'!E31</f>
        <v>13828943.106112042</v>
      </c>
      <c r="L374" s="301">
        <f>'Leloup 2007'!F31</f>
        <v>56018560.564098425</v>
      </c>
      <c r="O374" s="303"/>
      <c r="P374" s="334" t="str">
        <f>'Leloup 2007'!A31</f>
        <v>Methane zone</v>
      </c>
      <c r="R374" s="304"/>
      <c r="S374" s="303"/>
      <c r="T374" s="303"/>
      <c r="U374" s="303"/>
      <c r="V374" s="334"/>
      <c r="W374" s="334"/>
      <c r="X374" s="334"/>
      <c r="Y374" s="334"/>
      <c r="Z374" s="334"/>
      <c r="AS374" s="322"/>
      <c r="AT374"/>
      <c r="AU374"/>
      <c r="AV374"/>
      <c r="AW374" s="334"/>
      <c r="AX374" s="334"/>
    </row>
    <row r="375" spans="1:53">
      <c r="A375" s="277" t="s">
        <v>491</v>
      </c>
      <c r="B375" s="334" t="s">
        <v>1481</v>
      </c>
      <c r="C375" s="334"/>
      <c r="D375" s="301">
        <f>'Leloup 2007'!E30</f>
        <v>14824850.831852522</v>
      </c>
      <c r="L375" s="301">
        <f>'Leloup 2007'!F30</f>
        <v>46392319.75130409</v>
      </c>
      <c r="O375" s="303"/>
      <c r="P375" s="334" t="str">
        <f>'Leloup 2007'!A30</f>
        <v>Methane zone</v>
      </c>
      <c r="R375" s="304"/>
      <c r="S375" s="303"/>
      <c r="T375" s="303"/>
      <c r="U375" s="303"/>
      <c r="V375" s="334"/>
      <c r="W375" s="334"/>
      <c r="X375" s="334"/>
      <c r="Y375" s="334"/>
      <c r="Z375" s="334"/>
      <c r="AS375" s="322"/>
      <c r="AT375"/>
      <c r="AU375"/>
      <c r="AV375"/>
      <c r="AW375" s="334"/>
      <c r="AX375" s="334"/>
    </row>
    <row r="376" spans="1:53">
      <c r="A376" s="277" t="s">
        <v>491</v>
      </c>
      <c r="B376" s="334" t="s">
        <v>1481</v>
      </c>
      <c r="C376" s="334"/>
      <c r="D376" s="301">
        <f>'Leloup 2007'!E33</f>
        <v>14824850.831852522</v>
      </c>
      <c r="H376" s="336"/>
      <c r="L376" s="301">
        <f>'Leloup 2007'!F33</f>
        <v>34963693.53870637</v>
      </c>
      <c r="O376" s="303"/>
      <c r="P376" s="334" t="str">
        <f>'Leloup 2007'!A33</f>
        <v>Methane zone</v>
      </c>
      <c r="R376" s="304"/>
      <c r="S376" s="303"/>
      <c r="T376" s="303"/>
      <c r="U376" s="303"/>
      <c r="V376" s="334"/>
      <c r="W376" s="334"/>
      <c r="X376" s="334"/>
      <c r="Y376" s="328"/>
      <c r="Z376" s="334"/>
      <c r="AS376" s="322"/>
      <c r="AT376"/>
      <c r="AU376"/>
      <c r="AV376"/>
      <c r="AW376" s="334"/>
      <c r="AX376" s="334"/>
    </row>
    <row r="377" spans="1:53">
      <c r="A377" s="277" t="s">
        <v>491</v>
      </c>
      <c r="B377" s="334" t="s">
        <v>1481</v>
      </c>
      <c r="C377" s="334"/>
      <c r="D377" s="301">
        <f>'Leloup 2007'!E29</f>
        <v>16646613.745805332</v>
      </c>
      <c r="L377" s="301">
        <f>'Leloup 2007'!F29</f>
        <v>49684710.539927632</v>
      </c>
      <c r="O377" s="303"/>
      <c r="P377" s="334" t="str">
        <f>'Leloup 2007'!A29</f>
        <v>Methane zone</v>
      </c>
      <c r="R377" s="304"/>
      <c r="V377" s="334"/>
      <c r="W377" s="334"/>
      <c r="X377" s="334"/>
      <c r="Y377" s="327"/>
      <c r="Z377" s="334"/>
      <c r="AS377" s="322"/>
      <c r="AT377"/>
      <c r="AU377"/>
      <c r="AV377"/>
      <c r="AW377" s="334"/>
      <c r="AX377" s="334"/>
    </row>
    <row r="378" spans="1:53">
      <c r="A378" s="277" t="s">
        <v>491</v>
      </c>
      <c r="B378" s="334" t="s">
        <v>1481</v>
      </c>
      <c r="C378" s="334"/>
      <c r="D378" s="301">
        <f>'Leloup 2007'!E34</f>
        <v>16840673.6424185</v>
      </c>
      <c r="H378" s="336"/>
      <c r="L378" s="301">
        <f>'Leloup 2007'!F34</f>
        <v>17020104.337272134</v>
      </c>
      <c r="O378" s="303"/>
      <c r="P378" s="334" t="str">
        <f>'Leloup 2007'!A34</f>
        <v>Methane zone</v>
      </c>
      <c r="R378" s="304"/>
      <c r="V378" s="334"/>
      <c r="W378" s="334"/>
      <c r="X378" s="334"/>
      <c r="Y378" s="328"/>
      <c r="Z378" s="334"/>
      <c r="AS378" s="322"/>
      <c r="AT378"/>
      <c r="AU378"/>
      <c r="AV378"/>
      <c r="AW378" s="334"/>
      <c r="AX378" s="334"/>
    </row>
    <row r="379" spans="1:53">
      <c r="A379" s="277" t="s">
        <v>491</v>
      </c>
      <c r="B379" s="334" t="s">
        <v>1481</v>
      </c>
      <c r="C379" s="334"/>
      <c r="D379" s="301">
        <f>'Leloup 2007'!E24</f>
        <v>23568536.41437234</v>
      </c>
      <c r="H379" s="336"/>
      <c r="L379" s="301">
        <f>'Leloup 2007'!F24</f>
        <v>66492648.590774022</v>
      </c>
      <c r="O379" s="229"/>
      <c r="P379" s="334" t="str">
        <f>'Leloup 2007'!A24</f>
        <v>Methane zone</v>
      </c>
      <c r="R379" s="304"/>
      <c r="V379" s="334"/>
      <c r="W379" s="334"/>
      <c r="X379" s="334"/>
      <c r="Y379" s="328"/>
      <c r="Z379" s="334"/>
      <c r="AS379" s="322"/>
      <c r="AT379"/>
      <c r="AU379"/>
      <c r="AV379"/>
      <c r="AW379" s="334"/>
      <c r="AX379" s="334"/>
    </row>
    <row r="380" spans="1:53">
      <c r="A380" s="277" t="s">
        <v>491</v>
      </c>
      <c r="B380" s="334" t="s">
        <v>1481</v>
      </c>
      <c r="C380" s="334"/>
      <c r="D380" s="301">
        <f>'Leloup 2007'!E28</f>
        <v>23568536.41437234</v>
      </c>
      <c r="L380" s="301">
        <f>'Leloup 2007'!F28</f>
        <v>37125464.449898556</v>
      </c>
      <c r="O380" s="229"/>
      <c r="P380" s="334" t="str">
        <f>'Leloup 2007'!A28</f>
        <v>Methane zone</v>
      </c>
      <c r="R380" s="304"/>
      <c r="V380" s="334"/>
      <c r="W380" s="334"/>
      <c r="X380" s="334"/>
      <c r="Y380" s="334"/>
      <c r="Z380" s="334"/>
      <c r="AS380" s="322"/>
      <c r="AT380"/>
      <c r="AU380"/>
      <c r="AV380"/>
      <c r="AW380" s="334"/>
      <c r="AX380" s="334"/>
    </row>
    <row r="381" spans="1:53">
      <c r="A381" s="277" t="s">
        <v>491</v>
      </c>
      <c r="B381" s="334" t="s">
        <v>1481</v>
      </c>
      <c r="C381" s="334"/>
      <c r="D381" s="301">
        <f>'Leloup 2007'!E27</f>
        <v>24121245.461804666</v>
      </c>
      <c r="L381" s="301">
        <f>'Leloup 2007'!F27</f>
        <v>41501041.163750701</v>
      </c>
      <c r="O381" s="229"/>
      <c r="P381" s="334" t="str">
        <f>'Leloup 2007'!A27</f>
        <v>Methane zone</v>
      </c>
      <c r="R381" s="304"/>
      <c r="V381" s="334"/>
      <c r="W381" s="334"/>
      <c r="X381" s="334"/>
      <c r="Y381" s="334"/>
      <c r="Z381" s="334"/>
      <c r="AR381" s="322"/>
      <c r="AS381" s="322"/>
      <c r="AT381"/>
      <c r="AU381"/>
      <c r="AV381"/>
      <c r="AW381" s="334"/>
      <c r="AX381" s="334"/>
    </row>
    <row r="382" spans="1:53">
      <c r="A382" s="277" t="s">
        <v>491</v>
      </c>
      <c r="B382" s="334" t="s">
        <v>1481</v>
      </c>
      <c r="C382" s="334"/>
      <c r="D382" s="301">
        <f>'Leloup 2007'!E26</f>
        <v>28043742.437155034</v>
      </c>
      <c r="L382" s="301">
        <f>'Leloup 2007'!F26</f>
        <v>44828865.853349894</v>
      </c>
      <c r="O382" s="229"/>
      <c r="P382" s="334" t="str">
        <f>'Leloup 2007'!A26</f>
        <v>Methane zone</v>
      </c>
      <c r="R382" s="304"/>
      <c r="V382" s="334"/>
      <c r="W382" s="334"/>
      <c r="X382" s="334"/>
      <c r="Y382" s="334"/>
      <c r="Z382" s="334"/>
      <c r="AQ382" s="322"/>
      <c r="AR382" s="322"/>
      <c r="AS382" s="322"/>
      <c r="AT382"/>
      <c r="AU382"/>
      <c r="AV382"/>
      <c r="AW382" s="334"/>
      <c r="AX382" s="334"/>
    </row>
    <row r="383" spans="1:53">
      <c r="A383" s="277" t="s">
        <v>491</v>
      </c>
      <c r="B383" s="334" t="s">
        <v>1481</v>
      </c>
      <c r="C383" s="334"/>
      <c r="D383" s="301">
        <f>'Leloup 2007'!E23</f>
        <v>30413812.841682527</v>
      </c>
      <c r="L383" s="301">
        <f>'Leloup 2007'!F23</f>
        <v>79604460.650286734</v>
      </c>
      <c r="O383" s="229"/>
      <c r="P383" s="334" t="str">
        <f>'Leloup 2007'!A23</f>
        <v>Methane zone</v>
      </c>
      <c r="R383" s="304"/>
      <c r="V383" s="334"/>
      <c r="W383" s="334"/>
      <c r="X383" s="334"/>
      <c r="Y383" s="328"/>
      <c r="Z383" s="334"/>
      <c r="AQ383" s="322"/>
      <c r="AR383" s="322"/>
      <c r="AS383" s="322"/>
      <c r="AT383"/>
      <c r="AU383"/>
      <c r="AV383"/>
      <c r="AW383" s="334"/>
      <c r="AX383" s="334"/>
    </row>
    <row r="384" spans="1:53">
      <c r="A384" s="277" t="s">
        <v>491</v>
      </c>
      <c r="B384" s="334" t="s">
        <v>1481</v>
      </c>
      <c r="C384" s="334"/>
      <c r="D384" s="301">
        <f>'Leloup 2007'!E25</f>
        <v>31857016.266325161</v>
      </c>
      <c r="L384" s="301">
        <f>'Leloup 2007'!F25</f>
        <v>52306452.940063685</v>
      </c>
      <c r="O384" s="229"/>
      <c r="P384" s="334" t="str">
        <f>'Leloup 2007'!A25</f>
        <v>Methane zone</v>
      </c>
      <c r="R384" s="304"/>
      <c r="V384" s="334"/>
      <c r="W384" s="334"/>
      <c r="X384" s="334"/>
      <c r="Y384" s="328"/>
      <c r="Z384" s="334"/>
      <c r="AQ384" s="322"/>
      <c r="AR384" s="322"/>
      <c r="AS384" s="322"/>
      <c r="AT384"/>
      <c r="AU384"/>
      <c r="AV384"/>
      <c r="AW384" s="334"/>
      <c r="AX384" s="334"/>
    </row>
    <row r="385" spans="1:50">
      <c r="A385" s="277" t="s">
        <v>491</v>
      </c>
      <c r="B385" s="334" t="s">
        <v>1481</v>
      </c>
      <c r="C385" s="334"/>
      <c r="D385" s="301">
        <f>'Leloup 2007'!E13</f>
        <v>34549359.187337518</v>
      </c>
      <c r="L385" s="301">
        <f>'Leloup 2007'!F13</f>
        <v>68811649.721979007</v>
      </c>
      <c r="O385" s="229"/>
      <c r="P385" s="334" t="str">
        <f>'Leloup 2007'!A13</f>
        <v>Sulfate zone</v>
      </c>
      <c r="R385" s="304"/>
      <c r="V385" s="334"/>
      <c r="W385" s="334"/>
      <c r="X385" s="334"/>
      <c r="Y385" s="328"/>
      <c r="Z385" s="334"/>
      <c r="AQ385" s="322"/>
      <c r="AR385" s="322"/>
      <c r="AS385" s="322"/>
      <c r="AT385"/>
      <c r="AU385"/>
      <c r="AV385"/>
      <c r="AW385" s="334"/>
      <c r="AX385" s="334"/>
    </row>
    <row r="386" spans="1:50">
      <c r="A386" s="277" t="s">
        <v>491</v>
      </c>
      <c r="B386" s="334" t="s">
        <v>1481</v>
      </c>
      <c r="C386" s="334"/>
      <c r="D386" s="301">
        <f>'Leloup 2007'!E21</f>
        <v>38347937.42444209</v>
      </c>
      <c r="L386" s="301">
        <f>'Leloup 2007'!F21</f>
        <v>98625567.086163357</v>
      </c>
      <c r="O386" s="229"/>
      <c r="P386" s="334" t="str">
        <f>'Leloup 2007'!A21</f>
        <v>Methane zone</v>
      </c>
      <c r="R386" s="304"/>
      <c r="V386" s="334"/>
      <c r="W386" s="334"/>
      <c r="X386" s="334"/>
      <c r="Y386" s="334"/>
      <c r="Z386" s="334"/>
      <c r="AQ386" s="322"/>
      <c r="AR386" s="322"/>
      <c r="AS386" s="322"/>
      <c r="AT386"/>
      <c r="AU386"/>
      <c r="AV386"/>
      <c r="AW386" s="334"/>
      <c r="AX386" s="334"/>
    </row>
    <row r="387" spans="1:50">
      <c r="A387" s="277" t="s">
        <v>491</v>
      </c>
      <c r="B387" s="334" t="s">
        <v>1481</v>
      </c>
      <c r="C387" s="334"/>
      <c r="D387" s="301">
        <f>'Leloup 2007'!E22</f>
        <v>38347937.42444209</v>
      </c>
      <c r="L387" s="301">
        <f>'Leloup 2007'!F22</f>
        <v>84526326.449288368</v>
      </c>
      <c r="O387" s="229"/>
      <c r="P387" s="334" t="str">
        <f>'Leloup 2007'!A22</f>
        <v>Methane zone</v>
      </c>
      <c r="R387" s="304"/>
      <c r="V387" s="334"/>
      <c r="W387" s="334"/>
      <c r="X387" s="334"/>
      <c r="Y387" s="334"/>
      <c r="Z387" s="334"/>
      <c r="AQ387" s="322"/>
      <c r="AR387" s="322"/>
      <c r="AS387" s="322"/>
      <c r="AT387"/>
      <c r="AU387"/>
      <c r="AV387"/>
      <c r="AW387" s="334"/>
      <c r="AX387" s="334"/>
    </row>
    <row r="388" spans="1:50">
      <c r="A388" s="277" t="s">
        <v>491</v>
      </c>
      <c r="B388" s="334" t="s">
        <v>1481</v>
      </c>
      <c r="C388" s="334"/>
      <c r="D388" s="301">
        <f>'Leloup 2007'!E17</f>
        <v>44583920.089452408</v>
      </c>
      <c r="L388" s="301">
        <f>'Leloup 2007'!F17</f>
        <v>402171554.31349593</v>
      </c>
      <c r="O388" s="229"/>
      <c r="P388" s="334" t="str">
        <f>'Leloup 2007'!A17</f>
        <v>SMTZ</v>
      </c>
      <c r="R388" s="304"/>
      <c r="V388" s="334"/>
      <c r="W388" s="334"/>
      <c r="X388" s="334"/>
      <c r="Y388" s="334"/>
      <c r="Z388" s="334"/>
      <c r="AQ388" s="322"/>
      <c r="AR388" s="322"/>
      <c r="AS388" s="322"/>
      <c r="AT388"/>
      <c r="AU388"/>
      <c r="AV388"/>
      <c r="AW388" s="334"/>
      <c r="AX388" s="334"/>
    </row>
    <row r="389" spans="1:50">
      <c r="A389" s="277" t="s">
        <v>491</v>
      </c>
      <c r="B389" s="334" t="s">
        <v>1481</v>
      </c>
      <c r="C389" s="334"/>
      <c r="D389" s="301">
        <f>'Leloup 2007'!E20</f>
        <v>45629463.841945119</v>
      </c>
      <c r="L389" s="301">
        <f>'Leloup 2007'!F20</f>
        <v>127541653.89231075</v>
      </c>
      <c r="O389" s="229"/>
      <c r="P389" s="334" t="str">
        <f>'Leloup 2007'!A20</f>
        <v>Methane zone</v>
      </c>
      <c r="R389" s="304"/>
      <c r="V389" s="334"/>
      <c r="W389" s="334"/>
      <c r="X389" s="334"/>
      <c r="Y389" s="334"/>
      <c r="Z389" s="334"/>
      <c r="AQ389" s="322"/>
      <c r="AR389" s="322"/>
      <c r="AS389" s="322"/>
      <c r="AT389"/>
      <c r="AU389"/>
      <c r="AV389"/>
      <c r="AW389" s="334"/>
      <c r="AX389" s="334"/>
    </row>
    <row r="390" spans="1:50">
      <c r="A390" s="277" t="s">
        <v>491</v>
      </c>
      <c r="B390" s="334" t="s">
        <v>1481</v>
      </c>
      <c r="C390" s="334"/>
      <c r="D390" s="301">
        <f>'Leloup 2007'!E19</f>
        <v>63122612.21226006</v>
      </c>
      <c r="L390" s="301">
        <f>'Leloup 2007'!F19</f>
        <v>126453239.60758728</v>
      </c>
      <c r="O390" s="229"/>
      <c r="P390" s="334" t="str">
        <f>'Leloup 2007'!A19</f>
        <v>Methane zone</v>
      </c>
      <c r="R390" s="304"/>
      <c r="V390" s="334"/>
      <c r="W390" s="334"/>
      <c r="X390" s="334"/>
      <c r="Y390" s="334"/>
      <c r="Z390" s="334"/>
      <c r="AQ390" s="322"/>
      <c r="AR390" s="322"/>
      <c r="AS390" s="322"/>
      <c r="AT390"/>
      <c r="AU390"/>
      <c r="AV390"/>
      <c r="AW390" s="334"/>
      <c r="AX390" s="334"/>
    </row>
    <row r="391" spans="1:50">
      <c r="A391" s="277" t="s">
        <v>491</v>
      </c>
      <c r="B391" s="334" t="s">
        <v>1481</v>
      </c>
      <c r="C391" s="334"/>
      <c r="D391" s="301">
        <f>'Leloup 2007'!E16</f>
        <v>78672426.786623403</v>
      </c>
      <c r="L391" s="301">
        <f>'Leloup 2007'!F16</f>
        <v>372316763.15556014</v>
      </c>
      <c r="O391" s="229"/>
      <c r="P391" s="334" t="str">
        <f>'Leloup 2007'!A16</f>
        <v>SMTZ</v>
      </c>
      <c r="R391" s="304"/>
      <c r="S391" s="304"/>
      <c r="T391" s="304"/>
      <c r="V391" s="334"/>
      <c r="W391" s="334"/>
      <c r="X391" s="334"/>
      <c r="Y391" s="334"/>
      <c r="Z391" s="334"/>
      <c r="AQ391" s="322"/>
      <c r="AR391" s="322"/>
      <c r="AS391" s="322"/>
      <c r="AT391"/>
      <c r="AU391"/>
      <c r="AV391"/>
      <c r="AW391" s="334"/>
      <c r="AX391" s="334"/>
    </row>
    <row r="392" spans="1:50">
      <c r="A392" s="277" t="s">
        <v>491</v>
      </c>
      <c r="B392" s="334" t="s">
        <v>1481</v>
      </c>
      <c r="C392" s="334"/>
      <c r="D392" s="301">
        <f>'Leloup 2007'!E15</f>
        <v>90411824.116532505</v>
      </c>
      <c r="L392" s="301">
        <f>'Leloup 2007'!F15</f>
        <v>313668497.01265681</v>
      </c>
      <c r="O392" s="229"/>
      <c r="P392" s="304" t="str">
        <f>'Leloup 2007'!A15</f>
        <v>SMTZ</v>
      </c>
      <c r="R392" s="304"/>
      <c r="S392" s="304"/>
      <c r="T392" s="304"/>
      <c r="U392" s="304"/>
      <c r="V392" s="334"/>
      <c r="W392" s="334"/>
      <c r="X392" s="334"/>
      <c r="Y392" s="327"/>
      <c r="Z392" s="334"/>
      <c r="AQ392" s="322"/>
      <c r="AR392" s="322"/>
      <c r="AS392" s="322"/>
      <c r="AT392"/>
      <c r="AU392"/>
      <c r="AV392"/>
      <c r="AW392" s="334"/>
      <c r="AX392" s="334"/>
    </row>
    <row r="393" spans="1:50">
      <c r="A393" s="277" t="s">
        <v>491</v>
      </c>
      <c r="B393" s="334" t="s">
        <v>1481</v>
      </c>
      <c r="C393" s="334"/>
      <c r="D393" s="301">
        <f>'Leloup 2007'!E12</f>
        <v>99195892.180530414</v>
      </c>
      <c r="L393" s="301">
        <f>'Leloup 2007'!F12</f>
        <v>292883042.91574287</v>
      </c>
      <c r="O393" s="229"/>
      <c r="P393" s="304" t="str">
        <f>'Leloup 2007'!A12</f>
        <v>Sulfate zone</v>
      </c>
      <c r="R393" s="304"/>
      <c r="S393" s="304"/>
      <c r="T393" s="304"/>
      <c r="U393" s="304"/>
      <c r="V393" s="334"/>
      <c r="W393" s="334"/>
      <c r="X393" s="334"/>
      <c r="Y393" s="323"/>
      <c r="Z393" s="334"/>
      <c r="AQ393" s="322"/>
      <c r="AR393" s="326"/>
      <c r="AS393" s="322"/>
      <c r="AT393"/>
      <c r="AU393"/>
      <c r="AV393"/>
      <c r="AW393" s="334"/>
      <c r="AX393" s="334"/>
    </row>
    <row r="394" spans="1:50">
      <c r="A394" s="277" t="s">
        <v>491</v>
      </c>
      <c r="B394" s="334" t="s">
        <v>1481</v>
      </c>
      <c r="C394" s="334"/>
      <c r="D394" s="301">
        <f>'Leloup 2007'!E14</f>
        <v>100352280.19282845</v>
      </c>
      <c r="L394" s="301">
        <f>'Leloup 2007'!F14</f>
        <v>506882885.09506822</v>
      </c>
      <c r="O394" s="229"/>
      <c r="P394" s="304" t="str">
        <f>'Leloup 2007'!A14</f>
        <v>Sulfate zone</v>
      </c>
      <c r="R394" s="304"/>
      <c r="S394" s="304"/>
      <c r="T394" s="304"/>
      <c r="U394" s="304"/>
      <c r="V394" s="334"/>
      <c r="W394" s="334"/>
      <c r="X394" s="334"/>
      <c r="Y394" s="323"/>
      <c r="Z394" s="334"/>
      <c r="AQ394" s="322"/>
      <c r="AR394" s="326"/>
      <c r="AS394" s="322"/>
      <c r="AT394"/>
      <c r="AU394"/>
      <c r="AV394"/>
      <c r="AW394" s="334"/>
      <c r="AX394" s="334"/>
    </row>
    <row r="395" spans="1:50">
      <c r="A395" s="277" t="s">
        <v>491</v>
      </c>
      <c r="B395" s="334" t="s">
        <v>1481</v>
      </c>
      <c r="C395" s="334"/>
      <c r="D395" s="301">
        <f>'Leloup 2007'!E18</f>
        <v>100352280.19282845</v>
      </c>
      <c r="H395" s="336"/>
      <c r="L395" s="301">
        <f>'Leloup 2007'!F18</f>
        <v>120115057.58071879</v>
      </c>
      <c r="O395" s="229"/>
      <c r="P395" s="304" t="str">
        <f>'Leloup 2007'!A18</f>
        <v>Methane zone</v>
      </c>
      <c r="R395" s="304"/>
      <c r="S395" s="304"/>
      <c r="T395" s="304"/>
      <c r="U395" s="304"/>
      <c r="V395" s="334"/>
      <c r="W395" s="334"/>
      <c r="X395" s="334"/>
      <c r="Y395" s="328"/>
      <c r="Z395" s="334"/>
      <c r="AQ395" s="322"/>
      <c r="AR395" s="326"/>
      <c r="AS395" s="322"/>
      <c r="AT395"/>
      <c r="AU395"/>
      <c r="AV395"/>
      <c r="AW395" s="334"/>
      <c r="AX395" s="334"/>
    </row>
    <row r="396" spans="1:50">
      <c r="A396" s="277" t="s">
        <v>491</v>
      </c>
      <c r="B396" s="334" t="s">
        <v>1481</v>
      </c>
      <c r="C396" s="334"/>
      <c r="D396" s="301">
        <f>'Leloup 2007'!E10</f>
        <v>367523940.42639875</v>
      </c>
      <c r="H396" s="336"/>
      <c r="L396" s="301">
        <f>'Leloup 2007'!F10</f>
        <v>303097647.42055196</v>
      </c>
      <c r="O396" s="229"/>
      <c r="P396" s="304" t="str">
        <f>'Leloup 2007'!A10</f>
        <v>Sulfate zone</v>
      </c>
      <c r="R396" s="304"/>
      <c r="S396" s="304"/>
      <c r="T396" s="304"/>
      <c r="U396" s="304"/>
      <c r="V396" s="334"/>
      <c r="W396" s="334"/>
      <c r="X396" s="334"/>
      <c r="Y396" s="328"/>
      <c r="Z396" s="334"/>
      <c r="AA396" s="328"/>
      <c r="AE396" s="328"/>
      <c r="AQ396" s="322"/>
      <c r="AR396" s="326"/>
      <c r="AS396" s="322"/>
      <c r="AT396"/>
      <c r="AU396"/>
      <c r="AV396"/>
      <c r="AW396" s="334"/>
      <c r="AX396" s="334"/>
    </row>
    <row r="397" spans="1:50">
      <c r="A397" s="277" t="s">
        <v>491</v>
      </c>
      <c r="B397" s="334" t="s">
        <v>1481</v>
      </c>
      <c r="C397" s="334"/>
      <c r="D397" s="301">
        <f>'Leloup 2007'!E7</f>
        <v>427289160.55046391</v>
      </c>
      <c r="L397" s="301">
        <f>'Leloup 2007'!F7</f>
        <v>638857364.34264898</v>
      </c>
      <c r="O397" s="229"/>
      <c r="P397" s="304" t="str">
        <f>'Leloup 2007'!A7</f>
        <v>Sulfate zone</v>
      </c>
      <c r="R397" s="304"/>
      <c r="S397" s="304"/>
      <c r="T397" s="304"/>
      <c r="U397" s="304"/>
      <c r="V397" s="334"/>
      <c r="W397" s="334"/>
      <c r="X397" s="334"/>
      <c r="Y397" s="323"/>
      <c r="Z397" s="334"/>
      <c r="AQ397" s="322"/>
      <c r="AR397" s="326"/>
      <c r="AS397" s="322"/>
      <c r="AT397"/>
      <c r="AU397"/>
      <c r="AV397"/>
      <c r="AW397" s="334"/>
      <c r="AX397" s="334"/>
    </row>
    <row r="398" spans="1:50">
      <c r="A398" s="277" t="s">
        <v>491</v>
      </c>
      <c r="B398" s="334" t="s">
        <v>1481</v>
      </c>
      <c r="C398" s="334"/>
      <c r="D398" s="301">
        <f>'Leloup 2007'!E9</f>
        <v>463400795.64572734</v>
      </c>
      <c r="L398" s="301">
        <f>'Leloup 2007'!F9</f>
        <v>375521385.54972792</v>
      </c>
      <c r="O398" s="229"/>
      <c r="P398" s="304" t="str">
        <f>'Leloup 2007'!A9</f>
        <v>Sulfate zone</v>
      </c>
      <c r="R398" s="304"/>
      <c r="S398" s="304"/>
      <c r="T398" s="304"/>
      <c r="U398" s="304"/>
      <c r="V398" s="334"/>
      <c r="W398" s="334"/>
      <c r="X398" s="334"/>
      <c r="Y398" s="334"/>
      <c r="Z398" s="334"/>
      <c r="AQ398" s="322"/>
      <c r="AR398" s="326"/>
      <c r="AS398" s="322"/>
      <c r="AT398"/>
      <c r="AU398"/>
      <c r="AV398"/>
      <c r="AW398" s="334"/>
      <c r="AX398" s="334"/>
    </row>
    <row r="399" spans="1:50">
      <c r="A399" s="277" t="s">
        <v>491</v>
      </c>
      <c r="B399" s="334" t="s">
        <v>1482</v>
      </c>
      <c r="C399" s="334"/>
      <c r="D399" s="301">
        <f>'Leloup 2007'!E6</f>
        <v>514350052.55819565</v>
      </c>
      <c r="L399" s="301">
        <f>'Leloup 2007'!F6</f>
        <v>726499251.08255351</v>
      </c>
      <c r="O399" s="229"/>
      <c r="P399" s="304" t="str">
        <f>'Leloup 2007'!A6</f>
        <v>Sulfate zone</v>
      </c>
      <c r="R399" s="304"/>
      <c r="S399" s="304"/>
      <c r="T399" s="304"/>
      <c r="U399" s="304"/>
      <c r="V399" s="334"/>
      <c r="W399" s="334"/>
      <c r="X399" s="334"/>
      <c r="Y399" s="334"/>
      <c r="Z399" s="334"/>
      <c r="AQ399" s="322"/>
      <c r="AR399" s="326"/>
      <c r="AS399" s="322"/>
      <c r="AT399"/>
      <c r="AU399"/>
      <c r="AV399"/>
      <c r="AW399" s="334"/>
      <c r="AX399" s="334"/>
    </row>
    <row r="400" spans="1:50">
      <c r="A400" s="277" t="s">
        <v>491</v>
      </c>
      <c r="B400" s="334" t="s">
        <v>1481</v>
      </c>
      <c r="C400" s="334"/>
      <c r="D400" s="301">
        <f>'Leloup 2007'!E11</f>
        <v>663738552.05004025</v>
      </c>
      <c r="L400" s="301">
        <f>'Leloup 2007'!F11</f>
        <v>300511074.3359881</v>
      </c>
      <c r="O400" s="229"/>
      <c r="P400" s="304" t="str">
        <f>'Leloup 2007'!A11</f>
        <v>Sulfate zone</v>
      </c>
      <c r="R400" s="304"/>
      <c r="S400" s="304"/>
      <c r="T400" s="304"/>
      <c r="U400" s="304"/>
      <c r="V400" s="334"/>
      <c r="W400" s="334"/>
      <c r="X400" s="334"/>
      <c r="Y400" s="334"/>
      <c r="Z400" s="334"/>
      <c r="AQ400" s="322"/>
      <c r="AR400" s="326"/>
      <c r="AS400" s="322"/>
      <c r="AT400"/>
      <c r="AU400"/>
      <c r="AV400"/>
      <c r="AW400" s="334"/>
      <c r="AX400" s="334"/>
    </row>
    <row r="401" spans="1:50">
      <c r="A401" s="277" t="s">
        <v>491</v>
      </c>
      <c r="B401" s="334" t="s">
        <v>1481</v>
      </c>
      <c r="C401" s="334"/>
      <c r="D401" s="301">
        <f>'Leloup 2007'!E5</f>
        <v>780668834.9176203</v>
      </c>
      <c r="L401" s="301">
        <f>'Leloup 2007'!F5</f>
        <v>684196078.01080322</v>
      </c>
      <c r="O401" s="229"/>
      <c r="P401" s="304" t="str">
        <f>'Leloup 2007'!A5</f>
        <v>Sulfate zone</v>
      </c>
      <c r="R401" s="304"/>
      <c r="S401" s="304"/>
      <c r="T401" s="304"/>
      <c r="U401" s="304"/>
      <c r="V401" s="334"/>
      <c r="W401" s="334"/>
      <c r="X401" s="334"/>
      <c r="Y401" s="334"/>
      <c r="Z401" s="334"/>
      <c r="AQ401" s="322"/>
      <c r="AR401" s="326"/>
      <c r="AS401" s="322"/>
      <c r="AV401"/>
      <c r="AW401" s="334"/>
      <c r="AX401" s="334"/>
    </row>
    <row r="402" spans="1:50">
      <c r="A402" s="277" t="s">
        <v>491</v>
      </c>
      <c r="B402" s="334" t="s">
        <v>1481</v>
      </c>
      <c r="C402" s="334"/>
      <c r="D402" s="301">
        <f>'Leloup 2007'!E8</f>
        <v>780668834.9176203</v>
      </c>
      <c r="L402" s="301">
        <f>'Leloup 2007'!F8</f>
        <v>434420297.72738236</v>
      </c>
      <c r="O402" s="229"/>
      <c r="P402" s="304" t="str">
        <f>'Leloup 2007'!A8</f>
        <v>Sulfate zone</v>
      </c>
      <c r="R402" s="304"/>
      <c r="S402" s="304"/>
      <c r="T402" s="304"/>
      <c r="U402" s="304"/>
      <c r="V402" s="334"/>
      <c r="W402" s="334"/>
      <c r="X402" s="334"/>
      <c r="Y402" s="334"/>
      <c r="Z402" s="334"/>
      <c r="AQ402" s="322"/>
      <c r="AR402" s="326"/>
      <c r="AS402" s="322"/>
      <c r="AV402"/>
      <c r="AW402" s="334"/>
      <c r="AX402" s="334"/>
    </row>
    <row r="403" spans="1:50">
      <c r="A403" s="277" t="s">
        <v>491</v>
      </c>
      <c r="B403" s="334" t="s">
        <v>1482</v>
      </c>
      <c r="C403" s="334"/>
      <c r="D403" s="301">
        <f>'Leloup 2007'!E4</f>
        <v>939731435.62343979</v>
      </c>
      <c r="L403" s="301">
        <f>'Leloup 2007'!F4</f>
        <v>980636657.66746402</v>
      </c>
      <c r="O403" s="229"/>
      <c r="P403" s="304" t="str">
        <f>'Leloup 2007'!A4</f>
        <v>Sulfate zone</v>
      </c>
      <c r="R403" s="304"/>
      <c r="S403" s="304"/>
      <c r="T403" s="304"/>
      <c r="U403" s="304"/>
      <c r="V403" s="334"/>
      <c r="W403" s="334"/>
      <c r="X403" s="334"/>
      <c r="Y403" s="334"/>
      <c r="Z403" s="334"/>
      <c r="AQ403" s="322"/>
      <c r="AR403" s="326"/>
      <c r="AS403" s="322"/>
      <c r="AV403"/>
      <c r="AW403" s="334"/>
      <c r="AX403" s="334"/>
    </row>
    <row r="404" spans="1:50">
      <c r="A404" s="277" t="s">
        <v>386</v>
      </c>
      <c r="B404" s="334" t="s">
        <v>397</v>
      </c>
      <c r="C404" s="334">
        <f>'Llobet-Brossa 1998'!B15</f>
        <v>5.0000000000000001E-3</v>
      </c>
      <c r="D404" s="301">
        <f>'Llobet-Brossa 1998'!F15</f>
        <v>610000000</v>
      </c>
      <c r="E404" s="301">
        <f>'Llobet-Brossa 1998'!G15</f>
        <v>244000000</v>
      </c>
      <c r="G404" s="301">
        <f>E404</f>
        <v>244000000</v>
      </c>
      <c r="H404" s="27">
        <f>G404/D404</f>
        <v>0.4</v>
      </c>
      <c r="M404" s="27">
        <f>F404/G404</f>
        <v>0</v>
      </c>
      <c r="O404" s="229" t="s">
        <v>943</v>
      </c>
      <c r="P404" s="323"/>
      <c r="Q404" s="301" t="b">
        <v>1</v>
      </c>
      <c r="R404" s="304" t="s">
        <v>460</v>
      </c>
      <c r="S404" s="304" t="s">
        <v>142</v>
      </c>
      <c r="T404" s="304" t="s">
        <v>47</v>
      </c>
      <c r="U404" s="304" t="s">
        <v>47</v>
      </c>
      <c r="V404" s="334"/>
      <c r="W404" s="334"/>
      <c r="X404" s="334"/>
      <c r="Y404" s="334"/>
      <c r="Z404" s="334"/>
      <c r="AB404" s="334" t="s">
        <v>311</v>
      </c>
      <c r="AC404" s="334" t="s">
        <v>1702</v>
      </c>
      <c r="AQ404" s="322">
        <v>0.5</v>
      </c>
      <c r="AR404" s="326" t="s">
        <v>162</v>
      </c>
      <c r="AS404" s="322"/>
      <c r="AV404"/>
      <c r="AW404" s="334"/>
      <c r="AX404" s="334"/>
    </row>
    <row r="405" spans="1:50">
      <c r="A405" s="277" t="s">
        <v>386</v>
      </c>
      <c r="B405" s="334" t="s">
        <v>397</v>
      </c>
      <c r="C405" s="334">
        <f>'Llobet-Brossa 1998'!B16</f>
        <v>0.01</v>
      </c>
      <c r="D405" s="301">
        <f>'Llobet-Brossa 1998'!F16</f>
        <v>780000000</v>
      </c>
      <c r="E405" s="301">
        <f>'Llobet-Brossa 1998'!G16</f>
        <v>351000000</v>
      </c>
      <c r="G405" s="301">
        <f>E405</f>
        <v>351000000</v>
      </c>
      <c r="H405" s="27">
        <f>G405/D405</f>
        <v>0.45</v>
      </c>
      <c r="M405" s="27">
        <f>F405/G405</f>
        <v>0</v>
      </c>
      <c r="O405" s="229" t="s">
        <v>943</v>
      </c>
      <c r="P405" s="304"/>
      <c r="Q405" s="301" t="b">
        <v>1</v>
      </c>
      <c r="R405" s="304" t="s">
        <v>460</v>
      </c>
      <c r="S405" s="304" t="s">
        <v>142</v>
      </c>
      <c r="T405" s="304" t="s">
        <v>47</v>
      </c>
      <c r="U405" s="304" t="s">
        <v>47</v>
      </c>
      <c r="V405" s="334"/>
      <c r="W405" s="334"/>
      <c r="X405" s="334"/>
      <c r="Y405" s="334"/>
      <c r="Z405" s="334"/>
      <c r="AB405" s="334" t="s">
        <v>311</v>
      </c>
      <c r="AC405" s="334" t="s">
        <v>1702</v>
      </c>
      <c r="AQ405" s="322">
        <v>0.5</v>
      </c>
      <c r="AR405" s="326" t="s">
        <v>162</v>
      </c>
      <c r="AS405" s="322"/>
      <c r="AV405"/>
      <c r="AW405" s="334"/>
      <c r="AX405" s="334"/>
    </row>
    <row r="406" spans="1:50">
      <c r="A406" s="277" t="s">
        <v>386</v>
      </c>
      <c r="B406" s="334" t="s">
        <v>397</v>
      </c>
      <c r="C406" s="334">
        <f>'Llobet-Brossa 1998'!B17</f>
        <v>1.4999999999999999E-2</v>
      </c>
      <c r="D406" s="301">
        <f>'Llobet-Brossa 1998'!F17</f>
        <v>2500000000</v>
      </c>
      <c r="E406" s="301">
        <f>'Llobet-Brossa 1998'!G17</f>
        <v>1350000000</v>
      </c>
      <c r="G406" s="301">
        <f>E406</f>
        <v>1350000000</v>
      </c>
      <c r="H406" s="27">
        <f>G406/D406</f>
        <v>0.54</v>
      </c>
      <c r="M406" s="27">
        <f>F406/G406</f>
        <v>0</v>
      </c>
      <c r="O406" s="229" t="s">
        <v>943</v>
      </c>
      <c r="P406" s="304"/>
      <c r="Q406" s="301" t="b">
        <v>1</v>
      </c>
      <c r="R406" s="304" t="s">
        <v>460</v>
      </c>
      <c r="S406" s="304" t="s">
        <v>142</v>
      </c>
      <c r="T406" s="304" t="s">
        <v>47</v>
      </c>
      <c r="U406" s="304" t="s">
        <v>47</v>
      </c>
      <c r="V406" s="334"/>
      <c r="W406" s="334"/>
      <c r="X406" s="334"/>
      <c r="Y406" s="334"/>
      <c r="Z406" s="334"/>
      <c r="AB406" s="334" t="s">
        <v>311</v>
      </c>
      <c r="AC406" s="334" t="s">
        <v>1702</v>
      </c>
      <c r="AQ406" s="322">
        <v>0.5</v>
      </c>
      <c r="AR406" s="326" t="s">
        <v>162</v>
      </c>
      <c r="AS406" s="322"/>
      <c r="AV406"/>
      <c r="AW406" s="334"/>
      <c r="AX406" s="334"/>
    </row>
    <row r="407" spans="1:50">
      <c r="A407" s="277" t="s">
        <v>386</v>
      </c>
      <c r="B407" s="334" t="s">
        <v>397</v>
      </c>
      <c r="C407" s="334">
        <f>'Llobet-Brossa 1998'!B18</f>
        <v>0.02</v>
      </c>
      <c r="D407" s="301">
        <f>'Llobet-Brossa 1998'!F18</f>
        <v>3200000000</v>
      </c>
      <c r="E407" s="301">
        <f>'Llobet-Brossa 1998'!G18</f>
        <v>1600000000</v>
      </c>
      <c r="G407" s="301">
        <f>E407</f>
        <v>1600000000</v>
      </c>
      <c r="H407" s="27">
        <f>G407/D407</f>
        <v>0.5</v>
      </c>
      <c r="M407" s="27">
        <f>F407/G407</f>
        <v>0</v>
      </c>
      <c r="O407" s="229" t="s">
        <v>943</v>
      </c>
      <c r="P407" s="304"/>
      <c r="Q407" s="301" t="b">
        <v>1</v>
      </c>
      <c r="R407" s="304" t="s">
        <v>460</v>
      </c>
      <c r="S407" s="304" t="s">
        <v>142</v>
      </c>
      <c r="T407" s="304" t="s">
        <v>47</v>
      </c>
      <c r="U407" s="304" t="s">
        <v>47</v>
      </c>
      <c r="V407" s="334"/>
      <c r="W407" s="334"/>
      <c r="X407" s="334"/>
      <c r="Y407" s="334"/>
      <c r="Z407" s="334"/>
      <c r="AB407" s="334" t="s">
        <v>311</v>
      </c>
      <c r="AC407" s="334" t="s">
        <v>1702</v>
      </c>
      <c r="AQ407" s="322">
        <v>0.5</v>
      </c>
      <c r="AR407" s="326" t="s">
        <v>162</v>
      </c>
      <c r="AS407" s="322"/>
      <c r="AV407"/>
      <c r="AW407" s="334"/>
      <c r="AX407" s="334"/>
    </row>
    <row r="408" spans="1:50">
      <c r="A408" s="277" t="s">
        <v>386</v>
      </c>
      <c r="B408" s="334" t="s">
        <v>397</v>
      </c>
      <c r="C408" s="334">
        <f>'Llobet-Brossa 1998'!B19</f>
        <v>2.5000000000000001E-2</v>
      </c>
      <c r="D408" s="301">
        <f>'Llobet-Brossa 1998'!F19</f>
        <v>2200000000</v>
      </c>
      <c r="E408" s="301">
        <f>'Llobet-Brossa 1998'!G19</f>
        <v>957000000</v>
      </c>
      <c r="G408" s="301">
        <f>E408</f>
        <v>957000000</v>
      </c>
      <c r="H408" s="27">
        <f>G408/D408</f>
        <v>0.435</v>
      </c>
      <c r="M408" s="27">
        <f>F408/G408</f>
        <v>0</v>
      </c>
      <c r="O408" s="286" t="s">
        <v>943</v>
      </c>
      <c r="P408" s="304"/>
      <c r="Q408" s="301" t="b">
        <v>1</v>
      </c>
      <c r="R408" s="304" t="s">
        <v>460</v>
      </c>
      <c r="S408" s="304" t="s">
        <v>142</v>
      </c>
      <c r="T408" s="304" t="s">
        <v>47</v>
      </c>
      <c r="U408" s="304" t="s">
        <v>47</v>
      </c>
      <c r="V408" s="334"/>
      <c r="W408" s="334"/>
      <c r="X408" s="334"/>
      <c r="Y408" s="334"/>
      <c r="Z408" s="334"/>
      <c r="AB408" s="334" t="s">
        <v>311</v>
      </c>
      <c r="AC408" s="334" t="s">
        <v>1702</v>
      </c>
      <c r="AQ408" s="322">
        <v>0.5</v>
      </c>
      <c r="AR408" s="326" t="s">
        <v>162</v>
      </c>
      <c r="AS408" s="322"/>
      <c r="AV408"/>
      <c r="AW408" s="334"/>
      <c r="AX408" s="334"/>
    </row>
    <row r="409" spans="1:50">
      <c r="A409" s="277" t="s">
        <v>386</v>
      </c>
      <c r="B409" s="334" t="s">
        <v>397</v>
      </c>
      <c r="C409" s="334">
        <f>'Llobet-Brossa 1998'!B20</f>
        <v>0.03</v>
      </c>
      <c r="D409" s="301">
        <f>'Llobet-Brossa 1998'!F20</f>
        <v>2300000000</v>
      </c>
      <c r="E409" s="301">
        <f>'Llobet-Brossa 1998'!G20</f>
        <v>947600000.00000012</v>
      </c>
      <c r="G409" s="301">
        <f>E409</f>
        <v>947600000.00000012</v>
      </c>
      <c r="H409" s="27">
        <f>G409/D409</f>
        <v>0.41200000000000003</v>
      </c>
      <c r="M409" s="27">
        <f>F409/G409</f>
        <v>0</v>
      </c>
      <c r="O409" s="229" t="s">
        <v>943</v>
      </c>
      <c r="P409" s="304"/>
      <c r="Q409" s="301" t="b">
        <v>1</v>
      </c>
      <c r="R409" s="304" t="s">
        <v>460</v>
      </c>
      <c r="S409" s="304" t="s">
        <v>142</v>
      </c>
      <c r="T409" s="304" t="s">
        <v>47</v>
      </c>
      <c r="U409" s="304" t="s">
        <v>47</v>
      </c>
      <c r="V409" s="334"/>
      <c r="W409" s="334"/>
      <c r="X409" s="334"/>
      <c r="Y409" s="334"/>
      <c r="Z409" s="334"/>
      <c r="AB409" s="334" t="s">
        <v>311</v>
      </c>
      <c r="AC409" s="334" t="s">
        <v>1702</v>
      </c>
      <c r="AQ409" s="322">
        <v>0.5</v>
      </c>
      <c r="AR409" s="326" t="s">
        <v>162</v>
      </c>
      <c r="AS409" s="322"/>
      <c r="AV409"/>
      <c r="AW409" s="334"/>
      <c r="AX409" s="334"/>
    </row>
    <row r="410" spans="1:50">
      <c r="A410" s="277" t="s">
        <v>386</v>
      </c>
      <c r="B410" s="334" t="s">
        <v>397</v>
      </c>
      <c r="C410" s="334">
        <f>'Llobet-Brossa 1998'!B21</f>
        <v>3.5000000000000003E-2</v>
      </c>
      <c r="D410" s="301">
        <f>'Llobet-Brossa 1998'!F21</f>
        <v>2000000000</v>
      </c>
      <c r="E410" s="301">
        <f>'Llobet-Brossa 1998'!G21</f>
        <v>800000000</v>
      </c>
      <c r="G410" s="301">
        <f>E410</f>
        <v>800000000</v>
      </c>
      <c r="H410" s="27">
        <f>G410/D410</f>
        <v>0.4</v>
      </c>
      <c r="M410" s="27">
        <f>F410/G410</f>
        <v>0</v>
      </c>
      <c r="O410" s="229" t="s">
        <v>943</v>
      </c>
      <c r="P410" s="304"/>
      <c r="Q410" s="301" t="b">
        <v>1</v>
      </c>
      <c r="R410" s="304" t="s">
        <v>460</v>
      </c>
      <c r="S410" s="304" t="s">
        <v>142</v>
      </c>
      <c r="T410" s="304" t="s">
        <v>47</v>
      </c>
      <c r="U410" s="304" t="s">
        <v>47</v>
      </c>
      <c r="V410" s="334"/>
      <c r="W410" s="334"/>
      <c r="X410" s="334"/>
      <c r="Y410" s="334"/>
      <c r="Z410" s="334"/>
      <c r="AB410" s="334" t="s">
        <v>311</v>
      </c>
      <c r="AC410" s="334" t="s">
        <v>1702</v>
      </c>
      <c r="AQ410">
        <v>0.5</v>
      </c>
      <c r="AR410" s="326" t="s">
        <v>162</v>
      </c>
      <c r="AS410" s="322"/>
      <c r="AV410"/>
      <c r="AW410" s="334"/>
      <c r="AX410" s="334"/>
    </row>
    <row r="411" spans="1:50">
      <c r="A411" s="277" t="s">
        <v>386</v>
      </c>
      <c r="B411" s="334" t="s">
        <v>397</v>
      </c>
      <c r="C411" s="334">
        <f>'Llobet-Brossa 1998'!B22</f>
        <v>0.04</v>
      </c>
      <c r="D411" s="301">
        <f>'Llobet-Brossa 1998'!F22</f>
        <v>1200000000</v>
      </c>
      <c r="E411" s="301">
        <f>'Llobet-Brossa 1998'!G22</f>
        <v>420000000</v>
      </c>
      <c r="G411" s="301">
        <f>E411</f>
        <v>420000000</v>
      </c>
      <c r="H411" s="336">
        <f>G411/D411</f>
        <v>0.35</v>
      </c>
      <c r="M411" s="27">
        <f>F411/G411</f>
        <v>0</v>
      </c>
      <c r="O411" s="229" t="s">
        <v>943</v>
      </c>
      <c r="P411" s="334"/>
      <c r="Q411" s="301" t="b">
        <v>1</v>
      </c>
      <c r="R411" s="304" t="s">
        <v>460</v>
      </c>
      <c r="S411" t="s">
        <v>142</v>
      </c>
      <c r="T411" t="s">
        <v>47</v>
      </c>
      <c r="U411" t="s">
        <v>47</v>
      </c>
      <c r="V411" s="334"/>
      <c r="W411" s="334"/>
      <c r="X411" s="334"/>
      <c r="Y411" s="334"/>
      <c r="Z411" s="334"/>
      <c r="AB411" s="334" t="s">
        <v>311</v>
      </c>
      <c r="AC411" s="334" t="s">
        <v>1702</v>
      </c>
      <c r="AQ411">
        <v>0.5</v>
      </c>
      <c r="AR411" s="326" t="s">
        <v>162</v>
      </c>
      <c r="AS411" s="322"/>
      <c r="AV411"/>
      <c r="AW411" s="334"/>
      <c r="AX411" s="334"/>
    </row>
    <row r="412" spans="1:50">
      <c r="A412" s="277" t="s">
        <v>386</v>
      </c>
      <c r="B412" s="334" t="s">
        <v>396</v>
      </c>
      <c r="C412" s="334">
        <f>'Llobet-Brossa 1998'!B5</f>
        <v>5.0000000000000001E-3</v>
      </c>
      <c r="D412" s="301">
        <f>'Llobet-Brossa 1998'!F5</f>
        <v>4400000000</v>
      </c>
      <c r="E412" s="301">
        <f>'Llobet-Brossa 1998'!G5</f>
        <v>3212000000</v>
      </c>
      <c r="G412" s="301">
        <f>E412</f>
        <v>3212000000</v>
      </c>
      <c r="H412" s="336">
        <f>G412/D412</f>
        <v>0.73</v>
      </c>
      <c r="M412" s="27">
        <f>F412/G412</f>
        <v>0</v>
      </c>
      <c r="O412" s="229" t="s">
        <v>943</v>
      </c>
      <c r="P412" s="334"/>
      <c r="Q412" s="301" t="b">
        <v>1</v>
      </c>
      <c r="R412" s="304" t="s">
        <v>460</v>
      </c>
      <c r="S412" s="304" t="s">
        <v>142</v>
      </c>
      <c r="T412" s="304" t="s">
        <v>47</v>
      </c>
      <c r="U412" s="304" t="s">
        <v>47</v>
      </c>
      <c r="V412" s="334"/>
      <c r="W412" s="334"/>
      <c r="X412" s="334"/>
      <c r="Y412" s="334"/>
      <c r="Z412" s="334"/>
      <c r="AB412" s="334" t="s">
        <v>311</v>
      </c>
      <c r="AC412" s="334" t="s">
        <v>1702</v>
      </c>
      <c r="AQ412">
        <v>0.5</v>
      </c>
      <c r="AR412" s="323" t="s">
        <v>162</v>
      </c>
      <c r="AV412"/>
      <c r="AW412" s="334"/>
      <c r="AX412" s="334"/>
    </row>
    <row r="413" spans="1:50">
      <c r="A413" s="277" t="s">
        <v>386</v>
      </c>
      <c r="B413" s="334" t="s">
        <v>396</v>
      </c>
      <c r="C413" s="334">
        <f>'Llobet-Brossa 1998'!B6</f>
        <v>0.01</v>
      </c>
      <c r="D413" s="301">
        <f>'Llobet-Brossa 1998'!F6</f>
        <v>4500000000</v>
      </c>
      <c r="E413" s="301">
        <f>'Llobet-Brossa 1998'!G6</f>
        <v>2925000000</v>
      </c>
      <c r="G413" s="301">
        <f>E413</f>
        <v>2925000000</v>
      </c>
      <c r="H413" s="27">
        <f>G413/D413</f>
        <v>0.65</v>
      </c>
      <c r="M413" s="27">
        <f>F413/G413</f>
        <v>0</v>
      </c>
      <c r="O413" s="229" t="s">
        <v>943</v>
      </c>
      <c r="P413" s="304"/>
      <c r="Q413" s="301" t="b">
        <v>1</v>
      </c>
      <c r="R413" s="304" t="s">
        <v>460</v>
      </c>
      <c r="S413" s="304" t="s">
        <v>142</v>
      </c>
      <c r="T413" s="304" t="s">
        <v>47</v>
      </c>
      <c r="U413" s="304" t="s">
        <v>47</v>
      </c>
      <c r="V413" s="334"/>
      <c r="W413" s="334"/>
      <c r="X413" s="334"/>
      <c r="Y413" s="334"/>
      <c r="Z413" s="334"/>
      <c r="AB413" s="334" t="s">
        <v>311</v>
      </c>
      <c r="AC413" s="334" t="s">
        <v>1702</v>
      </c>
      <c r="AQ413" s="322">
        <v>0.5</v>
      </c>
      <c r="AR413" s="323" t="s">
        <v>162</v>
      </c>
      <c r="AV413"/>
      <c r="AW413" s="334"/>
      <c r="AX413" s="334"/>
    </row>
    <row r="414" spans="1:50">
      <c r="A414" s="277" t="s">
        <v>386</v>
      </c>
      <c r="B414" s="334" t="s">
        <v>396</v>
      </c>
      <c r="C414" s="334">
        <f>'Llobet-Brossa 1998'!B7</f>
        <v>1.4999999999999999E-2</v>
      </c>
      <c r="D414" s="301">
        <f>'Llobet-Brossa 1998'!F7</f>
        <v>4600000000</v>
      </c>
      <c r="E414" s="301">
        <f>'Llobet-Brossa 1998'!G7</f>
        <v>2484000000</v>
      </c>
      <c r="G414" s="301">
        <f>E414</f>
        <v>2484000000</v>
      </c>
      <c r="H414" s="27">
        <f>G414/D414</f>
        <v>0.54</v>
      </c>
      <c r="M414" s="27">
        <f>F414/G414</f>
        <v>0</v>
      </c>
      <c r="O414" s="229" t="s">
        <v>943</v>
      </c>
      <c r="P414" s="328"/>
      <c r="Q414" s="301" t="b">
        <v>1</v>
      </c>
      <c r="R414" s="304" t="s">
        <v>460</v>
      </c>
      <c r="S414" s="304" t="s">
        <v>142</v>
      </c>
      <c r="T414" s="304" t="s">
        <v>47</v>
      </c>
      <c r="U414" s="304" t="s">
        <v>47</v>
      </c>
      <c r="V414" s="334"/>
      <c r="W414" s="334"/>
      <c r="X414" s="334"/>
      <c r="Y414" s="334"/>
      <c r="Z414" s="334"/>
      <c r="AB414" s="334" t="s">
        <v>311</v>
      </c>
      <c r="AC414" s="334" t="s">
        <v>1702</v>
      </c>
      <c r="AQ414" s="322">
        <v>0.5</v>
      </c>
      <c r="AR414" s="323" t="s">
        <v>162</v>
      </c>
      <c r="AV414"/>
      <c r="AW414" s="334"/>
      <c r="AX414" s="334"/>
    </row>
    <row r="415" spans="1:50">
      <c r="A415" s="277" t="s">
        <v>386</v>
      </c>
      <c r="B415" s="334" t="s">
        <v>396</v>
      </c>
      <c r="C415" s="334">
        <f>'Llobet-Brossa 1998'!B8</f>
        <v>0.02</v>
      </c>
      <c r="D415" s="301">
        <f>'Llobet-Brossa 1998'!F8</f>
        <v>4500000000</v>
      </c>
      <c r="E415" s="301">
        <f>'Llobet-Brossa 1998'!G8</f>
        <v>1957500000</v>
      </c>
      <c r="G415" s="301">
        <f>E415</f>
        <v>1957500000</v>
      </c>
      <c r="H415" s="27">
        <f>G415/D415</f>
        <v>0.435</v>
      </c>
      <c r="M415" s="27">
        <f>F415/G415</f>
        <v>0</v>
      </c>
      <c r="O415" s="229" t="s">
        <v>943</v>
      </c>
      <c r="P415" s="328"/>
      <c r="Q415" s="301" t="b">
        <v>1</v>
      </c>
      <c r="R415" s="304" t="s">
        <v>460</v>
      </c>
      <c r="S415" s="304" t="s">
        <v>142</v>
      </c>
      <c r="T415" s="304" t="s">
        <v>47</v>
      </c>
      <c r="U415" s="304" t="s">
        <v>47</v>
      </c>
      <c r="V415" s="334"/>
      <c r="W415" s="334"/>
      <c r="X415" s="334"/>
      <c r="Y415" s="334"/>
      <c r="Z415" s="334"/>
      <c r="AB415" s="334" t="s">
        <v>311</v>
      </c>
      <c r="AC415" s="334" t="s">
        <v>1702</v>
      </c>
      <c r="AQ415" s="322">
        <v>0.5</v>
      </c>
      <c r="AR415" s="323" t="s">
        <v>162</v>
      </c>
      <c r="AV415"/>
      <c r="AW415" s="334"/>
      <c r="AX415" s="334"/>
    </row>
    <row r="416" spans="1:50">
      <c r="A416" s="277" t="s">
        <v>386</v>
      </c>
      <c r="B416" s="334" t="s">
        <v>396</v>
      </c>
      <c r="C416" s="334">
        <f>'Llobet-Brossa 1998'!B9</f>
        <v>2.5000000000000001E-2</v>
      </c>
      <c r="D416" s="301">
        <f>'Llobet-Brossa 1998'!F9</f>
        <v>4300000000</v>
      </c>
      <c r="E416" s="301">
        <f>'Llobet-Brossa 1998'!G9</f>
        <v>2343500000</v>
      </c>
      <c r="G416" s="301">
        <f>E416</f>
        <v>2343500000</v>
      </c>
      <c r="H416" s="27">
        <f>G416/D416</f>
        <v>0.54500000000000004</v>
      </c>
      <c r="M416" s="27">
        <f>F416/G416</f>
        <v>0</v>
      </c>
      <c r="O416" s="229" t="s">
        <v>943</v>
      </c>
      <c r="P416" s="299"/>
      <c r="Q416" s="301" t="b">
        <v>1</v>
      </c>
      <c r="R416" s="304" t="s">
        <v>460</v>
      </c>
      <c r="S416" s="304" t="s">
        <v>142</v>
      </c>
      <c r="T416" s="304" t="s">
        <v>47</v>
      </c>
      <c r="U416" s="304" t="s">
        <v>47</v>
      </c>
      <c r="V416" s="334"/>
      <c r="W416" s="334"/>
      <c r="X416" s="334"/>
      <c r="Y416" s="334"/>
      <c r="Z416" s="334"/>
      <c r="AB416" s="334" t="s">
        <v>311</v>
      </c>
      <c r="AC416" s="334" t="s">
        <v>1702</v>
      </c>
      <c r="AQ416" s="322">
        <v>0.5</v>
      </c>
      <c r="AR416" s="323" t="s">
        <v>162</v>
      </c>
      <c r="AV416"/>
      <c r="AW416" s="334"/>
      <c r="AX416" s="334"/>
    </row>
    <row r="417" spans="1:52">
      <c r="A417" s="277" t="s">
        <v>386</v>
      </c>
      <c r="B417" s="334" t="s">
        <v>396</v>
      </c>
      <c r="C417" s="334">
        <f>'Llobet-Brossa 1998'!B10</f>
        <v>0.03</v>
      </c>
      <c r="D417" s="301">
        <f>'Llobet-Brossa 1998'!F10</f>
        <v>4500000000</v>
      </c>
      <c r="E417" s="301">
        <f>'Llobet-Brossa 1998'!G10</f>
        <v>1881000000</v>
      </c>
      <c r="G417" s="301">
        <f>E417</f>
        <v>1881000000</v>
      </c>
      <c r="H417" s="27">
        <f>G417/D417</f>
        <v>0.41799999999999998</v>
      </c>
      <c r="M417" s="27">
        <f>F417/G417</f>
        <v>0</v>
      </c>
      <c r="O417" s="229" t="s">
        <v>943</v>
      </c>
      <c r="Q417" s="301" t="b">
        <v>1</v>
      </c>
      <c r="R417" s="304" t="s">
        <v>460</v>
      </c>
      <c r="S417" s="304" t="s">
        <v>142</v>
      </c>
      <c r="T417" s="304" t="s">
        <v>47</v>
      </c>
      <c r="U417" s="304" t="s">
        <v>47</v>
      </c>
      <c r="V417" s="334"/>
      <c r="W417" s="334"/>
      <c r="X417" s="334"/>
      <c r="Y417" s="334"/>
      <c r="Z417" s="334"/>
      <c r="AB417" s="334" t="s">
        <v>311</v>
      </c>
      <c r="AC417" s="334" t="s">
        <v>1702</v>
      </c>
      <c r="AQ417" s="322">
        <v>0.5</v>
      </c>
      <c r="AR417" s="323" t="s">
        <v>162</v>
      </c>
      <c r="AV417"/>
      <c r="AW417" s="334"/>
      <c r="AX417" s="334"/>
    </row>
    <row r="418" spans="1:52">
      <c r="A418" s="277" t="s">
        <v>386</v>
      </c>
      <c r="B418" s="334" t="s">
        <v>396</v>
      </c>
      <c r="C418" s="334">
        <f>'Llobet-Brossa 1998'!B11</f>
        <v>3.5000000000000003E-2</v>
      </c>
      <c r="D418" s="301">
        <f>'Llobet-Brossa 1998'!F11</f>
        <v>3300000000</v>
      </c>
      <c r="E418" s="301">
        <f>'Llobet-Brossa 1998'!G11</f>
        <v>1362900000</v>
      </c>
      <c r="G418" s="301">
        <f>E418</f>
        <v>1362900000</v>
      </c>
      <c r="H418" s="27">
        <f>G418/D418</f>
        <v>0.41299999999999998</v>
      </c>
      <c r="M418" s="27">
        <f>F418/G418</f>
        <v>0</v>
      </c>
      <c r="O418" s="229" t="s">
        <v>943</v>
      </c>
      <c r="Q418" s="301" t="b">
        <v>1</v>
      </c>
      <c r="R418" s="304" t="s">
        <v>460</v>
      </c>
      <c r="S418" s="304" t="s">
        <v>142</v>
      </c>
      <c r="T418" s="304" t="s">
        <v>47</v>
      </c>
      <c r="U418" s="304" t="s">
        <v>47</v>
      </c>
      <c r="V418" s="334"/>
      <c r="W418" s="334"/>
      <c r="X418" s="334"/>
      <c r="Y418" s="334"/>
      <c r="Z418" s="334"/>
      <c r="AB418" s="334" t="s">
        <v>311</v>
      </c>
      <c r="AC418" s="334" t="s">
        <v>1702</v>
      </c>
      <c r="AQ418" s="322">
        <v>0.5</v>
      </c>
      <c r="AR418" s="323" t="s">
        <v>162</v>
      </c>
      <c r="AV418"/>
      <c r="AW418" s="334"/>
      <c r="AX418" s="334"/>
    </row>
    <row r="419" spans="1:52">
      <c r="A419" s="277" t="s">
        <v>386</v>
      </c>
      <c r="B419" s="334" t="s">
        <v>396</v>
      </c>
      <c r="C419" s="334">
        <f>'Llobet-Brossa 1998'!B12</f>
        <v>0.04</v>
      </c>
      <c r="D419" s="301">
        <f>'Llobet-Brossa 1998'!F12</f>
        <v>2400000000</v>
      </c>
      <c r="E419" s="301">
        <f>'Llobet-Brossa 1998'!G12</f>
        <v>960000000</v>
      </c>
      <c r="G419" s="301">
        <f>E419</f>
        <v>960000000</v>
      </c>
      <c r="H419" s="27">
        <f>G419/D419</f>
        <v>0.4</v>
      </c>
      <c r="M419" s="27">
        <f>F419/G419</f>
        <v>0</v>
      </c>
      <c r="O419" s="229" t="s">
        <v>943</v>
      </c>
      <c r="P419" s="293"/>
      <c r="Q419" s="301" t="b">
        <v>1</v>
      </c>
      <c r="R419" s="304" t="s">
        <v>460</v>
      </c>
      <c r="S419" s="304" t="s">
        <v>142</v>
      </c>
      <c r="T419" s="304" t="s">
        <v>47</v>
      </c>
      <c r="U419" s="304" t="s">
        <v>47</v>
      </c>
      <c r="V419" s="334"/>
      <c r="W419" s="334"/>
      <c r="X419" s="334"/>
      <c r="Y419" s="334"/>
      <c r="Z419" s="334"/>
      <c r="AB419" s="334" t="s">
        <v>311</v>
      </c>
      <c r="AC419" s="334" t="s">
        <v>1702</v>
      </c>
      <c r="AQ419" s="322">
        <v>0.5</v>
      </c>
      <c r="AR419" s="323" t="s">
        <v>162</v>
      </c>
      <c r="AV419"/>
      <c r="AW419" s="334"/>
      <c r="AX419" s="334"/>
    </row>
    <row r="420" spans="1:52">
      <c r="A420" s="277" t="s">
        <v>386</v>
      </c>
      <c r="B420" s="334" t="s">
        <v>396</v>
      </c>
      <c r="C420" s="334">
        <f>'Llobet-Brossa 1998'!B13</f>
        <v>4.4999999999999998E-2</v>
      </c>
      <c r="D420" s="301">
        <f>'Llobet-Brossa 1998'!F13</f>
        <v>2700000000</v>
      </c>
      <c r="E420" s="301">
        <f>'Llobet-Brossa 1998'!G13</f>
        <v>999000000</v>
      </c>
      <c r="G420" s="301">
        <f>E420</f>
        <v>999000000</v>
      </c>
      <c r="H420" s="336">
        <f>G420/D420</f>
        <v>0.37</v>
      </c>
      <c r="M420" s="27">
        <f>F420/G420</f>
        <v>0</v>
      </c>
      <c r="O420" s="229" t="s">
        <v>943</v>
      </c>
      <c r="P420" s="326"/>
      <c r="Q420" s="301" t="b">
        <v>1</v>
      </c>
      <c r="R420" s="304" t="s">
        <v>460</v>
      </c>
      <c r="S420" s="304" t="s">
        <v>142</v>
      </c>
      <c r="T420" s="304" t="s">
        <v>47</v>
      </c>
      <c r="U420" s="304" t="s">
        <v>47</v>
      </c>
      <c r="V420" s="334"/>
      <c r="W420" s="334"/>
      <c r="X420" s="334"/>
      <c r="Y420" s="334"/>
      <c r="Z420" s="334"/>
      <c r="AB420" s="334" t="s">
        <v>311</v>
      </c>
      <c r="AC420" s="334" t="s">
        <v>1702</v>
      </c>
      <c r="AQ420" s="322">
        <v>0.5</v>
      </c>
      <c r="AR420" s="323" t="s">
        <v>162</v>
      </c>
      <c r="AV420"/>
      <c r="AW420" s="334"/>
      <c r="AX420" s="334"/>
    </row>
    <row r="421" spans="1:52">
      <c r="A421" s="277" t="s">
        <v>386</v>
      </c>
      <c r="B421" s="334" t="s">
        <v>396</v>
      </c>
      <c r="C421" s="334">
        <f>'Llobet-Brossa 1998'!B14</f>
        <v>0.05</v>
      </c>
      <c r="D421" s="301">
        <f>'Llobet-Brossa 1998'!F14</f>
        <v>1800000000</v>
      </c>
      <c r="E421" s="301">
        <f>'Llobet-Brossa 1998'!G14</f>
        <v>514800000.00000006</v>
      </c>
      <c r="G421" s="301">
        <f>E421</f>
        <v>514800000.00000006</v>
      </c>
      <c r="H421" s="27">
        <f>G421/D421</f>
        <v>0.28600000000000003</v>
      </c>
      <c r="M421" s="27">
        <f>F421/G421</f>
        <v>0</v>
      </c>
      <c r="O421" s="229" t="s">
        <v>943</v>
      </c>
      <c r="P421" s="293"/>
      <c r="Q421" s="301" t="b">
        <v>1</v>
      </c>
      <c r="R421" s="304" t="s">
        <v>460</v>
      </c>
      <c r="S421" s="304" t="s">
        <v>142</v>
      </c>
      <c r="T421" s="304" t="s">
        <v>47</v>
      </c>
      <c r="U421" s="304" t="s">
        <v>47</v>
      </c>
      <c r="V421" s="334"/>
      <c r="W421" s="334"/>
      <c r="X421" s="334"/>
      <c r="Y421" s="334"/>
      <c r="Z421" s="334"/>
      <c r="AB421" s="334" t="s">
        <v>311</v>
      </c>
      <c r="AC421" s="334" t="s">
        <v>1702</v>
      </c>
      <c r="AQ421" s="322">
        <v>0.5</v>
      </c>
      <c r="AR421" s="323" t="s">
        <v>162</v>
      </c>
      <c r="AV421"/>
      <c r="AW421" s="334"/>
      <c r="AX421" s="334"/>
    </row>
    <row r="422" spans="1:52">
      <c r="A422" s="277" t="s">
        <v>381</v>
      </c>
      <c r="B422" s="334" t="str">
        <f>'Llobet-Brossa 2002'!A4</f>
        <v>Wadden Sea intertidal</v>
      </c>
      <c r="C422" s="334">
        <f>'Llobet-Brossa 2002'!B4</f>
        <v>2.5000000000000001E-3</v>
      </c>
      <c r="D422" s="301">
        <f>'Llobet-Brossa 2002'!G4</f>
        <v>5390000000</v>
      </c>
      <c r="E422" s="301">
        <f>'Llobet-Brossa 2002'!H4</f>
        <v>4440000000</v>
      </c>
      <c r="G422" s="301">
        <f>E422</f>
        <v>4440000000</v>
      </c>
      <c r="H422" s="27">
        <f>G422/D422</f>
        <v>0.82374768089053807</v>
      </c>
      <c r="M422" s="27">
        <f>F422/G422</f>
        <v>0</v>
      </c>
      <c r="O422" s="229" t="s">
        <v>943</v>
      </c>
      <c r="P422" s="293">
        <f>'Llobet-Brossa 2002'!I4</f>
        <v>22.6261699943182</v>
      </c>
      <c r="Q422" s="301" t="b">
        <v>1</v>
      </c>
      <c r="R422" s="304" t="s">
        <v>460</v>
      </c>
      <c r="S422" s="304" t="s">
        <v>142</v>
      </c>
      <c r="T422" s="304" t="s">
        <v>47</v>
      </c>
      <c r="U422" s="304" t="s">
        <v>47</v>
      </c>
      <c r="V422" s="334"/>
      <c r="W422" s="334"/>
      <c r="X422" s="334"/>
      <c r="Y422" s="334"/>
      <c r="Z422" s="334"/>
      <c r="AQ422">
        <v>0.5</v>
      </c>
      <c r="AR422" s="323" t="s">
        <v>162</v>
      </c>
      <c r="AV422"/>
      <c r="AW422" s="334"/>
      <c r="AX422" s="334"/>
    </row>
    <row r="423" spans="1:52">
      <c r="A423" s="277" t="s">
        <v>381</v>
      </c>
      <c r="B423" s="334" t="str">
        <f>'Llobet-Brossa 2002'!A5</f>
        <v>Wadden Sea intertidal</v>
      </c>
      <c r="C423" s="334">
        <f>'Llobet-Brossa 2002'!B5</f>
        <v>7.4999999999999997E-3</v>
      </c>
      <c r="D423" s="301">
        <f>'Llobet-Brossa 2002'!G5</f>
        <v>5370000000</v>
      </c>
      <c r="E423" s="301">
        <f>'Llobet-Brossa 2002'!H5</f>
        <v>3740000000</v>
      </c>
      <c r="G423" s="301">
        <f>E423</f>
        <v>3740000000</v>
      </c>
      <c r="H423" s="27">
        <f>G423/D423</f>
        <v>0.69646182495344511</v>
      </c>
      <c r="M423" s="27">
        <f>F423/G423</f>
        <v>0</v>
      </c>
      <c r="O423" s="229" t="s">
        <v>943</v>
      </c>
      <c r="P423" s="293">
        <f>'Llobet-Brossa 2002'!I5</f>
        <v>22.715483298611399</v>
      </c>
      <c r="Q423" s="301" t="b">
        <v>1</v>
      </c>
      <c r="R423" s="304" t="s">
        <v>460</v>
      </c>
      <c r="S423" s="304" t="s">
        <v>142</v>
      </c>
      <c r="T423" s="304" t="s">
        <v>47</v>
      </c>
      <c r="U423" s="304" t="s">
        <v>47</v>
      </c>
      <c r="V423" s="334"/>
      <c r="W423" s="334"/>
      <c r="X423" s="334"/>
      <c r="Y423" s="334"/>
      <c r="Z423" s="334"/>
      <c r="AQ423" s="322">
        <v>0.5</v>
      </c>
      <c r="AR423" s="323" t="s">
        <v>162</v>
      </c>
      <c r="AV423"/>
      <c r="AW423" s="334"/>
      <c r="AX423" s="334"/>
    </row>
    <row r="424" spans="1:52">
      <c r="A424" s="277" t="s">
        <v>381</v>
      </c>
      <c r="B424" s="334" t="str">
        <f>'Llobet-Brossa 2002'!A6</f>
        <v>Wadden Sea intertidal</v>
      </c>
      <c r="C424" s="334">
        <f>'Llobet-Brossa 2002'!B6</f>
        <v>1.4999999999999999E-2</v>
      </c>
      <c r="D424" s="301">
        <f>'Llobet-Brossa 2002'!G6</f>
        <v>5650000000</v>
      </c>
      <c r="E424" s="301">
        <f>'Llobet-Brossa 2002'!H6</f>
        <v>3940000000</v>
      </c>
      <c r="G424" s="301">
        <f>E424</f>
        <v>3940000000</v>
      </c>
      <c r="H424" s="27">
        <f>G424/D424</f>
        <v>0.69734513274336285</v>
      </c>
      <c r="M424" s="27">
        <f>F424/G424</f>
        <v>0</v>
      </c>
      <c r="O424" s="229" t="s">
        <v>943</v>
      </c>
      <c r="P424" s="303">
        <f>'Llobet-Brossa 2002'!I6</f>
        <v>22.661755763997501</v>
      </c>
      <c r="Q424" s="301" t="b">
        <v>1</v>
      </c>
      <c r="R424" s="304" t="s">
        <v>460</v>
      </c>
      <c r="S424" s="304" t="s">
        <v>142</v>
      </c>
      <c r="T424" s="304" t="s">
        <v>47</v>
      </c>
      <c r="U424" s="304" t="s">
        <v>47</v>
      </c>
      <c r="V424" s="334"/>
      <c r="W424" s="334"/>
      <c r="X424" s="334"/>
      <c r="Y424" s="334"/>
      <c r="Z424" s="334"/>
      <c r="AQ424" s="322">
        <v>0.5</v>
      </c>
      <c r="AR424" s="323" t="s">
        <v>162</v>
      </c>
      <c r="AV424"/>
      <c r="AW424" s="334"/>
      <c r="AX424" s="334"/>
    </row>
    <row r="425" spans="1:52">
      <c r="A425" s="277" t="s">
        <v>381</v>
      </c>
      <c r="B425" s="334" t="str">
        <f>'Llobet-Brossa 2002'!A7</f>
        <v>Wadden Sea intertidal</v>
      </c>
      <c r="C425" s="334">
        <f>'Llobet-Brossa 2002'!B7</f>
        <v>2.5000000000000001E-2</v>
      </c>
      <c r="D425" s="301">
        <f>'Llobet-Brossa 2002'!G7</f>
        <v>5350000000</v>
      </c>
      <c r="E425" s="301">
        <f>'Llobet-Brossa 2002'!H7</f>
        <v>2840000000</v>
      </c>
      <c r="G425" s="301">
        <f>E425</f>
        <v>2840000000</v>
      </c>
      <c r="H425" s="27">
        <f>G425/D425</f>
        <v>0.53084112149532714</v>
      </c>
      <c r="M425" s="27">
        <f>F425/G425</f>
        <v>0</v>
      </c>
      <c r="O425" s="229" t="s">
        <v>943</v>
      </c>
      <c r="P425" s="303">
        <f>'Llobet-Brossa 2002'!I7</f>
        <v>22.3706900848277</v>
      </c>
      <c r="Q425" s="301" t="b">
        <v>1</v>
      </c>
      <c r="R425" s="304" t="s">
        <v>460</v>
      </c>
      <c r="S425" s="304" t="s">
        <v>142</v>
      </c>
      <c r="T425" s="304" t="s">
        <v>47</v>
      </c>
      <c r="U425" s="304" t="s">
        <v>47</v>
      </c>
      <c r="V425" s="334"/>
      <c r="W425" s="334"/>
      <c r="X425" s="334"/>
      <c r="Y425" s="334"/>
      <c r="Z425" s="334"/>
      <c r="AQ425" s="322">
        <v>0.5</v>
      </c>
      <c r="AR425" s="323" t="s">
        <v>162</v>
      </c>
      <c r="AV425"/>
      <c r="AW425" s="334"/>
      <c r="AX425" s="334"/>
    </row>
    <row r="426" spans="1:52">
      <c r="A426" s="277" t="s">
        <v>381</v>
      </c>
      <c r="B426" s="334" t="str">
        <f>'Llobet-Brossa 2002'!A8</f>
        <v>Wadden Sea intertidal</v>
      </c>
      <c r="C426" s="334">
        <f>'Llobet-Brossa 2002'!B8</f>
        <v>3.5000000000000003E-2</v>
      </c>
      <c r="D426" s="301">
        <f>'Llobet-Brossa 2002'!G8</f>
        <v>3310000000</v>
      </c>
      <c r="E426" s="301">
        <f>'Llobet-Brossa 2002'!H8</f>
        <v>1510000000</v>
      </c>
      <c r="G426" s="301">
        <f>E426</f>
        <v>1510000000</v>
      </c>
      <c r="H426" s="336">
        <f>G426/D426</f>
        <v>0.45619335347432022</v>
      </c>
      <c r="M426" s="27">
        <f>F426/G426</f>
        <v>0</v>
      </c>
      <c r="O426" s="229" t="s">
        <v>943</v>
      </c>
      <c r="P426" s="293">
        <f>'Llobet-Brossa 2002'!I8</f>
        <v>23.4411538959938</v>
      </c>
      <c r="Q426" s="301" t="b">
        <v>1</v>
      </c>
      <c r="R426" s="304" t="s">
        <v>460</v>
      </c>
      <c r="S426" s="304" t="s">
        <v>142</v>
      </c>
      <c r="T426" s="304" t="s">
        <v>47</v>
      </c>
      <c r="U426" s="304" t="s">
        <v>47</v>
      </c>
      <c r="V426" s="334"/>
      <c r="W426" s="334"/>
      <c r="X426" s="334"/>
      <c r="Y426" s="334"/>
      <c r="Z426" s="334"/>
      <c r="AQ426" s="322">
        <v>0.5</v>
      </c>
      <c r="AR426" s="323" t="s">
        <v>162</v>
      </c>
      <c r="AV426"/>
      <c r="AW426" s="334"/>
      <c r="AX426" s="334"/>
    </row>
    <row r="427" spans="1:52">
      <c r="A427" s="277" t="s">
        <v>381</v>
      </c>
      <c r="B427" s="334" t="str">
        <f>'Llobet-Brossa 2002'!A9</f>
        <v>Wadden Sea intertidal</v>
      </c>
      <c r="C427" s="334">
        <f>'Llobet-Brossa 2002'!B9</f>
        <v>4.4999999999999998E-2</v>
      </c>
      <c r="D427" s="301">
        <f>'Llobet-Brossa 2002'!G9</f>
        <v>2550000000</v>
      </c>
      <c r="E427" s="301">
        <f>'Llobet-Brossa 2002'!H9</f>
        <v>950000000</v>
      </c>
      <c r="G427" s="301">
        <f>E427</f>
        <v>950000000</v>
      </c>
      <c r="H427" s="27">
        <f>G427/D427</f>
        <v>0.37254901960784315</v>
      </c>
      <c r="M427" s="27">
        <f>F427/G427</f>
        <v>0</v>
      </c>
      <c r="O427" s="229" t="s">
        <v>943</v>
      </c>
      <c r="P427" s="293">
        <f>'Llobet-Brossa 2002'!I9</f>
        <v>22.586696703581399</v>
      </c>
      <c r="Q427" s="301" t="b">
        <v>1</v>
      </c>
      <c r="R427" s="304" t="s">
        <v>460</v>
      </c>
      <c r="S427" s="304" t="s">
        <v>142</v>
      </c>
      <c r="T427" s="304" t="s">
        <v>47</v>
      </c>
      <c r="U427" s="304" t="s">
        <v>47</v>
      </c>
      <c r="V427" s="334"/>
      <c r="W427" s="334"/>
      <c r="X427" s="334"/>
      <c r="Y427" s="334"/>
      <c r="Z427" s="334"/>
      <c r="AH427" s="334"/>
      <c r="AQ427" s="322">
        <v>0.5</v>
      </c>
      <c r="AR427" s="323" t="s">
        <v>162</v>
      </c>
      <c r="AV427"/>
      <c r="AW427" s="334"/>
      <c r="AX427" s="334"/>
      <c r="AZ427" s="334"/>
    </row>
    <row r="428" spans="1:52">
      <c r="A428" s="277" t="s">
        <v>381</v>
      </c>
      <c r="B428" s="334" t="str">
        <f>'Llobet-Brossa 2002'!A10</f>
        <v>Wadden Sea intertidal</v>
      </c>
      <c r="C428" s="334">
        <f>'Llobet-Brossa 2002'!B10</f>
        <v>7.4999999999999997E-2</v>
      </c>
      <c r="D428" s="301">
        <f>'Llobet-Brossa 2002'!G10</f>
        <v>1700000000</v>
      </c>
      <c r="E428" s="301">
        <f>'Llobet-Brossa 2002'!H10</f>
        <v>430000000</v>
      </c>
      <c r="G428" s="301">
        <f>E428</f>
        <v>430000000</v>
      </c>
      <c r="H428" s="27">
        <f>G428/D428</f>
        <v>0.25294117647058822</v>
      </c>
      <c r="M428" s="27">
        <f>F428/G428</f>
        <v>0</v>
      </c>
      <c r="O428" s="229" t="s">
        <v>943</v>
      </c>
      <c r="P428" s="293">
        <f>'Llobet-Brossa 2002'!I10</f>
        <v>21.055810847180499</v>
      </c>
      <c r="Q428" s="301" t="b">
        <v>1</v>
      </c>
      <c r="R428" s="304" t="s">
        <v>460</v>
      </c>
      <c r="S428" s="304" t="s">
        <v>142</v>
      </c>
      <c r="T428" s="304" t="s">
        <v>47</v>
      </c>
      <c r="U428" s="304" t="s">
        <v>47</v>
      </c>
      <c r="V428" s="334"/>
      <c r="W428" s="334"/>
      <c r="X428" s="334"/>
      <c r="Y428" s="334"/>
      <c r="Z428" s="334"/>
      <c r="AG428" s="334"/>
      <c r="AH428" s="334"/>
      <c r="AQ428" s="322">
        <v>0.5</v>
      </c>
      <c r="AR428" s="323" t="s">
        <v>162</v>
      </c>
      <c r="AV428"/>
      <c r="AW428" s="334"/>
      <c r="AX428" s="334"/>
      <c r="AZ428" s="334"/>
    </row>
    <row r="429" spans="1:52">
      <c r="A429" s="277" t="s">
        <v>381</v>
      </c>
      <c r="B429" s="334" t="str">
        <f>'Llobet-Brossa 2002'!A11</f>
        <v>Wadden Sea intertidal</v>
      </c>
      <c r="C429" s="334">
        <f>'Llobet-Brossa 2002'!B11</f>
        <v>0.125</v>
      </c>
      <c r="D429" s="301">
        <f>'Llobet-Brossa 2002'!G11</f>
        <v>900000000</v>
      </c>
      <c r="E429" s="301">
        <f>'Llobet-Brossa 2002'!H11</f>
        <v>150000000</v>
      </c>
      <c r="G429" s="301">
        <f>E429</f>
        <v>150000000</v>
      </c>
      <c r="H429" s="336">
        <f>G429/D429</f>
        <v>0.16666666666666666</v>
      </c>
      <c r="M429" s="27">
        <f>F429/G429</f>
        <v>0</v>
      </c>
      <c r="O429" s="229" t="s">
        <v>943</v>
      </c>
      <c r="P429" s="293">
        <f>'Llobet-Brossa 2002'!I11</f>
        <v>18.469313503653201</v>
      </c>
      <c r="Q429" s="301" t="b">
        <v>1</v>
      </c>
      <c r="R429" s="304" t="s">
        <v>460</v>
      </c>
      <c r="S429" s="304" t="s">
        <v>142</v>
      </c>
      <c r="T429" s="304" t="s">
        <v>47</v>
      </c>
      <c r="U429" s="304" t="s">
        <v>47</v>
      </c>
      <c r="V429" s="334"/>
      <c r="W429" s="334"/>
      <c r="X429" s="334"/>
      <c r="Y429" s="334"/>
      <c r="Z429" s="334"/>
      <c r="AG429" s="334"/>
      <c r="AH429" s="334"/>
      <c r="AQ429" s="322">
        <v>0.5</v>
      </c>
      <c r="AR429" s="323" t="s">
        <v>162</v>
      </c>
      <c r="AV429"/>
      <c r="AW429" s="334"/>
      <c r="AX429" s="334"/>
      <c r="AZ429" s="334"/>
    </row>
    <row r="430" spans="1:52">
      <c r="A430" s="277" t="s">
        <v>381</v>
      </c>
      <c r="B430" s="334" t="str">
        <f>'Llobet-Brossa 2002'!A12</f>
        <v>Wadden Sea intertidal</v>
      </c>
      <c r="C430" s="334">
        <f>'Llobet-Brossa 2002'!B12</f>
        <v>0.17499999999999999</v>
      </c>
      <c r="D430" s="301">
        <f>'Llobet-Brossa 2002'!G12</f>
        <v>100000000</v>
      </c>
      <c r="E430" s="301">
        <f>'Llobet-Brossa 2002'!H12</f>
        <v>10000000</v>
      </c>
      <c r="G430" s="301">
        <f>E430</f>
        <v>10000000</v>
      </c>
      <c r="H430" s="27">
        <f>G430/D430</f>
        <v>0.1</v>
      </c>
      <c r="M430" s="27">
        <f>F430/G430</f>
        <v>0</v>
      </c>
      <c r="O430" s="229" t="s">
        <v>943</v>
      </c>
      <c r="P430" s="293">
        <f>'Llobet-Brossa 2002'!I12</f>
        <v>18.995025966646999</v>
      </c>
      <c r="Q430" s="301" t="b">
        <v>1</v>
      </c>
      <c r="R430" s="304" t="s">
        <v>460</v>
      </c>
      <c r="S430" s="304" t="s">
        <v>142</v>
      </c>
      <c r="T430" s="304" t="s">
        <v>47</v>
      </c>
      <c r="U430" s="304" t="s">
        <v>47</v>
      </c>
      <c r="V430" s="334"/>
      <c r="W430" s="334"/>
      <c r="X430" s="334"/>
      <c r="Y430" s="334"/>
      <c r="Z430" s="334"/>
      <c r="AG430" s="334"/>
      <c r="AH430" s="334"/>
      <c r="AQ430" s="322">
        <v>0.5</v>
      </c>
      <c r="AR430" s="323" t="s">
        <v>162</v>
      </c>
      <c r="AV430"/>
      <c r="AW430" s="334"/>
      <c r="AX430" s="334"/>
      <c r="AZ430" s="334"/>
    </row>
    <row r="431" spans="1:52">
      <c r="A431" s="277" t="s">
        <v>508</v>
      </c>
      <c r="B431" s="334" t="s">
        <v>511</v>
      </c>
      <c r="C431" s="334">
        <f>'FPT Losekann 2007 '!C12</f>
        <v>5.0000000000000001E-3</v>
      </c>
      <c r="D431" s="301">
        <f>'FPT Losekann 2007 '!D12</f>
        <v>10200000000</v>
      </c>
      <c r="E431" s="301">
        <f>'FPT Losekann 2007 '!F12</f>
        <v>5202000000</v>
      </c>
      <c r="G431" s="301">
        <f>E431+F431</f>
        <v>5202000000</v>
      </c>
      <c r="H431" s="27">
        <f>G431/D431</f>
        <v>0.51</v>
      </c>
      <c r="M431" s="27">
        <f>F431/G431</f>
        <v>0</v>
      </c>
      <c r="O431" s="229" t="s">
        <v>440</v>
      </c>
      <c r="P431" s="334"/>
      <c r="Q431" s="301" t="b">
        <v>1</v>
      </c>
      <c r="R431" s="304" t="s">
        <v>460</v>
      </c>
      <c r="S431" s="304" t="s">
        <v>141</v>
      </c>
      <c r="T431" s="304" t="s">
        <v>145</v>
      </c>
      <c r="U431" s="304" t="s">
        <v>1365</v>
      </c>
      <c r="V431" s="313">
        <v>0.35</v>
      </c>
      <c r="W431" s="313">
        <v>0.35</v>
      </c>
      <c r="X431" s="306" t="s">
        <v>248</v>
      </c>
      <c r="Y431" s="334">
        <v>50</v>
      </c>
      <c r="Z431" s="314" t="s">
        <v>100</v>
      </c>
      <c r="AB431" s="334" t="s">
        <v>1739</v>
      </c>
      <c r="AC431" s="334" t="s">
        <v>1702</v>
      </c>
      <c r="AG431" s="334"/>
      <c r="AH431" s="334"/>
      <c r="AP431" t="b">
        <v>1</v>
      </c>
      <c r="AQ431" s="322">
        <v>1250</v>
      </c>
      <c r="AR431" s="323" t="s">
        <v>1463</v>
      </c>
      <c r="AV431"/>
      <c r="AW431" s="334"/>
      <c r="AX431" s="334"/>
      <c r="AZ431" s="334"/>
    </row>
    <row r="432" spans="1:52">
      <c r="A432" s="277" t="s">
        <v>508</v>
      </c>
      <c r="B432" s="334" t="s">
        <v>511</v>
      </c>
      <c r="C432" s="334">
        <f>'FPT Losekann 2007 '!C13</f>
        <v>1.4999999999999999E-2</v>
      </c>
      <c r="D432" s="301">
        <f>'FPT Losekann 2007 '!D13</f>
        <v>19400000000</v>
      </c>
      <c r="E432" s="301">
        <f>'FPT Losekann 2007 '!F13</f>
        <v>7760000000</v>
      </c>
      <c r="F432" s="301">
        <f>'FPT Losekann 2007 '!H13</f>
        <v>388000000</v>
      </c>
      <c r="G432" s="301">
        <f>E432+F432</f>
        <v>8148000000</v>
      </c>
      <c r="H432" s="336">
        <f>G432/D432</f>
        <v>0.42</v>
      </c>
      <c r="M432" s="27">
        <f>F432/G432</f>
        <v>4.7619047619047616E-2</v>
      </c>
      <c r="O432" s="229" t="s">
        <v>440</v>
      </c>
      <c r="R432" s="304" t="s">
        <v>460</v>
      </c>
      <c r="S432" s="304" t="s">
        <v>141</v>
      </c>
      <c r="T432" s="304" t="s">
        <v>145</v>
      </c>
      <c r="U432" s="304" t="s">
        <v>1365</v>
      </c>
      <c r="V432" s="313">
        <v>0.35</v>
      </c>
      <c r="W432" s="313">
        <v>0.35</v>
      </c>
      <c r="X432" s="306" t="s">
        <v>248</v>
      </c>
      <c r="Y432" s="334">
        <v>50</v>
      </c>
      <c r="Z432" s="314" t="s">
        <v>100</v>
      </c>
      <c r="AB432" s="334" t="s">
        <v>1739</v>
      </c>
      <c r="AC432" s="334" t="s">
        <v>1702</v>
      </c>
      <c r="AG432" s="334"/>
      <c r="AH432" s="334"/>
      <c r="AP432" t="b">
        <v>1</v>
      </c>
      <c r="AQ432">
        <v>1250</v>
      </c>
      <c r="AR432" s="323" t="s">
        <v>1463</v>
      </c>
      <c r="AV432"/>
      <c r="AW432" s="334"/>
      <c r="AX432" s="334"/>
      <c r="AZ432" s="334"/>
    </row>
    <row r="433" spans="1:52">
      <c r="A433" s="277" t="s">
        <v>508</v>
      </c>
      <c r="B433" s="334" t="s">
        <v>511</v>
      </c>
      <c r="C433" s="334">
        <f>'FPT Losekann 2007 '!C14</f>
        <v>2.5000000000000001E-2</v>
      </c>
      <c r="D433" s="301">
        <f>'FPT Losekann 2007 '!D14</f>
        <v>8600000000</v>
      </c>
      <c r="E433" s="301">
        <f>'FPT Losekann 2007 '!F14</f>
        <v>3268000000</v>
      </c>
      <c r="F433" s="301">
        <f>'FPT Losekann 2007 '!H14</f>
        <v>172000000</v>
      </c>
      <c r="G433" s="301">
        <f>E433+F433</f>
        <v>3440000000</v>
      </c>
      <c r="H433" s="336">
        <f>G433/D433</f>
        <v>0.4</v>
      </c>
      <c r="M433" s="27">
        <f>F433/G433</f>
        <v>0.05</v>
      </c>
      <c r="O433" s="229" t="s">
        <v>440</v>
      </c>
      <c r="P433" s="303"/>
      <c r="R433" s="304" t="s">
        <v>460</v>
      </c>
      <c r="S433" s="304" t="s">
        <v>141</v>
      </c>
      <c r="T433" s="304" t="s">
        <v>145</v>
      </c>
      <c r="U433" s="304" t="s">
        <v>1365</v>
      </c>
      <c r="V433" s="313">
        <v>0.35</v>
      </c>
      <c r="W433" s="313">
        <v>0.35</v>
      </c>
      <c r="X433" s="306" t="s">
        <v>248</v>
      </c>
      <c r="Y433" s="334">
        <v>50</v>
      </c>
      <c r="Z433" s="314" t="s">
        <v>100</v>
      </c>
      <c r="AB433" s="334" t="s">
        <v>1739</v>
      </c>
      <c r="AC433" s="334" t="s">
        <v>1702</v>
      </c>
      <c r="AG433" s="334"/>
      <c r="AH433" s="334"/>
      <c r="AP433" t="b">
        <v>1</v>
      </c>
      <c r="AQ433" s="322">
        <v>1250</v>
      </c>
      <c r="AR433" s="323" t="s">
        <v>1463</v>
      </c>
      <c r="AT433"/>
      <c r="AU433"/>
      <c r="AV433"/>
      <c r="AW433" s="334"/>
      <c r="AX433" s="334"/>
      <c r="AZ433" s="334"/>
    </row>
    <row r="434" spans="1:52">
      <c r="A434" s="277" t="s">
        <v>508</v>
      </c>
      <c r="B434" s="334" t="s">
        <v>511</v>
      </c>
      <c r="C434" s="334">
        <f>'FPT Losekann 2007 '!C15</f>
        <v>3.5000000000000003E-2</v>
      </c>
      <c r="D434" s="301">
        <f>'FPT Losekann 2007 '!D15</f>
        <v>1000000000</v>
      </c>
      <c r="E434" s="301">
        <f>'FPT Losekann 2007 '!F15</f>
        <v>420000000</v>
      </c>
      <c r="F434" s="301">
        <f>'FPT Losekann 2007 '!H15</f>
        <v>40000000</v>
      </c>
      <c r="G434" s="301">
        <f>E434+F434</f>
        <v>460000000</v>
      </c>
      <c r="H434" s="336">
        <f>G434/D434</f>
        <v>0.46</v>
      </c>
      <c r="M434" s="27">
        <f>F434/G434</f>
        <v>8.6956521739130432E-2</v>
      </c>
      <c r="O434" s="229" t="s">
        <v>440</v>
      </c>
      <c r="P434" s="303"/>
      <c r="R434" s="304" t="s">
        <v>460</v>
      </c>
      <c r="S434" s="304" t="s">
        <v>141</v>
      </c>
      <c r="T434" s="304" t="s">
        <v>145</v>
      </c>
      <c r="U434" s="304" t="s">
        <v>1365</v>
      </c>
      <c r="V434" s="313">
        <v>0.35</v>
      </c>
      <c r="W434" s="313">
        <v>0.35</v>
      </c>
      <c r="X434" s="306" t="s">
        <v>248</v>
      </c>
      <c r="Y434" s="334">
        <v>50</v>
      </c>
      <c r="Z434" s="314" t="s">
        <v>100</v>
      </c>
      <c r="AB434" s="334" t="s">
        <v>1739</v>
      </c>
      <c r="AC434" s="334" t="s">
        <v>1702</v>
      </c>
      <c r="AG434" s="334"/>
      <c r="AH434" s="334"/>
      <c r="AP434" t="b">
        <v>1</v>
      </c>
      <c r="AQ434" s="322">
        <v>1250</v>
      </c>
      <c r="AR434" s="323" t="s">
        <v>1463</v>
      </c>
      <c r="AT434"/>
      <c r="AU434"/>
      <c r="AV434"/>
      <c r="AW434" s="334"/>
      <c r="AX434" s="334"/>
      <c r="AZ434" s="334"/>
    </row>
    <row r="435" spans="1:52">
      <c r="A435" s="277" t="s">
        <v>508</v>
      </c>
      <c r="B435" s="334" t="s">
        <v>511</v>
      </c>
      <c r="C435" s="334">
        <f>'FPT Losekann 2007 '!C16</f>
        <v>4.5000000000000005E-2</v>
      </c>
      <c r="D435" s="301">
        <f>'FPT Losekann 2007 '!D16</f>
        <v>700000000</v>
      </c>
      <c r="E435" s="301">
        <f>'FPT Losekann 2007 '!F16</f>
        <v>245000000</v>
      </c>
      <c r="F435" s="301">
        <f>'FPT Losekann 2007 '!H16</f>
        <v>28000000</v>
      </c>
      <c r="G435" s="301">
        <f>E435+F435</f>
        <v>273000000</v>
      </c>
      <c r="H435" s="27">
        <f>G435/D435</f>
        <v>0.39</v>
      </c>
      <c r="M435" s="27">
        <f>F435/G435</f>
        <v>0.10256410256410256</v>
      </c>
      <c r="O435" s="229" t="s">
        <v>440</v>
      </c>
      <c r="P435" s="293"/>
      <c r="R435" s="304" t="s">
        <v>460</v>
      </c>
      <c r="S435" s="304" t="s">
        <v>141</v>
      </c>
      <c r="T435" s="304" t="s">
        <v>145</v>
      </c>
      <c r="U435" s="304" t="s">
        <v>1365</v>
      </c>
      <c r="V435" s="313">
        <v>0.35</v>
      </c>
      <c r="W435" s="313">
        <v>0.35</v>
      </c>
      <c r="X435" s="306" t="s">
        <v>248</v>
      </c>
      <c r="Y435" s="334">
        <v>50</v>
      </c>
      <c r="Z435" s="314" t="s">
        <v>100</v>
      </c>
      <c r="AB435" s="334" t="s">
        <v>1739</v>
      </c>
      <c r="AC435" s="334" t="s">
        <v>1702</v>
      </c>
      <c r="AG435" s="334"/>
      <c r="AH435" s="334"/>
      <c r="AP435" t="b">
        <v>1</v>
      </c>
      <c r="AQ435" s="322">
        <v>1250</v>
      </c>
      <c r="AR435" s="323" t="s">
        <v>1463</v>
      </c>
      <c r="AT435"/>
      <c r="AU435"/>
      <c r="AV435"/>
      <c r="AW435" s="334"/>
      <c r="AX435" s="334"/>
      <c r="AZ435" s="334"/>
    </row>
    <row r="436" spans="1:52">
      <c r="A436" s="277" t="s">
        <v>508</v>
      </c>
      <c r="B436" s="334" t="s">
        <v>511</v>
      </c>
      <c r="C436" s="334">
        <f>'FPT Losekann 2007 '!C17</f>
        <v>6.5000000000000002E-2</v>
      </c>
      <c r="D436" s="301">
        <f>'FPT Losekann 2007 '!D17</f>
        <v>600000000</v>
      </c>
      <c r="E436" s="301">
        <f>'FPT Losekann 2007 '!F17</f>
        <v>192000000</v>
      </c>
      <c r="F436" s="301">
        <f>'FPT Losekann 2007 '!H17</f>
        <v>36000000</v>
      </c>
      <c r="G436" s="301">
        <f>E436+F436</f>
        <v>228000000</v>
      </c>
      <c r="H436" s="27">
        <f>G436/D436</f>
        <v>0.38</v>
      </c>
      <c r="M436" s="27">
        <f>F436/G436</f>
        <v>0.15789473684210525</v>
      </c>
      <c r="O436" s="229" t="s">
        <v>440</v>
      </c>
      <c r="P436">
        <v>1.33</v>
      </c>
      <c r="R436" s="304" t="s">
        <v>460</v>
      </c>
      <c r="S436" s="304" t="s">
        <v>141</v>
      </c>
      <c r="T436" s="304" t="s">
        <v>145</v>
      </c>
      <c r="U436" s="304" t="s">
        <v>1365</v>
      </c>
      <c r="V436" s="313">
        <v>0.35</v>
      </c>
      <c r="W436" s="313">
        <v>0.35</v>
      </c>
      <c r="X436" s="306" t="s">
        <v>248</v>
      </c>
      <c r="Y436" s="334">
        <v>50</v>
      </c>
      <c r="Z436" s="314" t="s">
        <v>100</v>
      </c>
      <c r="AB436" s="334" t="s">
        <v>1739</v>
      </c>
      <c r="AC436" s="334" t="s">
        <v>1702</v>
      </c>
      <c r="AG436" s="334"/>
      <c r="AH436" s="334"/>
      <c r="AP436" t="b">
        <v>1</v>
      </c>
      <c r="AQ436" s="322">
        <v>1250</v>
      </c>
      <c r="AR436" s="323" t="s">
        <v>1463</v>
      </c>
      <c r="AT436"/>
      <c r="AU436"/>
      <c r="AV436"/>
      <c r="AW436" s="334"/>
      <c r="AX436" s="334"/>
      <c r="AZ436" s="334"/>
    </row>
    <row r="437" spans="1:52">
      <c r="A437" s="277" t="s">
        <v>508</v>
      </c>
      <c r="B437" s="334" t="s">
        <v>511</v>
      </c>
      <c r="C437" s="334">
        <f>'FPT Losekann 2007 '!C18</f>
        <v>7.4999999999999997E-2</v>
      </c>
      <c r="D437" s="301">
        <f>'FPT Losekann 2007 '!D18</f>
        <v>200000000</v>
      </c>
      <c r="E437" s="301">
        <f>'FPT Losekann 2007 '!F18</f>
        <v>66000000</v>
      </c>
      <c r="F437" s="301">
        <f>'FPT Losekann 2007 '!H18</f>
        <v>14000000</v>
      </c>
      <c r="G437" s="301">
        <f>E437+F437</f>
        <v>80000000</v>
      </c>
      <c r="H437" s="27">
        <f>G437/D437</f>
        <v>0.4</v>
      </c>
      <c r="M437" s="27">
        <f>F437/G437</f>
        <v>0.17499999999999999</v>
      </c>
      <c r="O437" s="229" t="s">
        <v>440</v>
      </c>
      <c r="P437" s="304"/>
      <c r="R437" s="304" t="s">
        <v>460</v>
      </c>
      <c r="S437" s="304" t="s">
        <v>141</v>
      </c>
      <c r="T437" s="304" t="s">
        <v>145</v>
      </c>
      <c r="U437" s="304" t="s">
        <v>1365</v>
      </c>
      <c r="V437" s="313">
        <v>0.35</v>
      </c>
      <c r="W437" s="313">
        <v>0.35</v>
      </c>
      <c r="X437" s="306" t="s">
        <v>248</v>
      </c>
      <c r="Y437" s="334">
        <v>50</v>
      </c>
      <c r="Z437" s="314" t="s">
        <v>100</v>
      </c>
      <c r="AB437" s="334" t="s">
        <v>1739</v>
      </c>
      <c r="AC437" s="334" t="s">
        <v>1702</v>
      </c>
      <c r="AG437" s="334"/>
      <c r="AH437" s="334"/>
      <c r="AP437" t="b">
        <v>1</v>
      </c>
      <c r="AQ437" s="322">
        <v>1250</v>
      </c>
      <c r="AR437" s="323" t="s">
        <v>1463</v>
      </c>
      <c r="AT437"/>
      <c r="AU437"/>
      <c r="AV437"/>
      <c r="AW437" s="334"/>
      <c r="AX437" s="334"/>
      <c r="AZ437" s="334"/>
    </row>
    <row r="438" spans="1:52">
      <c r="A438" s="277" t="s">
        <v>508</v>
      </c>
      <c r="B438" s="334" t="s">
        <v>511</v>
      </c>
      <c r="C438" s="334">
        <f>'FPT Losekann 2007 '!C19</f>
        <v>8.4999999999999992E-2</v>
      </c>
      <c r="D438" s="301">
        <f>'FPT Losekann 2007 '!D19</f>
        <v>200000000</v>
      </c>
      <c r="E438" s="301">
        <f>'FPT Losekann 2007 '!F19</f>
        <v>60000000</v>
      </c>
      <c r="F438" s="301">
        <f>'FPT Losekann 2007 '!H19</f>
        <v>44000000</v>
      </c>
      <c r="G438" s="301">
        <f>E438+F438</f>
        <v>104000000</v>
      </c>
      <c r="H438" s="27">
        <f>G438/D438</f>
        <v>0.52</v>
      </c>
      <c r="M438" s="27">
        <f>F438/G438</f>
        <v>0.42307692307692307</v>
      </c>
      <c r="O438" s="229" t="s">
        <v>440</v>
      </c>
      <c r="P438" s="293"/>
      <c r="R438" s="304" t="s">
        <v>460</v>
      </c>
      <c r="S438" s="304" t="s">
        <v>141</v>
      </c>
      <c r="T438" s="304" t="s">
        <v>145</v>
      </c>
      <c r="U438" s="304" t="s">
        <v>1365</v>
      </c>
      <c r="V438" s="313">
        <v>0.35</v>
      </c>
      <c r="W438" s="313">
        <v>0.35</v>
      </c>
      <c r="X438" s="306" t="s">
        <v>248</v>
      </c>
      <c r="Y438" s="334">
        <v>50</v>
      </c>
      <c r="Z438" s="314" t="s">
        <v>100</v>
      </c>
      <c r="AB438" s="334" t="s">
        <v>1739</v>
      </c>
      <c r="AC438" s="334" t="s">
        <v>1702</v>
      </c>
      <c r="AG438" s="334"/>
      <c r="AH438" s="334"/>
      <c r="AP438" t="b">
        <v>1</v>
      </c>
      <c r="AQ438" s="322">
        <v>1250</v>
      </c>
      <c r="AR438" s="323" t="s">
        <v>1463</v>
      </c>
      <c r="AT438"/>
      <c r="AU438"/>
      <c r="AV438"/>
      <c r="AW438" s="334"/>
      <c r="AX438" s="334"/>
      <c r="AZ438" s="334"/>
    </row>
    <row r="439" spans="1:52">
      <c r="A439" s="277" t="s">
        <v>508</v>
      </c>
      <c r="B439" s="334" t="s">
        <v>511</v>
      </c>
      <c r="C439" s="334">
        <f>'FPT Losekann 2007 '!C20</f>
        <v>9.4999999999999987E-2</v>
      </c>
      <c r="D439" s="301">
        <f>'FPT Losekann 2007 '!D20</f>
        <v>200000000</v>
      </c>
      <c r="E439" s="301">
        <f>'FPT Losekann 2007 '!F20</f>
        <v>54000000</v>
      </c>
      <c r="F439" s="301">
        <f>'FPT Losekann 2007 '!H20</f>
        <v>50000000</v>
      </c>
      <c r="G439" s="301">
        <f>E439+F439</f>
        <v>104000000</v>
      </c>
      <c r="H439" s="27">
        <f>G439/D439</f>
        <v>0.52</v>
      </c>
      <c r="M439" s="27">
        <f>F439/G439</f>
        <v>0.48076923076923078</v>
      </c>
      <c r="O439" s="229" t="s">
        <v>440</v>
      </c>
      <c r="P439" s="304"/>
      <c r="R439" s="304" t="s">
        <v>460</v>
      </c>
      <c r="S439" s="304" t="s">
        <v>141</v>
      </c>
      <c r="T439" s="304" t="s">
        <v>145</v>
      </c>
      <c r="U439" s="304" t="s">
        <v>1365</v>
      </c>
      <c r="V439" s="313">
        <v>0.35</v>
      </c>
      <c r="W439" s="313">
        <v>0.35</v>
      </c>
      <c r="X439" s="306" t="s">
        <v>248</v>
      </c>
      <c r="Y439" s="334">
        <v>50</v>
      </c>
      <c r="Z439" s="314" t="s">
        <v>100</v>
      </c>
      <c r="AB439" s="334" t="s">
        <v>1739</v>
      </c>
      <c r="AC439" s="334" t="s">
        <v>1702</v>
      </c>
      <c r="AG439" s="334"/>
      <c r="AH439" s="334"/>
      <c r="AP439" t="b">
        <v>1</v>
      </c>
      <c r="AQ439" s="322">
        <v>1250</v>
      </c>
      <c r="AR439" s="323" t="s">
        <v>1463</v>
      </c>
      <c r="AT439"/>
      <c r="AU439"/>
      <c r="AV439"/>
      <c r="AW439" s="334"/>
      <c r="AX439" s="334"/>
      <c r="AZ439" s="334"/>
    </row>
    <row r="440" spans="1:52">
      <c r="A440" s="277" t="s">
        <v>508</v>
      </c>
      <c r="B440" s="334" t="s">
        <v>510</v>
      </c>
      <c r="C440" s="334">
        <f>'FPT Losekann 2007 '!C4</f>
        <v>5.0000000000000001E-3</v>
      </c>
      <c r="D440" s="301">
        <f>'FPT Losekann 2007 '!D4</f>
        <v>3600000000</v>
      </c>
      <c r="E440" s="301">
        <f>'FPT Losekann 2007 '!F4</f>
        <v>3276000000</v>
      </c>
      <c r="G440" s="301">
        <f>E440+F440</f>
        <v>3276000000</v>
      </c>
      <c r="H440" s="27">
        <f>G440/D440</f>
        <v>0.91</v>
      </c>
      <c r="M440" s="27">
        <f>F440/G440</f>
        <v>0</v>
      </c>
      <c r="O440" s="229" t="s">
        <v>440</v>
      </c>
      <c r="P440" s="317"/>
      <c r="Q440" s="301" t="b">
        <v>1</v>
      </c>
      <c r="R440" s="304" t="s">
        <v>460</v>
      </c>
      <c r="S440" s="304" t="s">
        <v>141</v>
      </c>
      <c r="T440" s="304" t="s">
        <v>145</v>
      </c>
      <c r="U440" s="304" t="s">
        <v>1365</v>
      </c>
      <c r="V440" s="313">
        <v>0.35</v>
      </c>
      <c r="W440" s="313">
        <v>0.35</v>
      </c>
      <c r="X440" s="306" t="s">
        <v>248</v>
      </c>
      <c r="Y440" s="334">
        <v>50</v>
      </c>
      <c r="Z440" s="314" t="s">
        <v>100</v>
      </c>
      <c r="AB440" s="334" t="s">
        <v>1739</v>
      </c>
      <c r="AC440" s="334" t="s">
        <v>1702</v>
      </c>
      <c r="AG440" s="334"/>
      <c r="AH440" s="334"/>
      <c r="AP440" t="b">
        <v>1</v>
      </c>
      <c r="AQ440" s="322">
        <v>1250</v>
      </c>
      <c r="AR440" s="323" t="s">
        <v>1463</v>
      </c>
      <c r="AT440"/>
      <c r="AU440"/>
      <c r="AV440"/>
      <c r="AW440" s="334"/>
      <c r="AX440" s="334"/>
      <c r="AZ440" s="334"/>
    </row>
    <row r="441" spans="1:52">
      <c r="A441" s="277" t="s">
        <v>508</v>
      </c>
      <c r="B441" s="334" t="s">
        <v>510</v>
      </c>
      <c r="C441" s="334">
        <f>'FPT Losekann 2007 '!C5</f>
        <v>1.4999999999999999E-2</v>
      </c>
      <c r="D441" s="301">
        <f>'FPT Losekann 2007 '!D5</f>
        <v>1100000000</v>
      </c>
      <c r="E441" s="301">
        <f>'FPT Losekann 2007 '!F5</f>
        <v>1067000000</v>
      </c>
      <c r="G441" s="301">
        <f>E441+F441</f>
        <v>1067000000</v>
      </c>
      <c r="H441" s="27">
        <f>G441/D441</f>
        <v>0.97</v>
      </c>
      <c r="M441" s="27">
        <f>F441/G441</f>
        <v>0</v>
      </c>
      <c r="O441" s="229" t="s">
        <v>440</v>
      </c>
      <c r="P441" s="293"/>
      <c r="Q441" s="301" t="b">
        <v>1</v>
      </c>
      <c r="R441" s="304" t="s">
        <v>460</v>
      </c>
      <c r="S441" s="304" t="s">
        <v>141</v>
      </c>
      <c r="T441" s="304" t="s">
        <v>145</v>
      </c>
      <c r="U441" s="304" t="s">
        <v>1365</v>
      </c>
      <c r="V441" s="313">
        <v>0.35</v>
      </c>
      <c r="W441" s="313">
        <v>0.35</v>
      </c>
      <c r="X441" s="306" t="s">
        <v>248</v>
      </c>
      <c r="Y441" s="334">
        <v>50</v>
      </c>
      <c r="Z441" s="314" t="s">
        <v>100</v>
      </c>
      <c r="AB441" s="334" t="s">
        <v>1739</v>
      </c>
      <c r="AC441" s="334" t="s">
        <v>1702</v>
      </c>
      <c r="AG441" s="334"/>
      <c r="AH441" s="334"/>
      <c r="AP441" t="b">
        <v>1</v>
      </c>
      <c r="AQ441" s="322">
        <v>1250</v>
      </c>
      <c r="AR441" s="323" t="s">
        <v>1463</v>
      </c>
      <c r="AT441"/>
      <c r="AU441"/>
      <c r="AV441"/>
      <c r="AW441" s="334"/>
      <c r="AX441" s="334"/>
      <c r="AZ441" s="334"/>
    </row>
    <row r="442" spans="1:52">
      <c r="A442" s="277" t="s">
        <v>508</v>
      </c>
      <c r="B442" s="334" t="s">
        <v>510</v>
      </c>
      <c r="C442" s="334">
        <f>'FPT Losekann 2007 '!C6</f>
        <v>2.5000000000000001E-2</v>
      </c>
      <c r="D442" s="301">
        <f>'FPT Losekann 2007 '!D6</f>
        <v>300000000</v>
      </c>
      <c r="E442" s="301">
        <f>'FPT Losekann 2007 '!F6</f>
        <v>267000000</v>
      </c>
      <c r="F442" s="301">
        <f>'FPT Losekann 2007 '!H6</f>
        <v>18000000</v>
      </c>
      <c r="G442" s="301">
        <f>E442+F442</f>
        <v>285000000</v>
      </c>
      <c r="H442" s="27">
        <f>G442/D442</f>
        <v>0.95</v>
      </c>
      <c r="M442" s="27">
        <f>F442/G442</f>
        <v>6.3157894736842107E-2</v>
      </c>
      <c r="O442" s="229" t="s">
        <v>440</v>
      </c>
      <c r="P442" s="327"/>
      <c r="R442" s="304" t="s">
        <v>460</v>
      </c>
      <c r="S442" s="304" t="s">
        <v>141</v>
      </c>
      <c r="T442" s="304" t="s">
        <v>145</v>
      </c>
      <c r="U442" s="304" t="s">
        <v>1365</v>
      </c>
      <c r="V442" s="313">
        <v>0.35</v>
      </c>
      <c r="W442" s="313">
        <v>0.35</v>
      </c>
      <c r="X442" s="306" t="s">
        <v>248</v>
      </c>
      <c r="Y442" s="334">
        <v>50</v>
      </c>
      <c r="Z442" s="314" t="s">
        <v>100</v>
      </c>
      <c r="AB442" s="334" t="s">
        <v>1739</v>
      </c>
      <c r="AC442" s="334" t="s">
        <v>1702</v>
      </c>
      <c r="AG442" s="334"/>
      <c r="AH442" s="334"/>
      <c r="AP442" t="b">
        <v>1</v>
      </c>
      <c r="AQ442" s="322">
        <v>1250</v>
      </c>
      <c r="AR442" s="323" t="s">
        <v>1463</v>
      </c>
      <c r="AT442"/>
      <c r="AU442"/>
      <c r="AV442"/>
      <c r="AW442" s="334"/>
      <c r="AX442" s="334"/>
      <c r="AZ442" s="334"/>
    </row>
    <row r="443" spans="1:52">
      <c r="A443" s="277" t="s">
        <v>508</v>
      </c>
      <c r="B443" s="334" t="s">
        <v>510</v>
      </c>
      <c r="C443" s="334">
        <f>'FPT Losekann 2007 '!C7</f>
        <v>3.5000000000000003E-2</v>
      </c>
      <c r="D443" s="301">
        <f>'FPT Losekann 2007 '!D7</f>
        <v>100000000</v>
      </c>
      <c r="E443" s="301">
        <f>'FPT Losekann 2007 '!F7</f>
        <v>90000000</v>
      </c>
      <c r="F443" s="301">
        <f>'FPT Losekann 2007 '!H7</f>
        <v>9000000</v>
      </c>
      <c r="G443" s="301">
        <f>E443+F443</f>
        <v>99000000</v>
      </c>
      <c r="H443" s="27">
        <f>G443/D443</f>
        <v>0.99</v>
      </c>
      <c r="M443" s="27">
        <f>F443/G443</f>
        <v>9.0909090909090912E-2</v>
      </c>
      <c r="O443" s="229" t="s">
        <v>440</v>
      </c>
      <c r="R443" s="304" t="s">
        <v>460</v>
      </c>
      <c r="S443" s="304" t="s">
        <v>141</v>
      </c>
      <c r="T443" s="304" t="s">
        <v>145</v>
      </c>
      <c r="U443" s="304" t="s">
        <v>1365</v>
      </c>
      <c r="V443" s="313">
        <v>0.35</v>
      </c>
      <c r="W443" s="313">
        <v>0.35</v>
      </c>
      <c r="X443" s="306" t="s">
        <v>248</v>
      </c>
      <c r="Y443" s="334">
        <v>50</v>
      </c>
      <c r="Z443" s="314" t="s">
        <v>100</v>
      </c>
      <c r="AB443" s="334" t="s">
        <v>1739</v>
      </c>
      <c r="AC443" s="334" t="s">
        <v>1702</v>
      </c>
      <c r="AG443" s="334"/>
      <c r="AH443" s="334"/>
      <c r="AP443" t="b">
        <v>1</v>
      </c>
      <c r="AQ443" s="322">
        <v>1250</v>
      </c>
      <c r="AR443" s="323" t="s">
        <v>1463</v>
      </c>
      <c r="AT443"/>
      <c r="AU443"/>
      <c r="AV443"/>
      <c r="AW443" s="334"/>
      <c r="AX443" s="334"/>
      <c r="AZ443" s="334"/>
    </row>
    <row r="444" spans="1:52">
      <c r="A444" s="277" t="s">
        <v>508</v>
      </c>
      <c r="B444" s="334" t="s">
        <v>510</v>
      </c>
      <c r="C444" s="334">
        <f>'FPT Losekann 2007 '!C8</f>
        <v>4.5000000000000005E-2</v>
      </c>
      <c r="D444" s="301">
        <f>'FPT Losekann 2007 '!D8</f>
        <v>100000000</v>
      </c>
      <c r="E444" s="301">
        <f>'FPT Losekann 2007 '!F8</f>
        <v>83000000</v>
      </c>
      <c r="F444" s="301">
        <f>'FPT Losekann 2007 '!H8</f>
        <v>8000000</v>
      </c>
      <c r="G444" s="301">
        <f>E444+F444</f>
        <v>91000000</v>
      </c>
      <c r="H444" s="27">
        <f>G444/D444</f>
        <v>0.91</v>
      </c>
      <c r="M444" s="27">
        <f>F444/G444</f>
        <v>8.7912087912087919E-2</v>
      </c>
      <c r="O444" s="229" t="s">
        <v>440</v>
      </c>
      <c r="R444" s="304" t="s">
        <v>460</v>
      </c>
      <c r="S444" s="304" t="s">
        <v>141</v>
      </c>
      <c r="T444" s="304" t="s">
        <v>145</v>
      </c>
      <c r="U444" s="304" t="s">
        <v>1365</v>
      </c>
      <c r="V444" s="313">
        <v>0.35</v>
      </c>
      <c r="W444" s="313">
        <v>0.35</v>
      </c>
      <c r="X444" s="306" t="s">
        <v>248</v>
      </c>
      <c r="Y444" s="334">
        <v>50</v>
      </c>
      <c r="Z444" s="314" t="s">
        <v>100</v>
      </c>
      <c r="AB444" s="334" t="s">
        <v>1739</v>
      </c>
      <c r="AC444" s="334" t="s">
        <v>1702</v>
      </c>
      <c r="AG444" s="334"/>
      <c r="AH444" s="334"/>
      <c r="AP444" t="b">
        <v>1</v>
      </c>
      <c r="AQ444" s="322">
        <v>1250</v>
      </c>
      <c r="AR444" s="323" t="s">
        <v>1463</v>
      </c>
      <c r="AT444"/>
      <c r="AU444"/>
      <c r="AV444"/>
      <c r="AW444" s="334"/>
      <c r="AX444" s="334"/>
      <c r="AZ444" s="334"/>
    </row>
    <row r="445" spans="1:52">
      <c r="A445" s="277" t="s">
        <v>508</v>
      </c>
      <c r="B445" s="334" t="s">
        <v>512</v>
      </c>
      <c r="C445" s="334">
        <f>'FPT Losekann 2007 '!C21</f>
        <v>5.0000000000000001E-3</v>
      </c>
      <c r="D445" s="301">
        <f>'FPT Losekann 2007 '!D21</f>
        <v>800000000</v>
      </c>
      <c r="E445" s="301">
        <f>'FPT Losekann 2007 '!F21</f>
        <v>216000000</v>
      </c>
      <c r="G445" s="301">
        <f>E445+F445</f>
        <v>216000000</v>
      </c>
      <c r="H445" s="27">
        <f>G445/D445</f>
        <v>0.27</v>
      </c>
      <c r="M445" s="27">
        <f>F445/G445</f>
        <v>0</v>
      </c>
      <c r="O445" s="229" t="s">
        <v>440</v>
      </c>
      <c r="Q445" s="301" t="b">
        <v>1</v>
      </c>
      <c r="R445" s="304" t="s">
        <v>460</v>
      </c>
      <c r="S445" s="304" t="s">
        <v>141</v>
      </c>
      <c r="T445" s="304" t="s">
        <v>145</v>
      </c>
      <c r="U445" s="304" t="s">
        <v>1365</v>
      </c>
      <c r="V445" s="313">
        <v>0.35</v>
      </c>
      <c r="W445" s="313">
        <v>0.35</v>
      </c>
      <c r="X445" s="306" t="s">
        <v>248</v>
      </c>
      <c r="Y445" s="334">
        <v>50</v>
      </c>
      <c r="Z445" s="314" t="s">
        <v>100</v>
      </c>
      <c r="AB445" s="334" t="s">
        <v>1739</v>
      </c>
      <c r="AC445" s="334" t="s">
        <v>1702</v>
      </c>
      <c r="AG445" s="334"/>
      <c r="AH445" s="334"/>
      <c r="AP445" t="b">
        <v>1</v>
      </c>
      <c r="AQ445" s="322">
        <v>1250</v>
      </c>
      <c r="AR445" s="323" t="s">
        <v>1463</v>
      </c>
      <c r="AT445"/>
      <c r="AU445"/>
      <c r="AV445"/>
      <c r="AW445" s="334"/>
      <c r="AX445" s="334"/>
      <c r="AZ445" s="334"/>
    </row>
    <row r="446" spans="1:52">
      <c r="A446" s="277" t="s">
        <v>508</v>
      </c>
      <c r="B446" s="334" t="s">
        <v>512</v>
      </c>
      <c r="C446" s="334">
        <f>'FPT Losekann 2007 '!C22</f>
        <v>1.4999999999999999E-2</v>
      </c>
      <c r="D446" s="301">
        <f>'FPT Losekann 2007 '!D22</f>
        <v>900000000</v>
      </c>
      <c r="E446" s="301">
        <f>'FPT Losekann 2007 '!F22</f>
        <v>198000000</v>
      </c>
      <c r="F446" s="301">
        <f>'FPT Losekann 2007 '!H22</f>
        <v>18000000</v>
      </c>
      <c r="G446" s="301">
        <f>E446+F446</f>
        <v>216000000</v>
      </c>
      <c r="H446" s="27">
        <f>G446/D446</f>
        <v>0.24</v>
      </c>
      <c r="M446" s="27">
        <f>F446/G446</f>
        <v>8.3333333333333329E-2</v>
      </c>
      <c r="O446" s="229" t="s">
        <v>440</v>
      </c>
      <c r="P446" s="304"/>
      <c r="R446" s="304" t="s">
        <v>460</v>
      </c>
      <c r="S446" s="304" t="s">
        <v>141</v>
      </c>
      <c r="T446" s="304" t="s">
        <v>145</v>
      </c>
      <c r="U446" s="304" t="s">
        <v>1365</v>
      </c>
      <c r="V446" s="313">
        <v>0.35</v>
      </c>
      <c r="W446" s="313">
        <v>0.35</v>
      </c>
      <c r="X446" s="306" t="s">
        <v>248</v>
      </c>
      <c r="Y446" s="334">
        <v>50</v>
      </c>
      <c r="Z446" s="314" t="s">
        <v>100</v>
      </c>
      <c r="AB446" s="334" t="s">
        <v>1739</v>
      </c>
      <c r="AC446" s="334" t="s">
        <v>1702</v>
      </c>
      <c r="AG446" s="334"/>
      <c r="AH446" s="334"/>
      <c r="AP446" t="b">
        <v>1</v>
      </c>
      <c r="AQ446" s="322">
        <v>1250</v>
      </c>
      <c r="AR446" s="323" t="s">
        <v>1463</v>
      </c>
      <c r="AT446"/>
      <c r="AU446"/>
      <c r="AV446"/>
      <c r="AW446" s="334"/>
      <c r="AX446" s="334"/>
      <c r="AZ446" s="334"/>
    </row>
    <row r="447" spans="1:52">
      <c r="A447" s="277" t="s">
        <v>508</v>
      </c>
      <c r="B447" s="334" t="s">
        <v>512</v>
      </c>
      <c r="C447" s="334">
        <f>'FPT Losekann 2007 '!C23</f>
        <v>2.5000000000000001E-2</v>
      </c>
      <c r="D447" s="301">
        <f>'FPT Losekann 2007 '!D23</f>
        <v>1600000000</v>
      </c>
      <c r="E447" s="301">
        <f>'FPT Losekann 2007 '!F23</f>
        <v>448000000</v>
      </c>
      <c r="F447" s="301">
        <f>'FPT Losekann 2007 '!H23</f>
        <v>48000000</v>
      </c>
      <c r="G447" s="301">
        <f>E447+F447</f>
        <v>496000000</v>
      </c>
      <c r="H447" s="27">
        <f>G447/D447</f>
        <v>0.31</v>
      </c>
      <c r="M447" s="27">
        <f>F447/G447</f>
        <v>9.6774193548387094E-2</v>
      </c>
      <c r="O447" s="229" t="s">
        <v>440</v>
      </c>
      <c r="P447" s="334"/>
      <c r="R447" s="304" t="s">
        <v>460</v>
      </c>
      <c r="S447" s="304" t="s">
        <v>141</v>
      </c>
      <c r="T447" s="304" t="s">
        <v>145</v>
      </c>
      <c r="U447" s="304" t="s">
        <v>1365</v>
      </c>
      <c r="V447" s="313">
        <v>0.35</v>
      </c>
      <c r="W447" s="313">
        <v>0.35</v>
      </c>
      <c r="X447" s="306" t="s">
        <v>248</v>
      </c>
      <c r="Y447" s="334">
        <v>50</v>
      </c>
      <c r="Z447" s="314" t="s">
        <v>100</v>
      </c>
      <c r="AB447" s="334" t="s">
        <v>1739</v>
      </c>
      <c r="AC447" s="334" t="s">
        <v>1702</v>
      </c>
      <c r="AG447" s="334"/>
      <c r="AH447" s="334"/>
      <c r="AP447" t="b">
        <v>1</v>
      </c>
      <c r="AQ447" s="322">
        <v>1250</v>
      </c>
      <c r="AR447" s="327" t="s">
        <v>1463</v>
      </c>
      <c r="AT447"/>
      <c r="AU447"/>
      <c r="AV447"/>
      <c r="AW447" s="334"/>
      <c r="AX447" s="334"/>
      <c r="AZ447" s="334"/>
    </row>
    <row r="448" spans="1:52">
      <c r="A448" s="277" t="s">
        <v>508</v>
      </c>
      <c r="B448" s="334" t="s">
        <v>512</v>
      </c>
      <c r="C448" s="334">
        <f>'FPT Losekann 2007 '!C24</f>
        <v>3.5000000000000003E-2</v>
      </c>
      <c r="D448" s="301">
        <f>'FPT Losekann 2007 '!D24</f>
        <v>3300000000</v>
      </c>
      <c r="E448" s="301">
        <f>'FPT Losekann 2007 '!F24</f>
        <v>594000000</v>
      </c>
      <c r="G448" s="301">
        <f>E448+F448</f>
        <v>594000000</v>
      </c>
      <c r="H448" s="27">
        <f>G448/D448</f>
        <v>0.18</v>
      </c>
      <c r="M448" s="27">
        <f>F448/G448</f>
        <v>0</v>
      </c>
      <c r="O448" s="229" t="s">
        <v>440</v>
      </c>
      <c r="P448" s="289"/>
      <c r="Q448" s="301" t="b">
        <v>1</v>
      </c>
      <c r="R448" s="304" t="s">
        <v>460</v>
      </c>
      <c r="S448" s="304" t="s">
        <v>141</v>
      </c>
      <c r="T448" s="304" t="s">
        <v>145</v>
      </c>
      <c r="U448" s="304" t="s">
        <v>1365</v>
      </c>
      <c r="V448" s="313">
        <v>0.35</v>
      </c>
      <c r="W448" s="313">
        <v>0.35</v>
      </c>
      <c r="X448" s="306" t="s">
        <v>248</v>
      </c>
      <c r="Y448" s="334">
        <v>50</v>
      </c>
      <c r="Z448" s="314" t="s">
        <v>100</v>
      </c>
      <c r="AB448" s="334" t="s">
        <v>1739</v>
      </c>
      <c r="AC448" s="334" t="s">
        <v>1702</v>
      </c>
      <c r="AG448" s="334"/>
      <c r="AH448" s="334"/>
      <c r="AP448" t="b">
        <v>1</v>
      </c>
      <c r="AQ448" s="322">
        <v>1250</v>
      </c>
      <c r="AR448" s="323" t="s">
        <v>1463</v>
      </c>
      <c r="AT448"/>
      <c r="AU448"/>
      <c r="AV448"/>
      <c r="AW448" s="334"/>
      <c r="AX448" s="334"/>
      <c r="AZ448" s="334"/>
    </row>
    <row r="449" spans="1:53">
      <c r="A449" s="277" t="s">
        <v>508</v>
      </c>
      <c r="B449" s="334" t="s">
        <v>512</v>
      </c>
      <c r="C449" s="334">
        <f>'FPT Losekann 2007 '!C25</f>
        <v>6.5000000000000002E-2</v>
      </c>
      <c r="D449" s="301">
        <f>'FPT Losekann 2007 '!D25</f>
        <v>2000000000</v>
      </c>
      <c r="E449" s="301">
        <f>'FPT Losekann 2007 '!F25</f>
        <v>240000000</v>
      </c>
      <c r="F449" s="301">
        <f>'FPT Losekann 2007 '!H25</f>
        <v>20000000</v>
      </c>
      <c r="G449" s="301">
        <f>E449+F449</f>
        <v>260000000</v>
      </c>
      <c r="H449" s="27">
        <f>G449/D449</f>
        <v>0.13</v>
      </c>
      <c r="M449" s="27">
        <f>F449/G449</f>
        <v>7.6923076923076927E-2</v>
      </c>
      <c r="O449" s="229" t="s">
        <v>440</v>
      </c>
      <c r="P449" s="289"/>
      <c r="R449" s="304" t="s">
        <v>460</v>
      </c>
      <c r="S449" s="304" t="s">
        <v>141</v>
      </c>
      <c r="T449" s="304" t="s">
        <v>145</v>
      </c>
      <c r="U449" s="304" t="s">
        <v>1365</v>
      </c>
      <c r="V449" s="313">
        <v>0.35</v>
      </c>
      <c r="W449" s="313">
        <v>0.35</v>
      </c>
      <c r="X449" s="306" t="s">
        <v>248</v>
      </c>
      <c r="Y449" s="334">
        <v>50</v>
      </c>
      <c r="Z449" s="314" t="s">
        <v>100</v>
      </c>
      <c r="AB449" s="334" t="s">
        <v>1739</v>
      </c>
      <c r="AC449" s="334" t="s">
        <v>1702</v>
      </c>
      <c r="AG449" s="334"/>
      <c r="AH449" s="334"/>
      <c r="AP449" t="b">
        <v>1</v>
      </c>
      <c r="AQ449" s="322">
        <v>1250</v>
      </c>
      <c r="AR449" s="323" t="s">
        <v>1463</v>
      </c>
      <c r="AT449"/>
      <c r="AU449"/>
      <c r="AV449"/>
      <c r="AW449" s="334"/>
      <c r="AX449" s="334"/>
      <c r="AZ449" s="334"/>
    </row>
    <row r="450" spans="1:53">
      <c r="A450" s="277" t="s">
        <v>508</v>
      </c>
      <c r="B450" s="334" t="s">
        <v>512</v>
      </c>
      <c r="C450" s="334">
        <f>'FPT Losekann 2007 '!C26</f>
        <v>7.4999999999999997E-2</v>
      </c>
      <c r="D450" s="301">
        <f>'FPT Losekann 2007 '!D26</f>
        <v>800000000</v>
      </c>
      <c r="E450" s="301">
        <f>'FPT Losekann 2007 '!F26</f>
        <v>128000000</v>
      </c>
      <c r="G450" s="301">
        <f>E450+F450</f>
        <v>128000000</v>
      </c>
      <c r="H450" s="27">
        <f>G450/D450</f>
        <v>0.16</v>
      </c>
      <c r="M450" s="27">
        <f>F450/G450</f>
        <v>0</v>
      </c>
      <c r="O450" s="229" t="s">
        <v>440</v>
      </c>
      <c r="P450" s="289"/>
      <c r="Q450" s="301" t="b">
        <v>1</v>
      </c>
      <c r="R450" s="304" t="s">
        <v>460</v>
      </c>
      <c r="S450" s="304" t="s">
        <v>141</v>
      </c>
      <c r="T450" s="304" t="s">
        <v>145</v>
      </c>
      <c r="U450" s="304" t="s">
        <v>1365</v>
      </c>
      <c r="V450" s="313">
        <v>0.35</v>
      </c>
      <c r="W450" s="313">
        <v>0.35</v>
      </c>
      <c r="X450" s="306" t="s">
        <v>248</v>
      </c>
      <c r="Y450" s="334">
        <v>50</v>
      </c>
      <c r="Z450" s="314" t="s">
        <v>100</v>
      </c>
      <c r="AB450" s="334" t="s">
        <v>1739</v>
      </c>
      <c r="AC450" s="334" t="s">
        <v>1702</v>
      </c>
      <c r="AG450" s="334"/>
      <c r="AH450" s="334"/>
      <c r="AP450" t="b">
        <v>1</v>
      </c>
      <c r="AQ450" s="322">
        <v>1250</v>
      </c>
      <c r="AR450" s="323" t="s">
        <v>1463</v>
      </c>
      <c r="AT450"/>
      <c r="AU450"/>
      <c r="AV450"/>
      <c r="AW450" s="334"/>
      <c r="AX450" s="334"/>
      <c r="AZ450" s="334"/>
    </row>
    <row r="451" spans="1:53">
      <c r="A451" s="277" t="s">
        <v>508</v>
      </c>
      <c r="B451" s="334" t="s">
        <v>512</v>
      </c>
      <c r="C451" s="334">
        <f>'FPT Losekann 2007 '!C27</f>
        <v>8.4999999999999992E-2</v>
      </c>
      <c r="D451" s="301">
        <f>'FPT Losekann 2007 '!D27</f>
        <v>800000000</v>
      </c>
      <c r="E451" s="301">
        <f>'FPT Losekann 2007 '!F27</f>
        <v>96000000</v>
      </c>
      <c r="G451" s="301">
        <f>E451+F451</f>
        <v>96000000</v>
      </c>
      <c r="H451" s="336">
        <f>G451/D451</f>
        <v>0.12</v>
      </c>
      <c r="M451" s="27">
        <f>F451/G451</f>
        <v>0</v>
      </c>
      <c r="O451" s="229" t="s">
        <v>440</v>
      </c>
      <c r="P451" s="301">
        <v>20000</v>
      </c>
      <c r="Q451" s="301" t="b">
        <v>1</v>
      </c>
      <c r="R451" s="304" t="s">
        <v>460</v>
      </c>
      <c r="S451" s="304" t="s">
        <v>141</v>
      </c>
      <c r="T451" s="304" t="s">
        <v>145</v>
      </c>
      <c r="U451" s="304" t="s">
        <v>1365</v>
      </c>
      <c r="V451" s="313">
        <v>0.35</v>
      </c>
      <c r="W451" s="313">
        <v>0.35</v>
      </c>
      <c r="X451" s="306" t="s">
        <v>248</v>
      </c>
      <c r="Y451" s="334">
        <v>50</v>
      </c>
      <c r="Z451" s="314" t="s">
        <v>100</v>
      </c>
      <c r="AB451" s="334" t="s">
        <v>1739</v>
      </c>
      <c r="AC451" s="334" t="s">
        <v>1702</v>
      </c>
      <c r="AG451" s="334"/>
      <c r="AH451" s="334"/>
      <c r="AP451" t="b">
        <v>1</v>
      </c>
      <c r="AQ451" s="322">
        <v>1250</v>
      </c>
      <c r="AR451" s="323" t="s">
        <v>1463</v>
      </c>
      <c r="AT451"/>
      <c r="AU451"/>
      <c r="AV451"/>
      <c r="AW451" s="334"/>
      <c r="AX451" s="334"/>
      <c r="AZ451" s="334"/>
    </row>
    <row r="452" spans="1:53">
      <c r="A452" s="277" t="s">
        <v>508</v>
      </c>
      <c r="B452" s="334" t="s">
        <v>512</v>
      </c>
      <c r="C452" s="334">
        <f>'FPT Losekann 2007 '!C28</f>
        <v>9.4999999999999987E-2</v>
      </c>
      <c r="D452" s="301">
        <f>'FPT Losekann 2007 '!D28</f>
        <v>600000000</v>
      </c>
      <c r="E452" s="301">
        <f>'FPT Losekann 2007 '!F28</f>
        <v>132000000</v>
      </c>
      <c r="F452" s="301">
        <f>'FPT Losekann 2007 '!H28</f>
        <v>6000000</v>
      </c>
      <c r="G452" s="301">
        <f>E452+F452</f>
        <v>138000000</v>
      </c>
      <c r="H452" s="27">
        <f>G452/D452</f>
        <v>0.23</v>
      </c>
      <c r="M452" s="27">
        <f>F452/G452</f>
        <v>4.3478260869565216E-2</v>
      </c>
      <c r="O452" s="229" t="s">
        <v>440</v>
      </c>
      <c r="P452" s="301">
        <v>200000000000</v>
      </c>
      <c r="R452" s="304" t="s">
        <v>460</v>
      </c>
      <c r="S452" s="304" t="s">
        <v>141</v>
      </c>
      <c r="T452" s="304" t="s">
        <v>145</v>
      </c>
      <c r="U452" s="304" t="s">
        <v>1365</v>
      </c>
      <c r="V452" s="313">
        <v>0.35</v>
      </c>
      <c r="W452" s="313">
        <v>0.35</v>
      </c>
      <c r="X452" s="306" t="s">
        <v>248</v>
      </c>
      <c r="Y452" s="334">
        <v>50</v>
      </c>
      <c r="Z452" s="314" t="s">
        <v>100</v>
      </c>
      <c r="AB452" s="334" t="s">
        <v>1739</v>
      </c>
      <c r="AC452" s="334" t="s">
        <v>1702</v>
      </c>
      <c r="AG452" s="334"/>
      <c r="AH452" s="334"/>
      <c r="AP452" t="b">
        <v>1</v>
      </c>
      <c r="AQ452">
        <v>1250</v>
      </c>
      <c r="AR452" s="323" t="s">
        <v>1463</v>
      </c>
      <c r="AT452"/>
      <c r="AU452"/>
      <c r="AV452"/>
      <c r="AW452" s="334"/>
      <c r="AX452" s="334"/>
      <c r="AZ452" s="334"/>
    </row>
    <row r="453" spans="1:53">
      <c r="A453" s="277" t="s">
        <v>508</v>
      </c>
      <c r="B453" s="334" t="s">
        <v>512</v>
      </c>
      <c r="C453" s="334">
        <f>'FPT Losekann 2007 '!C29</f>
        <v>0.125</v>
      </c>
      <c r="D453" s="301">
        <f>'FPT Losekann 2007 '!D29</f>
        <v>800000000</v>
      </c>
      <c r="E453" s="301">
        <f>'FPT Losekann 2007 '!F29</f>
        <v>144000000</v>
      </c>
      <c r="F453" s="301">
        <f>'FPT Losekann 2007 '!H29</f>
        <v>8000000</v>
      </c>
      <c r="G453" s="301">
        <f>E453+F453</f>
        <v>152000000</v>
      </c>
      <c r="H453" s="27">
        <f>G453/D453</f>
        <v>0.19</v>
      </c>
      <c r="M453" s="27">
        <f>F453/G453</f>
        <v>5.2631578947368418E-2</v>
      </c>
      <c r="O453" s="229" t="s">
        <v>440</v>
      </c>
      <c r="P453" s="289"/>
      <c r="R453" s="304" t="s">
        <v>460</v>
      </c>
      <c r="S453" s="304" t="s">
        <v>141</v>
      </c>
      <c r="T453" s="304" t="s">
        <v>145</v>
      </c>
      <c r="U453" s="304" t="s">
        <v>1365</v>
      </c>
      <c r="V453" s="313">
        <v>0.35</v>
      </c>
      <c r="W453" s="313">
        <v>0.35</v>
      </c>
      <c r="X453" s="306" t="s">
        <v>248</v>
      </c>
      <c r="Y453" s="334">
        <v>50</v>
      </c>
      <c r="Z453" s="314" t="s">
        <v>100</v>
      </c>
      <c r="AB453" s="334" t="s">
        <v>1739</v>
      </c>
      <c r="AC453" s="334" t="s">
        <v>1702</v>
      </c>
      <c r="AG453" s="334"/>
      <c r="AH453" s="334"/>
      <c r="AP453" t="b">
        <v>1</v>
      </c>
      <c r="AQ453" s="322">
        <v>1250</v>
      </c>
      <c r="AR453" s="323" t="s">
        <v>1463</v>
      </c>
      <c r="AT453"/>
      <c r="AU453"/>
      <c r="AV453"/>
      <c r="AW453" s="334"/>
      <c r="AX453" s="334"/>
      <c r="AZ453" s="334"/>
    </row>
    <row r="454" spans="1:53">
      <c r="A454" s="277" t="s">
        <v>508</v>
      </c>
      <c r="B454" s="334" t="s">
        <v>512</v>
      </c>
      <c r="C454" s="334">
        <f>'FPT Losekann 2007 '!C30</f>
        <v>0.13500000000000001</v>
      </c>
      <c r="D454" s="301">
        <f>'FPT Losekann 2007 '!D30</f>
        <v>900000000</v>
      </c>
      <c r="E454" s="301">
        <f>'FPT Losekann 2007 '!F30</f>
        <v>171000000</v>
      </c>
      <c r="G454" s="301">
        <f>E454+F454</f>
        <v>171000000</v>
      </c>
      <c r="H454" s="336">
        <f>G454/D454</f>
        <v>0.19</v>
      </c>
      <c r="M454" s="27">
        <f>F454/G454</f>
        <v>0</v>
      </c>
      <c r="O454" s="229" t="s">
        <v>440</v>
      </c>
      <c r="P454" s="326"/>
      <c r="Q454" s="301" t="b">
        <v>1</v>
      </c>
      <c r="R454" s="304" t="s">
        <v>460</v>
      </c>
      <c r="S454" s="304" t="s">
        <v>141</v>
      </c>
      <c r="T454" s="304" t="s">
        <v>145</v>
      </c>
      <c r="U454" s="304" t="s">
        <v>1365</v>
      </c>
      <c r="V454" s="313">
        <v>0.35</v>
      </c>
      <c r="W454" s="313">
        <v>0.35</v>
      </c>
      <c r="X454" s="306" t="s">
        <v>248</v>
      </c>
      <c r="Y454" s="334">
        <v>50</v>
      </c>
      <c r="Z454" s="314" t="s">
        <v>100</v>
      </c>
      <c r="AB454" s="334" t="s">
        <v>1739</v>
      </c>
      <c r="AC454" s="334" t="s">
        <v>1702</v>
      </c>
      <c r="AG454" s="334"/>
      <c r="AH454" s="334"/>
      <c r="AP454" t="b">
        <v>1</v>
      </c>
      <c r="AQ454" s="322">
        <v>1250</v>
      </c>
      <c r="AR454" s="323" t="s">
        <v>1463</v>
      </c>
      <c r="AT454"/>
      <c r="AU454"/>
      <c r="AV454"/>
      <c r="AW454" s="334"/>
      <c r="AX454" s="334"/>
      <c r="AZ454" s="334"/>
    </row>
    <row r="455" spans="1:53">
      <c r="A455" s="334" t="s">
        <v>1279</v>
      </c>
      <c r="B455" s="334" t="s">
        <v>1542</v>
      </c>
      <c r="C455" s="334">
        <v>0.04</v>
      </c>
      <c r="D455" s="301">
        <f>'Magdalhes From Author'!G3</f>
        <v>22973195.043882001</v>
      </c>
      <c r="H455" s="336"/>
      <c r="I455" s="301">
        <f>'Magdalhes From Author'!B3</f>
        <v>22384527.083782401</v>
      </c>
      <c r="J455" s="301">
        <f>'Magdalhes From Author'!D3</f>
        <v>583476.45408826403</v>
      </c>
      <c r="K455" s="301">
        <f>I455+J455</f>
        <v>22968003.537870664</v>
      </c>
      <c r="N455" s="27">
        <f>(J455/K455)</f>
        <v>2.5403882106087374E-2</v>
      </c>
      <c r="O455" s="229"/>
      <c r="P455" s="293"/>
      <c r="R455" s="304" t="s">
        <v>460</v>
      </c>
      <c r="S455" s="304" t="s">
        <v>141</v>
      </c>
      <c r="T455" s="304"/>
      <c r="U455" s="304"/>
      <c r="V455" s="334"/>
      <c r="W455" s="334"/>
      <c r="X455" s="334"/>
      <c r="Y455" s="334"/>
      <c r="Z455" s="334"/>
      <c r="AA455" s="326" t="s">
        <v>1411</v>
      </c>
      <c r="AD455" s="326" t="s">
        <v>1721</v>
      </c>
      <c r="AE455" s="326" t="s">
        <v>1729</v>
      </c>
      <c r="AG455" s="334" t="s">
        <v>1706</v>
      </c>
      <c r="AH455" s="334" t="s">
        <v>1713</v>
      </c>
      <c r="AM455" s="326" t="s">
        <v>1484</v>
      </c>
      <c r="AN455" s="326" t="s">
        <v>1484</v>
      </c>
      <c r="AO455" s="326" t="s">
        <v>1485</v>
      </c>
      <c r="AQ455" s="322"/>
      <c r="AR455" s="323" t="s">
        <v>162</v>
      </c>
      <c r="AT455" t="s">
        <v>1563</v>
      </c>
      <c r="AU455" t="s">
        <v>1566</v>
      </c>
      <c r="AV455"/>
      <c r="AW455" s="334"/>
      <c r="AX455" s="334"/>
      <c r="AZ455" s="334"/>
    </row>
    <row r="456" spans="1:53">
      <c r="A456" s="334" t="s">
        <v>1279</v>
      </c>
      <c r="B456" s="334" t="s">
        <v>1542</v>
      </c>
      <c r="C456" s="334">
        <v>0.04</v>
      </c>
      <c r="D456" s="301">
        <f>'Magdalhes From Author'!G9</f>
        <v>55920577.928075999</v>
      </c>
      <c r="I456" s="301">
        <f>'Magdalhes From Author'!B9</f>
        <v>45737305.9343182</v>
      </c>
      <c r="J456" s="301">
        <f>'Magdalhes From Author'!D9</f>
        <v>2053669.6960408599</v>
      </c>
      <c r="K456" s="301">
        <f>I456+J456</f>
        <v>47790975.630359061</v>
      </c>
      <c r="N456" s="27">
        <f>(J456/K456)</f>
        <v>4.2971914026719994E-2</v>
      </c>
      <c r="O456" s="229"/>
      <c r="P456" s="289"/>
      <c r="R456" s="304" t="s">
        <v>460</v>
      </c>
      <c r="S456" s="304" t="s">
        <v>141</v>
      </c>
      <c r="T456" s="304"/>
      <c r="U456" s="304"/>
      <c r="V456" s="334"/>
      <c r="W456" s="334"/>
      <c r="X456" s="334"/>
      <c r="Y456" s="334"/>
      <c r="Z456" s="334"/>
      <c r="AA456" s="326" t="s">
        <v>1411</v>
      </c>
      <c r="AD456" s="326" t="s">
        <v>1721</v>
      </c>
      <c r="AE456" s="326" t="s">
        <v>1729</v>
      </c>
      <c r="AG456" s="334" t="s">
        <v>1706</v>
      </c>
      <c r="AH456" s="334" t="s">
        <v>1713</v>
      </c>
      <c r="AM456" s="326" t="s">
        <v>1484</v>
      </c>
      <c r="AN456" s="326" t="s">
        <v>1484</v>
      </c>
      <c r="AO456" s="326" t="s">
        <v>1485</v>
      </c>
      <c r="AQ456" s="322"/>
      <c r="AR456" s="323" t="s">
        <v>162</v>
      </c>
      <c r="AT456" t="s">
        <v>1563</v>
      </c>
      <c r="AU456" t="s">
        <v>1569</v>
      </c>
      <c r="AV456"/>
      <c r="AW456" s="334"/>
      <c r="AX456" s="334"/>
      <c r="AZ456" s="334"/>
    </row>
    <row r="457" spans="1:53">
      <c r="A457" s="334" t="s">
        <v>1279</v>
      </c>
      <c r="B457" s="334" t="s">
        <v>1542</v>
      </c>
      <c r="C457" s="334">
        <v>0.04</v>
      </c>
      <c r="D457" s="301">
        <f>'Magdalhes From Author'!G13</f>
        <v>189949113.75951999</v>
      </c>
      <c r="I457" s="301">
        <f>'Magdalhes From Author'!B13</f>
        <v>569627254.11938798</v>
      </c>
      <c r="J457" s="301">
        <f>'Magdalhes From Author'!D13</f>
        <v>12943351.94093872</v>
      </c>
      <c r="K457" s="301">
        <f>I457+J457</f>
        <v>582570606.0603267</v>
      </c>
      <c r="N457" s="27">
        <f>(J457/K457)</f>
        <v>2.2217653630808833E-2</v>
      </c>
      <c r="O457" s="229"/>
      <c r="P457" s="289"/>
      <c r="R457" s="304" t="s">
        <v>460</v>
      </c>
      <c r="S457" s="304" t="s">
        <v>141</v>
      </c>
      <c r="T457" s="304"/>
      <c r="U457" s="304"/>
      <c r="V457" s="334"/>
      <c r="W457" s="334"/>
      <c r="X457" s="334"/>
      <c r="Y457" s="334"/>
      <c r="Z457" s="334"/>
      <c r="AA457" s="326" t="s">
        <v>1411</v>
      </c>
      <c r="AD457" s="326" t="s">
        <v>1721</v>
      </c>
      <c r="AE457" s="326" t="s">
        <v>1729</v>
      </c>
      <c r="AG457" s="334" t="s">
        <v>1706</v>
      </c>
      <c r="AH457" s="334" t="s">
        <v>1713</v>
      </c>
      <c r="AM457" s="326" t="s">
        <v>1484</v>
      </c>
      <c r="AN457" s="326" t="s">
        <v>1484</v>
      </c>
      <c r="AO457" s="326" t="s">
        <v>1485</v>
      </c>
      <c r="AQ457" s="322"/>
      <c r="AR457" s="323" t="s">
        <v>162</v>
      </c>
      <c r="AT457" t="s">
        <v>1563</v>
      </c>
      <c r="AU457" t="s">
        <v>1564</v>
      </c>
      <c r="AV457"/>
      <c r="AW457" s="334"/>
      <c r="AX457" s="334"/>
      <c r="AZ457" s="334"/>
    </row>
    <row r="458" spans="1:53">
      <c r="A458" s="334" t="s">
        <v>1279</v>
      </c>
      <c r="B458" s="334" t="s">
        <v>1542</v>
      </c>
      <c r="C458" s="334">
        <v>0.04</v>
      </c>
      <c r="D458" s="301">
        <f>'Magdalhes From Author'!G4</f>
        <v>309650268.99912602</v>
      </c>
      <c r="I458" s="301">
        <f>'Magdalhes From Author'!B4</f>
        <v>228958474.925612</v>
      </c>
      <c r="J458" s="301">
        <f>'Magdalhes From Author'!D4</f>
        <v>12137215.98513524</v>
      </c>
      <c r="K458" s="301">
        <f>I458+J458</f>
        <v>241095690.91074723</v>
      </c>
      <c r="N458" s="27">
        <f>(J458/K458)</f>
        <v>5.0341903413065957E-2</v>
      </c>
      <c r="O458" s="229"/>
      <c r="P458" s="289"/>
      <c r="R458" s="304" t="s">
        <v>460</v>
      </c>
      <c r="S458" s="304" t="s">
        <v>141</v>
      </c>
      <c r="T458" s="304"/>
      <c r="U458" s="304"/>
      <c r="V458" s="334"/>
      <c r="W458" s="334"/>
      <c r="X458" s="334"/>
      <c r="Y458" s="334"/>
      <c r="Z458" s="334"/>
      <c r="AA458" s="326" t="s">
        <v>1411</v>
      </c>
      <c r="AD458" s="326" t="s">
        <v>1721</v>
      </c>
      <c r="AE458" s="326" t="s">
        <v>1729</v>
      </c>
      <c r="AG458" s="334" t="s">
        <v>1706</v>
      </c>
      <c r="AH458" s="334" t="s">
        <v>1713</v>
      </c>
      <c r="AM458" s="326" t="s">
        <v>1484</v>
      </c>
      <c r="AN458" s="326" t="s">
        <v>1484</v>
      </c>
      <c r="AO458" s="326" t="s">
        <v>1485</v>
      </c>
      <c r="AQ458" s="322"/>
      <c r="AR458" s="323" t="s">
        <v>162</v>
      </c>
      <c r="AT458" t="s">
        <v>1563</v>
      </c>
      <c r="AU458" t="s">
        <v>1571</v>
      </c>
      <c r="AV458"/>
      <c r="AW458" s="334"/>
      <c r="AX458" s="334"/>
      <c r="AZ458" s="334"/>
    </row>
    <row r="459" spans="1:53">
      <c r="A459" s="334" t="s">
        <v>1279</v>
      </c>
      <c r="B459" s="334" t="s">
        <v>1542</v>
      </c>
      <c r="C459" s="334">
        <v>0.04</v>
      </c>
      <c r="D459" s="301">
        <f>'Magdalhes From Author'!G2</f>
        <v>432370812.48354203</v>
      </c>
      <c r="I459" s="301">
        <f>'Magdalhes From Author'!B2</f>
        <v>239175211.132296</v>
      </c>
      <c r="J459" s="301">
        <f>'Magdalhes From Author'!D2</f>
        <v>11250896.79331466</v>
      </c>
      <c r="K459" s="301">
        <f>I459+J459</f>
        <v>250426107.92561066</v>
      </c>
      <c r="N459" s="27">
        <f>(J459/K459)</f>
        <v>4.4927012149455083E-2</v>
      </c>
      <c r="O459" s="229"/>
      <c r="P459" s="289"/>
      <c r="R459" s="304" t="s">
        <v>460</v>
      </c>
      <c r="S459" s="304" t="s">
        <v>141</v>
      </c>
      <c r="T459" s="304"/>
      <c r="U459" s="304"/>
      <c r="V459" s="334"/>
      <c r="W459" s="334"/>
      <c r="X459" s="334"/>
      <c r="Y459" s="334"/>
      <c r="Z459" s="334"/>
      <c r="AA459" s="326" t="s">
        <v>1411</v>
      </c>
      <c r="AD459" s="326" t="s">
        <v>1721</v>
      </c>
      <c r="AE459" s="326" t="s">
        <v>1729</v>
      </c>
      <c r="AG459" s="334" t="s">
        <v>1706</v>
      </c>
      <c r="AH459" s="334" t="s">
        <v>1713</v>
      </c>
      <c r="AM459" s="326" t="s">
        <v>1484</v>
      </c>
      <c r="AN459" s="326" t="s">
        <v>1484</v>
      </c>
      <c r="AO459" s="326" t="s">
        <v>1485</v>
      </c>
      <c r="AQ459" s="322"/>
      <c r="AR459" s="323" t="s">
        <v>162</v>
      </c>
      <c r="AT459" t="s">
        <v>1563</v>
      </c>
      <c r="AU459" t="s">
        <v>1575</v>
      </c>
      <c r="AV459"/>
      <c r="AW459" s="334"/>
      <c r="AX459" s="334"/>
      <c r="AZ459" s="334"/>
    </row>
    <row r="460" spans="1:53">
      <c r="A460" s="334" t="s">
        <v>1279</v>
      </c>
      <c r="B460" s="334" t="s">
        <v>1542</v>
      </c>
      <c r="C460" s="334">
        <v>0.04</v>
      </c>
      <c r="D460" s="301">
        <f>'Magdalhes From Author'!G10</f>
        <v>538822232.79218197</v>
      </c>
      <c r="I460" s="301">
        <f>'Magdalhes From Author'!B10</f>
        <v>971945788.91142797</v>
      </c>
      <c r="J460" s="301">
        <f>'Magdalhes From Author'!D10</f>
        <v>29829276.2216454</v>
      </c>
      <c r="K460" s="301">
        <f>I460+J460</f>
        <v>1001775065.1330733</v>
      </c>
      <c r="N460" s="27">
        <f>(J460/K460)</f>
        <v>2.9776421134701483E-2</v>
      </c>
      <c r="O460" s="229"/>
      <c r="P460" s="316"/>
      <c r="R460" s="304" t="s">
        <v>460</v>
      </c>
      <c r="S460" s="304" t="s">
        <v>141</v>
      </c>
      <c r="T460" s="304"/>
      <c r="U460" s="304"/>
      <c r="V460" s="334"/>
      <c r="W460" s="334"/>
      <c r="X460" s="334"/>
      <c r="Y460" s="334"/>
      <c r="Z460" s="334"/>
      <c r="AA460" s="326" t="s">
        <v>1411</v>
      </c>
      <c r="AD460" s="326" t="s">
        <v>1721</v>
      </c>
      <c r="AE460" s="326" t="s">
        <v>1729</v>
      </c>
      <c r="AG460" s="334" t="s">
        <v>1706</v>
      </c>
      <c r="AH460" s="334" t="s">
        <v>1713</v>
      </c>
      <c r="AM460" s="326" t="s">
        <v>1484</v>
      </c>
      <c r="AN460" s="326" t="s">
        <v>1484</v>
      </c>
      <c r="AO460" s="326" t="s">
        <v>1485</v>
      </c>
      <c r="AQ460" s="322"/>
      <c r="AR460" s="323" t="s">
        <v>162</v>
      </c>
      <c r="AT460" t="s">
        <v>1563</v>
      </c>
      <c r="AU460" t="s">
        <v>1565</v>
      </c>
      <c r="AV460"/>
      <c r="AW460" s="334"/>
      <c r="AX460" s="334"/>
      <c r="AZ460" s="334"/>
    </row>
    <row r="461" spans="1:53">
      <c r="A461" s="334" t="s">
        <v>1279</v>
      </c>
      <c r="B461" s="334" t="s">
        <v>1542</v>
      </c>
      <c r="C461" s="334">
        <v>0.04</v>
      </c>
      <c r="D461" s="301">
        <f>'Magdalhes From Author'!G7</f>
        <v>540659925.55237401</v>
      </c>
      <c r="I461" s="301">
        <f>'Magdalhes From Author'!B7</f>
        <v>341362022.43203998</v>
      </c>
      <c r="J461" s="301">
        <f>'Magdalhes From Author'!D7</f>
        <v>40369791.038645998</v>
      </c>
      <c r="K461" s="301">
        <f>I461+J461</f>
        <v>381731813.47068596</v>
      </c>
      <c r="N461" s="27">
        <f>(J461/K461)</f>
        <v>0.10575432702767407</v>
      </c>
      <c r="O461" s="229"/>
      <c r="P461" s="289"/>
      <c r="R461" s="304" t="s">
        <v>460</v>
      </c>
      <c r="S461" s="304" t="s">
        <v>141</v>
      </c>
      <c r="T461" s="304"/>
      <c r="U461" s="304"/>
      <c r="V461" s="334"/>
      <c r="W461" s="334"/>
      <c r="X461" s="334"/>
      <c r="Y461" s="334"/>
      <c r="Z461" s="334"/>
      <c r="AA461" s="326" t="s">
        <v>1411</v>
      </c>
      <c r="AD461" s="326" t="s">
        <v>1721</v>
      </c>
      <c r="AE461" s="326" t="s">
        <v>1729</v>
      </c>
      <c r="AG461" s="334" t="s">
        <v>1706</v>
      </c>
      <c r="AH461" s="334" t="s">
        <v>1713</v>
      </c>
      <c r="AM461" s="326" t="s">
        <v>1484</v>
      </c>
      <c r="AN461" s="326" t="s">
        <v>1484</v>
      </c>
      <c r="AO461" s="326" t="s">
        <v>1485</v>
      </c>
      <c r="AQ461" s="322"/>
      <c r="AR461" s="323" t="s">
        <v>162</v>
      </c>
      <c r="AT461" t="s">
        <v>1563</v>
      </c>
      <c r="AU461" t="s">
        <v>1573</v>
      </c>
      <c r="AV461"/>
      <c r="AW461" s="334"/>
      <c r="AX461" s="334"/>
      <c r="AZ461" s="334"/>
    </row>
    <row r="462" spans="1:53">
      <c r="A462" s="334" t="s">
        <v>1279</v>
      </c>
      <c r="B462" s="334" t="s">
        <v>1542</v>
      </c>
      <c r="C462" s="334">
        <v>0.04</v>
      </c>
      <c r="D462" s="301">
        <f>'Magdalhes From Author'!G11</f>
        <v>546677824.603392</v>
      </c>
      <c r="I462" s="301">
        <f>'Magdalhes From Author'!B11</f>
        <v>360131789.19857597</v>
      </c>
      <c r="J462" s="301">
        <f>'Magdalhes From Author'!D11</f>
        <v>25954370.9345036</v>
      </c>
      <c r="K462" s="301">
        <f>I462+J462</f>
        <v>386086160.13307959</v>
      </c>
      <c r="N462" s="27">
        <f>(J462/K462)</f>
        <v>6.7224297616773981E-2</v>
      </c>
      <c r="O462" s="229"/>
      <c r="P462" s="289"/>
      <c r="R462" s="304" t="s">
        <v>460</v>
      </c>
      <c r="S462" s="304" t="s">
        <v>141</v>
      </c>
      <c r="T462" s="304"/>
      <c r="U462" s="304"/>
      <c r="V462" s="334"/>
      <c r="W462" s="334"/>
      <c r="X462" s="334"/>
      <c r="Y462" s="334"/>
      <c r="Z462" s="334"/>
      <c r="AA462" s="326" t="s">
        <v>1411</v>
      </c>
      <c r="AD462" s="326" t="s">
        <v>1721</v>
      </c>
      <c r="AE462" s="326" t="s">
        <v>1729</v>
      </c>
      <c r="AG462" s="334" t="s">
        <v>1706</v>
      </c>
      <c r="AH462" s="334" t="s">
        <v>1713</v>
      </c>
      <c r="AM462" s="326" t="s">
        <v>1484</v>
      </c>
      <c r="AN462" s="326" t="s">
        <v>1484</v>
      </c>
      <c r="AO462" s="326" t="s">
        <v>1485</v>
      </c>
      <c r="AQ462" s="322"/>
      <c r="AR462" s="323" t="s">
        <v>162</v>
      </c>
      <c r="AT462" t="s">
        <v>1563</v>
      </c>
      <c r="AU462" t="s">
        <v>1572</v>
      </c>
      <c r="AV462"/>
      <c r="AW462" s="334"/>
      <c r="AX462" s="334"/>
      <c r="AZ462" s="334"/>
      <c r="BA462" s="334"/>
    </row>
    <row r="463" spans="1:53">
      <c r="A463" s="334" t="s">
        <v>1279</v>
      </c>
      <c r="B463" s="334" t="s">
        <v>1542</v>
      </c>
      <c r="C463" s="334">
        <v>0.04</v>
      </c>
      <c r="D463" s="301">
        <f>'Magdalhes From Author'!G8</f>
        <v>605229856.49259806</v>
      </c>
      <c r="I463" s="301">
        <f>'Magdalhes From Author'!B8</f>
        <v>230032326.20254201</v>
      </c>
      <c r="J463" s="301">
        <f>'Magdalhes From Author'!D8</f>
        <v>11111426.86276266</v>
      </c>
      <c r="K463" s="301">
        <f>I463+J463</f>
        <v>241143753.06530467</v>
      </c>
      <c r="N463" s="27">
        <f>(J463/K463)</f>
        <v>4.6078020771923335E-2</v>
      </c>
      <c r="O463" s="229"/>
      <c r="R463" s="304" t="s">
        <v>460</v>
      </c>
      <c r="S463" s="304" t="s">
        <v>141</v>
      </c>
      <c r="T463" s="304"/>
      <c r="U463" s="304"/>
      <c r="V463" s="334"/>
      <c r="W463" s="334"/>
      <c r="X463" s="334"/>
      <c r="Y463" s="334"/>
      <c r="Z463" s="334"/>
      <c r="AA463" s="326" t="s">
        <v>1411</v>
      </c>
      <c r="AD463" s="326" t="s">
        <v>1721</v>
      </c>
      <c r="AE463" s="326" t="s">
        <v>1729</v>
      </c>
      <c r="AG463" s="334" t="s">
        <v>1706</v>
      </c>
      <c r="AH463" s="334" t="s">
        <v>1713</v>
      </c>
      <c r="AM463" s="326" t="s">
        <v>1484</v>
      </c>
      <c r="AN463" s="326" t="s">
        <v>1484</v>
      </c>
      <c r="AO463" s="326" t="s">
        <v>1485</v>
      </c>
      <c r="AQ463" s="322"/>
      <c r="AR463" s="323" t="s">
        <v>162</v>
      </c>
      <c r="AT463" t="s">
        <v>1563</v>
      </c>
      <c r="AU463" t="s">
        <v>1461</v>
      </c>
      <c r="AV463"/>
      <c r="AW463" s="334"/>
      <c r="AX463" s="334"/>
      <c r="AZ463" s="334"/>
    </row>
    <row r="464" spans="1:53">
      <c r="A464" s="334" t="s">
        <v>1279</v>
      </c>
      <c r="B464" s="334" t="s">
        <v>1542</v>
      </c>
      <c r="C464" s="334">
        <v>0.04</v>
      </c>
      <c r="D464" s="301">
        <f>'Magdalhes From Author'!G5</f>
        <v>629241921.38101602</v>
      </c>
      <c r="I464" s="301">
        <f>'Magdalhes From Author'!B5</f>
        <v>287055506.86798799</v>
      </c>
      <c r="J464" s="301">
        <f>'Magdalhes From Author'!D5</f>
        <v>7486539.8020327799</v>
      </c>
      <c r="K464" s="301">
        <f>I464+J464</f>
        <v>294542046.67002076</v>
      </c>
      <c r="N464" s="27">
        <f>(J464/K464)</f>
        <v>2.5417558839808181E-2</v>
      </c>
      <c r="O464" s="229"/>
      <c r="R464" s="304" t="s">
        <v>460</v>
      </c>
      <c r="S464" s="304" t="s">
        <v>141</v>
      </c>
      <c r="T464" s="304"/>
      <c r="U464" s="304"/>
      <c r="V464" s="334"/>
      <c r="W464" s="334"/>
      <c r="X464" s="334"/>
      <c r="Y464" s="334"/>
      <c r="Z464" s="334"/>
      <c r="AA464" s="334" t="s">
        <v>1411</v>
      </c>
      <c r="AD464" s="326" t="s">
        <v>1721</v>
      </c>
      <c r="AE464" s="334" t="s">
        <v>1729</v>
      </c>
      <c r="AG464" s="334" t="s">
        <v>1706</v>
      </c>
      <c r="AH464" s="334" t="s">
        <v>1713</v>
      </c>
      <c r="AM464" s="326" t="s">
        <v>1484</v>
      </c>
      <c r="AN464" s="326" t="s">
        <v>1484</v>
      </c>
      <c r="AO464" s="326" t="s">
        <v>1485</v>
      </c>
      <c r="AQ464" s="322"/>
      <c r="AR464" s="323" t="s">
        <v>162</v>
      </c>
      <c r="AT464" t="s">
        <v>1563</v>
      </c>
      <c r="AU464" t="s">
        <v>1460</v>
      </c>
      <c r="AV464"/>
      <c r="AW464" s="334"/>
      <c r="AX464" s="334"/>
      <c r="AZ464" s="334"/>
    </row>
    <row r="465" spans="1:52">
      <c r="A465" s="334" t="s">
        <v>1279</v>
      </c>
      <c r="B465" s="334" t="s">
        <v>1542</v>
      </c>
      <c r="C465" s="334">
        <v>0.04</v>
      </c>
      <c r="D465" s="301">
        <f>'Magdalhes From Author'!G6</f>
        <v>640985063.80206597</v>
      </c>
      <c r="I465" s="301">
        <f>'Magdalhes From Author'!B6</f>
        <v>362789239.16718602</v>
      </c>
      <c r="J465" s="301">
        <f>'Magdalhes From Author'!D6</f>
        <v>22534858.266358402</v>
      </c>
      <c r="K465" s="301">
        <f>I465+J465</f>
        <v>385324097.4335444</v>
      </c>
      <c r="N465" s="27">
        <f>(J465/K465)</f>
        <v>5.8482867841518571E-2</v>
      </c>
      <c r="O465" s="229"/>
      <c r="P465" s="293"/>
      <c r="R465" s="304" t="s">
        <v>460</v>
      </c>
      <c r="S465" s="304" t="s">
        <v>141</v>
      </c>
      <c r="T465" s="304"/>
      <c r="U465" s="304"/>
      <c r="V465" s="334"/>
      <c r="W465" s="334"/>
      <c r="X465" s="334"/>
      <c r="Y465" s="334"/>
      <c r="Z465" s="334"/>
      <c r="AA465" s="326" t="s">
        <v>1411</v>
      </c>
      <c r="AD465" s="326" t="s">
        <v>1721</v>
      </c>
      <c r="AE465" s="326" t="s">
        <v>1729</v>
      </c>
      <c r="AG465" s="334" t="s">
        <v>1706</v>
      </c>
      <c r="AH465" s="334" t="s">
        <v>1713</v>
      </c>
      <c r="AM465" s="326" t="s">
        <v>1484</v>
      </c>
      <c r="AN465" s="326" t="s">
        <v>1484</v>
      </c>
      <c r="AO465" s="326" t="s">
        <v>1485</v>
      </c>
      <c r="AQ465" s="322"/>
      <c r="AR465" s="323" t="s">
        <v>162</v>
      </c>
      <c r="AT465" t="s">
        <v>1563</v>
      </c>
      <c r="AU465" t="s">
        <v>1574</v>
      </c>
      <c r="AV465"/>
      <c r="AW465" s="334"/>
      <c r="AX465" s="334"/>
      <c r="AZ465" s="334"/>
    </row>
    <row r="466" spans="1:52">
      <c r="A466" s="334" t="s">
        <v>1279</v>
      </c>
      <c r="B466" s="334" t="s">
        <v>1542</v>
      </c>
      <c r="C466" s="334">
        <v>0.04</v>
      </c>
      <c r="D466" s="301">
        <f>'Magdalhes From Author'!G12</f>
        <v>1067546303.588654</v>
      </c>
      <c r="H466" s="336"/>
      <c r="I466" s="301">
        <f>'Magdalhes From Author'!B12</f>
        <v>900799006.10200596</v>
      </c>
      <c r="J466" s="301">
        <f>'Magdalhes From Author'!D12</f>
        <v>458556.96699291997</v>
      </c>
      <c r="K466" s="301">
        <f>I466+J466</f>
        <v>901257563.06899893</v>
      </c>
      <c r="N466" s="27">
        <f>(J466/K466)</f>
        <v>5.0879680324836675E-4</v>
      </c>
      <c r="O466" s="229"/>
      <c r="P466" s="334"/>
      <c r="R466" s="304" t="s">
        <v>460</v>
      </c>
      <c r="S466" s="304" t="s">
        <v>141</v>
      </c>
      <c r="T466" s="304"/>
      <c r="U466" s="304"/>
      <c r="V466" s="334"/>
      <c r="W466" s="334"/>
      <c r="X466" s="334"/>
      <c r="Y466" s="334"/>
      <c r="Z466" s="334"/>
      <c r="AA466" s="326" t="s">
        <v>1411</v>
      </c>
      <c r="AD466" s="326" t="s">
        <v>1721</v>
      </c>
      <c r="AE466" s="326" t="s">
        <v>1729</v>
      </c>
      <c r="AG466" s="334" t="s">
        <v>1706</v>
      </c>
      <c r="AH466" s="334" t="s">
        <v>1713</v>
      </c>
      <c r="AM466" s="326" t="s">
        <v>1484</v>
      </c>
      <c r="AN466" s="326" t="s">
        <v>1484</v>
      </c>
      <c r="AO466" s="326" t="s">
        <v>1485</v>
      </c>
      <c r="AQ466" s="322"/>
      <c r="AR466" s="323" t="s">
        <v>162</v>
      </c>
      <c r="AT466" t="s">
        <v>1563</v>
      </c>
      <c r="AU466" t="s">
        <v>1570</v>
      </c>
      <c r="AV466"/>
      <c r="AW466" s="334"/>
      <c r="AX466" s="334"/>
      <c r="AZ466" s="334"/>
    </row>
    <row r="467" spans="1:52">
      <c r="A467" s="277" t="s">
        <v>504</v>
      </c>
      <c r="B467" s="334" t="s">
        <v>506</v>
      </c>
      <c r="C467" s="334">
        <f>'EXD Manini 2008'!B28</f>
        <v>0.01</v>
      </c>
      <c r="D467" s="301">
        <f>'EXD Manini 2008'!N28</f>
        <v>100100000</v>
      </c>
      <c r="E467" s="301">
        <f>'EXD Manini 2008'!O28</f>
        <v>61285714.285714284</v>
      </c>
      <c r="F467" s="301">
        <f>'EXD Manini 2008'!P28</f>
        <v>50408163.265306123</v>
      </c>
      <c r="G467" s="301">
        <f>E467+F467</f>
        <v>111693877.55102041</v>
      </c>
      <c r="H467" s="27">
        <f>G467/D467</f>
        <v>1.1158229525576464</v>
      </c>
      <c r="M467" s="27">
        <f>F467/G467</f>
        <v>0.45130641330166271</v>
      </c>
      <c r="O467" s="229" t="s">
        <v>1247</v>
      </c>
      <c r="P467" s="334"/>
      <c r="R467" s="304" t="s">
        <v>1395</v>
      </c>
      <c r="S467" s="304" t="s">
        <v>140</v>
      </c>
      <c r="T467" s="304" t="s">
        <v>145</v>
      </c>
      <c r="U467" s="304" t="s">
        <v>147</v>
      </c>
      <c r="V467" s="313">
        <v>0.55000000000000004</v>
      </c>
      <c r="W467" s="313">
        <v>0.55000000000000004</v>
      </c>
      <c r="X467" s="306" t="s">
        <v>47</v>
      </c>
      <c r="Y467" s="334">
        <v>20</v>
      </c>
      <c r="Z467" s="314" t="s">
        <v>249</v>
      </c>
      <c r="AB467" s="334" t="s">
        <v>311</v>
      </c>
      <c r="AC467" s="334" t="s">
        <v>1702</v>
      </c>
      <c r="AG467" s="334"/>
      <c r="AH467" s="334"/>
      <c r="AP467" t="b">
        <v>1</v>
      </c>
      <c r="AQ467" s="322">
        <v>20</v>
      </c>
      <c r="AR467" s="323"/>
      <c r="AT467"/>
      <c r="AU467"/>
      <c r="AV467"/>
      <c r="AW467" s="334"/>
      <c r="AX467" s="334"/>
      <c r="AZ467" s="334"/>
    </row>
    <row r="468" spans="1:52">
      <c r="A468" s="277" t="s">
        <v>504</v>
      </c>
      <c r="B468" s="334" t="s">
        <v>506</v>
      </c>
      <c r="C468" s="334">
        <f>'EXD Manini 2008'!B26</f>
        <v>0.01</v>
      </c>
      <c r="D468" s="301">
        <f>'EXD Manini 2008'!N26</f>
        <v>182000000</v>
      </c>
      <c r="E468" s="301">
        <f>'EXD Manini 2008'!O26</f>
        <v>118857142.85714287</v>
      </c>
      <c r="F468" s="301">
        <f>'EXD Manini 2008'!P26</f>
        <v>78928571.428571418</v>
      </c>
      <c r="G468" s="301">
        <f>E468+F468</f>
        <v>197785714.28571427</v>
      </c>
      <c r="H468" s="27">
        <f>G468/D468</f>
        <v>1.0867346938775508</v>
      </c>
      <c r="M468" s="27">
        <f>F468/G468</f>
        <v>0.39906103286384975</v>
      </c>
      <c r="O468" s="229" t="s">
        <v>1247</v>
      </c>
      <c r="R468" s="334" t="s">
        <v>1395</v>
      </c>
      <c r="S468" s="304" t="s">
        <v>140</v>
      </c>
      <c r="T468" s="304" t="s">
        <v>145</v>
      </c>
      <c r="U468" s="304" t="s">
        <v>147</v>
      </c>
      <c r="V468" s="313">
        <v>0.55000000000000004</v>
      </c>
      <c r="W468" s="313">
        <v>0.55000000000000004</v>
      </c>
      <c r="X468" s="306" t="s">
        <v>47</v>
      </c>
      <c r="Y468" s="334">
        <v>20</v>
      </c>
      <c r="Z468" s="314" t="s">
        <v>249</v>
      </c>
      <c r="AB468" s="334" t="s">
        <v>311</v>
      </c>
      <c r="AC468" s="334" t="s">
        <v>1702</v>
      </c>
      <c r="AG468" s="334"/>
      <c r="AH468" s="334"/>
      <c r="AP468" t="b">
        <v>1</v>
      </c>
      <c r="AQ468" s="322">
        <v>20</v>
      </c>
      <c r="AR468" s="323"/>
      <c r="AT468"/>
      <c r="AU468"/>
      <c r="AV468"/>
      <c r="AW468" s="334"/>
      <c r="AX468" s="334"/>
      <c r="AZ468" s="334"/>
    </row>
    <row r="469" spans="1:52">
      <c r="A469" s="277" t="s">
        <v>504</v>
      </c>
      <c r="B469" s="334" t="s">
        <v>506</v>
      </c>
      <c r="C469" s="334">
        <f>'EXD Manini 2008'!B27</f>
        <v>0.01</v>
      </c>
      <c r="D469" s="301">
        <f>'EXD Manini 2008'!N27</f>
        <v>182000000</v>
      </c>
      <c r="E469" s="301">
        <f>'EXD Manini 2008'!O27</f>
        <v>133714285.71428572</v>
      </c>
      <c r="F469" s="301">
        <f>'EXD Manini 2008'!P27</f>
        <v>60357142.857142873</v>
      </c>
      <c r="G469" s="301">
        <f>E469+F469</f>
        <v>194071428.5714286</v>
      </c>
      <c r="H469" s="336">
        <f>G469/D469</f>
        <v>1.0663265306122451</v>
      </c>
      <c r="M469" s="27">
        <f>F469/G469</f>
        <v>0.31100478468899528</v>
      </c>
      <c r="O469" s="229" t="s">
        <v>1247</v>
      </c>
      <c r="P469" s="293"/>
      <c r="R469" s="334" t="s">
        <v>1395</v>
      </c>
      <c r="S469" s="304" t="s">
        <v>140</v>
      </c>
      <c r="T469" s="304" t="s">
        <v>145</v>
      </c>
      <c r="U469" s="304" t="s">
        <v>147</v>
      </c>
      <c r="V469" s="313">
        <v>0.55000000000000004</v>
      </c>
      <c r="W469" s="313">
        <v>0.55000000000000004</v>
      </c>
      <c r="X469" s="306" t="s">
        <v>47</v>
      </c>
      <c r="Y469" s="334">
        <v>20</v>
      </c>
      <c r="Z469" s="314" t="s">
        <v>249</v>
      </c>
      <c r="AB469" s="334" t="s">
        <v>311</v>
      </c>
      <c r="AC469" s="334" t="s">
        <v>1702</v>
      </c>
      <c r="AG469" s="334"/>
      <c r="AH469" s="334"/>
      <c r="AP469" t="b">
        <v>1</v>
      </c>
      <c r="AQ469" s="322">
        <v>20</v>
      </c>
      <c r="AR469" s="323"/>
      <c r="AT469"/>
      <c r="AU469"/>
      <c r="AV469"/>
      <c r="AW469" s="334"/>
      <c r="AX469" s="334"/>
      <c r="AZ469" s="334"/>
    </row>
    <row r="470" spans="1:52">
      <c r="A470" s="277" t="s">
        <v>504</v>
      </c>
      <c r="B470" s="334" t="s">
        <v>505</v>
      </c>
      <c r="C470" s="334">
        <f>'EXD Manini 2008'!B18</f>
        <v>0.01</v>
      </c>
      <c r="D470" s="301">
        <f>'EXD Manini 2008'!N18</f>
        <v>114400000</v>
      </c>
      <c r="E470" s="301">
        <f>'EXD Manini 2008'!O18</f>
        <v>77044897.959183663</v>
      </c>
      <c r="F470" s="301">
        <f>'EXD Manini 2008'!P18</f>
        <v>47755102.040816344</v>
      </c>
      <c r="G470" s="301">
        <f>E470+F470</f>
        <v>124800000</v>
      </c>
      <c r="H470" s="27">
        <f>G470/D470</f>
        <v>1.0909090909090908</v>
      </c>
      <c r="M470" s="27">
        <f>F470/G470</f>
        <v>0.38265306122448994</v>
      </c>
      <c r="O470" s="229" t="s">
        <v>1247</v>
      </c>
      <c r="P470" s="293"/>
      <c r="R470" s="334" t="s">
        <v>1395</v>
      </c>
      <c r="S470" s="304" t="s">
        <v>140</v>
      </c>
      <c r="T470" s="304" t="s">
        <v>145</v>
      </c>
      <c r="U470" s="304" t="s">
        <v>147</v>
      </c>
      <c r="V470" s="313">
        <v>0.55000000000000004</v>
      </c>
      <c r="W470" s="313">
        <v>0.55000000000000004</v>
      </c>
      <c r="X470" s="306" t="s">
        <v>47</v>
      </c>
      <c r="Y470" s="334">
        <v>20</v>
      </c>
      <c r="Z470" s="314" t="s">
        <v>249</v>
      </c>
      <c r="AB470" s="334" t="s">
        <v>311</v>
      </c>
      <c r="AC470" s="334" t="s">
        <v>1702</v>
      </c>
      <c r="AG470" s="334"/>
      <c r="AH470" s="334"/>
      <c r="AP470" t="b">
        <v>1</v>
      </c>
      <c r="AQ470" s="322">
        <v>20</v>
      </c>
      <c r="AR470" s="323"/>
      <c r="AT470"/>
      <c r="AU470"/>
      <c r="AV470"/>
      <c r="AW470" s="334"/>
      <c r="AX470" s="334"/>
      <c r="AZ470" s="334"/>
    </row>
    <row r="471" spans="1:52">
      <c r="A471" s="277" t="s">
        <v>504</v>
      </c>
      <c r="B471" s="334" t="s">
        <v>505</v>
      </c>
      <c r="C471" s="334">
        <f>'EXD Manini 2008'!B19</f>
        <v>0.01</v>
      </c>
      <c r="D471" s="301">
        <f>'EXD Manini 2008'!N19</f>
        <v>130000000</v>
      </c>
      <c r="E471" s="301">
        <f>'EXD Manini 2008'!O19</f>
        <v>75612244.897959188</v>
      </c>
      <c r="F471" s="301">
        <f>'EXD Manini 2008'!P19</f>
        <v>67984693.877551034</v>
      </c>
      <c r="G471" s="301">
        <f>E471+F471</f>
        <v>143596938.77551022</v>
      </c>
      <c r="H471" s="27">
        <f>G471/D471</f>
        <v>1.1045918367346941</v>
      </c>
      <c r="M471" s="27">
        <f>F471/G471</f>
        <v>0.47344110854503468</v>
      </c>
      <c r="O471" s="229" t="s">
        <v>1247</v>
      </c>
      <c r="P471" s="293"/>
      <c r="R471" s="334" t="s">
        <v>1395</v>
      </c>
      <c r="S471" s="304" t="s">
        <v>140</v>
      </c>
      <c r="T471" s="304" t="s">
        <v>145</v>
      </c>
      <c r="U471" s="304" t="s">
        <v>147</v>
      </c>
      <c r="V471" s="313">
        <v>0.55000000000000004</v>
      </c>
      <c r="W471" s="313">
        <v>0.55000000000000004</v>
      </c>
      <c r="X471" s="306" t="s">
        <v>47</v>
      </c>
      <c r="Y471" s="334">
        <v>20</v>
      </c>
      <c r="Z471" s="314" t="s">
        <v>249</v>
      </c>
      <c r="AB471" s="334" t="s">
        <v>311</v>
      </c>
      <c r="AC471" s="334" t="s">
        <v>1702</v>
      </c>
      <c r="AG471" s="334"/>
      <c r="AH471" s="334"/>
      <c r="AP471" t="b">
        <v>1</v>
      </c>
      <c r="AQ471" s="322">
        <v>20</v>
      </c>
      <c r="AR471" s="323"/>
      <c r="AT471"/>
      <c r="AU471"/>
      <c r="AV471"/>
      <c r="AW471" s="334"/>
      <c r="AX471" s="334"/>
      <c r="AZ471" s="334"/>
    </row>
    <row r="472" spans="1:52">
      <c r="A472" s="277" t="s">
        <v>504</v>
      </c>
      <c r="B472" s="334" t="s">
        <v>505</v>
      </c>
      <c r="C472" s="334">
        <f>'EXD Manini 2008'!B17</f>
        <v>0.01</v>
      </c>
      <c r="D472" s="301">
        <f>'EXD Manini 2008'!N17</f>
        <v>247000000</v>
      </c>
      <c r="E472" s="301">
        <f>'EXD Manini 2008'!O17</f>
        <v>151224489.79591838</v>
      </c>
      <c r="F472" s="301">
        <f>'EXD Manini 2008'!P17</f>
        <v>113418367.34693879</v>
      </c>
      <c r="G472" s="301">
        <f>E472+F472</f>
        <v>264642857.14285716</v>
      </c>
      <c r="H472" s="336">
        <f>G472/D472</f>
        <v>1.0714285714285716</v>
      </c>
      <c r="M472" s="27">
        <f>F472/G472</f>
        <v>0.4285714285714286</v>
      </c>
      <c r="O472" s="229" t="s">
        <v>1247</v>
      </c>
      <c r="R472" s="334" t="s">
        <v>1395</v>
      </c>
      <c r="S472" s="304" t="s">
        <v>140</v>
      </c>
      <c r="T472" s="304" t="s">
        <v>145</v>
      </c>
      <c r="U472" s="304" t="s">
        <v>147</v>
      </c>
      <c r="V472" s="313">
        <v>0.55000000000000004</v>
      </c>
      <c r="W472" s="313">
        <v>0.55000000000000004</v>
      </c>
      <c r="X472" s="306" t="s">
        <v>47</v>
      </c>
      <c r="Y472" s="334">
        <v>20</v>
      </c>
      <c r="Z472" s="314" t="s">
        <v>249</v>
      </c>
      <c r="AB472" s="334" t="s">
        <v>311</v>
      </c>
      <c r="AC472" s="334" t="s">
        <v>1702</v>
      </c>
      <c r="AG472" s="334"/>
      <c r="AH472" s="334"/>
      <c r="AP472" t="b">
        <v>1</v>
      </c>
      <c r="AQ472" s="322">
        <v>20</v>
      </c>
      <c r="AR472" s="323"/>
      <c r="AT472"/>
      <c r="AU472"/>
      <c r="AV472"/>
      <c r="AW472" s="334"/>
      <c r="AX472" s="334"/>
      <c r="AZ472" s="334"/>
    </row>
    <row r="473" spans="1:52">
      <c r="A473" s="277" t="s">
        <v>504</v>
      </c>
      <c r="B473" s="334" t="s">
        <v>509</v>
      </c>
      <c r="C473" s="334">
        <f>'EXD Manini 2008'!B36</f>
        <v>0.01</v>
      </c>
      <c r="D473" s="301">
        <f>'EXD Manini 2008'!N36</f>
        <v>367900000</v>
      </c>
      <c r="E473" s="301">
        <f>'EXD Manini 2008'!O36</f>
        <v>255277551.02040818</v>
      </c>
      <c r="F473" s="301">
        <f>'EXD Manini 2008'!P36</f>
        <v>134311224.48979595</v>
      </c>
      <c r="G473" s="301">
        <f>E473+F473</f>
        <v>389588775.51020414</v>
      </c>
      <c r="H473" s="336">
        <f>G473/D473</f>
        <v>1.0589529097858226</v>
      </c>
      <c r="M473" s="27">
        <f>F473/G473</f>
        <v>0.34475126834417247</v>
      </c>
      <c r="O473" s="229" t="s">
        <v>1247</v>
      </c>
      <c r="P473" s="334"/>
      <c r="R473" s="334" t="s">
        <v>1395</v>
      </c>
      <c r="S473" s="304" t="s">
        <v>140</v>
      </c>
      <c r="T473" s="304" t="s">
        <v>145</v>
      </c>
      <c r="U473" s="304" t="s">
        <v>147</v>
      </c>
      <c r="V473" s="313">
        <v>0.55000000000000004</v>
      </c>
      <c r="W473" s="313">
        <v>0.55000000000000004</v>
      </c>
      <c r="X473" s="306" t="s">
        <v>47</v>
      </c>
      <c r="Y473" s="334">
        <v>20</v>
      </c>
      <c r="Z473" s="314" t="s">
        <v>249</v>
      </c>
      <c r="AB473" s="334" t="s">
        <v>311</v>
      </c>
      <c r="AC473" s="334" t="s">
        <v>1702</v>
      </c>
      <c r="AG473" s="334"/>
      <c r="AH473" s="334"/>
      <c r="AP473" t="b">
        <v>1</v>
      </c>
      <c r="AQ473" s="322">
        <v>3</v>
      </c>
      <c r="AR473" s="323"/>
      <c r="AT473"/>
      <c r="AU473"/>
      <c r="AV473"/>
      <c r="AW473" s="334"/>
      <c r="AX473" s="334"/>
      <c r="AZ473" s="334"/>
    </row>
    <row r="474" spans="1:52">
      <c r="A474" s="277" t="s">
        <v>504</v>
      </c>
      <c r="B474" s="334" t="s">
        <v>509</v>
      </c>
      <c r="C474" s="334">
        <f>'EXD Manini 2008'!B34</f>
        <v>0.01</v>
      </c>
      <c r="D474" s="301">
        <f>'EXD Manini 2008'!N34</f>
        <v>535600000</v>
      </c>
      <c r="E474" s="301">
        <f>'EXD Manini 2008'!O34</f>
        <v>404432653.06122446</v>
      </c>
      <c r="F474" s="301">
        <f>'EXD Manini 2008'!P34</f>
        <v>159183673.46938777</v>
      </c>
      <c r="G474" s="301">
        <f>E474+F474</f>
        <v>563616326.53061223</v>
      </c>
      <c r="H474" s="336">
        <f>G474/D474</f>
        <v>1.0523083019615613</v>
      </c>
      <c r="M474" s="27">
        <f>F474/G474</f>
        <v>0.28243268687629453</v>
      </c>
      <c r="O474" s="229" t="s">
        <v>1247</v>
      </c>
      <c r="P474" s="334"/>
      <c r="R474" s="334" t="s">
        <v>1395</v>
      </c>
      <c r="S474" s="304" t="s">
        <v>140</v>
      </c>
      <c r="T474" s="304" t="s">
        <v>145</v>
      </c>
      <c r="U474" s="304" t="s">
        <v>147</v>
      </c>
      <c r="V474" s="313">
        <v>0.55000000000000004</v>
      </c>
      <c r="W474" s="313">
        <v>0.55000000000000004</v>
      </c>
      <c r="X474" s="306" t="s">
        <v>47</v>
      </c>
      <c r="Y474" s="334">
        <v>20</v>
      </c>
      <c r="Z474" s="314" t="s">
        <v>249</v>
      </c>
      <c r="AB474" s="334" t="s">
        <v>311</v>
      </c>
      <c r="AC474" s="334" t="s">
        <v>1702</v>
      </c>
      <c r="AG474" s="334"/>
      <c r="AH474" s="334"/>
      <c r="AP474" t="b">
        <v>1</v>
      </c>
      <c r="AQ474">
        <v>3</v>
      </c>
      <c r="AR474" s="323"/>
      <c r="AT474"/>
      <c r="AU474"/>
      <c r="AV474"/>
      <c r="AW474" s="334"/>
      <c r="AX474" s="334"/>
      <c r="AZ474" s="334"/>
    </row>
    <row r="475" spans="1:52">
      <c r="A475" s="277" t="s">
        <v>504</v>
      </c>
      <c r="B475" s="334" t="s">
        <v>509</v>
      </c>
      <c r="C475" s="334">
        <f>'EXD Manini 2008'!B35</f>
        <v>0.01</v>
      </c>
      <c r="D475" s="301">
        <f>'EXD Manini 2008'!N35</f>
        <v>542100000</v>
      </c>
      <c r="E475" s="301">
        <f>'EXD Manini 2008'!O35</f>
        <v>392745918.36734694</v>
      </c>
      <c r="F475" s="301">
        <f>'EXD Manini 2008'!P35</f>
        <v>179081632.65306124</v>
      </c>
      <c r="G475" s="301">
        <f>E475+F475</f>
        <v>571827551.02040815</v>
      </c>
      <c r="H475" s="336">
        <f>G475/D475</f>
        <v>1.0548377624431067</v>
      </c>
      <c r="M475" s="27">
        <f>F475/G475</f>
        <v>0.31317419444637767</v>
      </c>
      <c r="O475" s="229" t="s">
        <v>1247</v>
      </c>
      <c r="P475" s="334"/>
      <c r="R475" s="334" t="s">
        <v>1395</v>
      </c>
      <c r="S475" s="304" t="s">
        <v>140</v>
      </c>
      <c r="T475" s="304" t="s">
        <v>145</v>
      </c>
      <c r="U475" s="304" t="s">
        <v>147</v>
      </c>
      <c r="V475" s="313">
        <v>0.55000000000000004</v>
      </c>
      <c r="W475" s="313">
        <v>0.55000000000000004</v>
      </c>
      <c r="X475" s="306" t="s">
        <v>47</v>
      </c>
      <c r="Y475" s="334">
        <v>20</v>
      </c>
      <c r="Z475" s="314" t="s">
        <v>249</v>
      </c>
      <c r="AB475" s="334" t="s">
        <v>311</v>
      </c>
      <c r="AC475" s="334" t="s">
        <v>1702</v>
      </c>
      <c r="AG475" s="334"/>
      <c r="AH475" s="334"/>
      <c r="AP475" t="b">
        <v>1</v>
      </c>
      <c r="AQ475" s="322">
        <v>3</v>
      </c>
      <c r="AR475" s="323"/>
      <c r="AT475"/>
      <c r="AU475"/>
      <c r="AV475"/>
      <c r="AW475" s="334"/>
      <c r="AX475" s="334"/>
      <c r="AZ475" s="334"/>
    </row>
    <row r="476" spans="1:52">
      <c r="A476" s="277" t="s">
        <v>16</v>
      </c>
      <c r="B476" s="334" t="s">
        <v>1669</v>
      </c>
      <c r="C476" s="334">
        <f>'MauClaire 2006'!A7</f>
        <v>1</v>
      </c>
      <c r="D476" s="301">
        <f>'MauClaire 2006'!D7</f>
        <v>131121300.08953042</v>
      </c>
      <c r="E476" s="301">
        <f>'MauClaire 2006'!G7</f>
        <v>11238968.579102607</v>
      </c>
      <c r="F476" s="301">
        <f>'MauClaire 2006'!K7</f>
        <v>3746322.8597008707</v>
      </c>
      <c r="G476" s="301">
        <f>E476+F476</f>
        <v>14985291.438803479</v>
      </c>
      <c r="H476" s="336">
        <f>G476/D476</f>
        <v>0.1142857142857143</v>
      </c>
      <c r="M476" s="27">
        <f>F476/G476</f>
        <v>0.25000000000000006</v>
      </c>
      <c r="O476" s="229" t="s">
        <v>1247</v>
      </c>
      <c r="P476" s="334">
        <f>'MauClaire 2006'!L7</f>
        <v>16.12</v>
      </c>
      <c r="Q476" s="301" t="b">
        <v>1</v>
      </c>
      <c r="R476" s="304" t="s">
        <v>460</v>
      </c>
      <c r="S476" s="304" t="s">
        <v>142</v>
      </c>
      <c r="T476" s="334" t="s">
        <v>1365</v>
      </c>
      <c r="U476" s="334" t="s">
        <v>1365</v>
      </c>
      <c r="V476" s="334"/>
      <c r="W476" s="334"/>
      <c r="X476" s="334"/>
      <c r="Y476" s="334">
        <v>10</v>
      </c>
      <c r="Z476" s="314" t="s">
        <v>250</v>
      </c>
      <c r="AB476" s="334" t="s">
        <v>311</v>
      </c>
      <c r="AC476" s="334" t="s">
        <v>1702</v>
      </c>
      <c r="AG476" s="334"/>
      <c r="AH476" s="334"/>
      <c r="AQ476" s="322">
        <v>153</v>
      </c>
      <c r="AR476" s="323"/>
      <c r="AS476" t="b">
        <v>1</v>
      </c>
      <c r="AT476"/>
      <c r="AU476"/>
      <c r="AV476"/>
      <c r="AW476" s="334"/>
      <c r="AX476" s="334"/>
      <c r="AZ476" s="334"/>
    </row>
    <row r="477" spans="1:52">
      <c r="A477" s="277" t="s">
        <v>16</v>
      </c>
      <c r="B477" s="334" t="s">
        <v>1669</v>
      </c>
      <c r="C477" s="334">
        <f>'MauClaire 2006'!A8</f>
        <v>3.5</v>
      </c>
      <c r="D477" s="301">
        <f>'MauClaire 2006'!D8</f>
        <v>58325123.152709365</v>
      </c>
      <c r="E477" s="301">
        <f>'MauClaire 2006'!G8</f>
        <v>7915552.4278676994</v>
      </c>
      <c r="F477" s="301">
        <f>'MauClaire 2006'!K8</f>
        <v>3749472.2026741733</v>
      </c>
      <c r="G477" s="301">
        <f>E477+F477</f>
        <v>11665024.630541872</v>
      </c>
      <c r="H477" s="336">
        <f>G477/D477</f>
        <v>0.19999999999999998</v>
      </c>
      <c r="M477" s="27">
        <f>F477/G477</f>
        <v>0.32142857142857145</v>
      </c>
      <c r="O477" s="229" t="s">
        <v>1247</v>
      </c>
      <c r="P477" s="334">
        <f>'MauClaire 2006'!L8</f>
        <v>14.27</v>
      </c>
      <c r="Q477" s="301" t="b">
        <v>1</v>
      </c>
      <c r="R477" s="304" t="s">
        <v>460</v>
      </c>
      <c r="S477" s="304" t="s">
        <v>142</v>
      </c>
      <c r="T477" s="334" t="s">
        <v>1365</v>
      </c>
      <c r="U477" s="334" t="s">
        <v>1365</v>
      </c>
      <c r="V477" s="334"/>
      <c r="W477" s="334"/>
      <c r="X477" s="334"/>
      <c r="Y477" s="334"/>
      <c r="Z477" s="334"/>
      <c r="AB477" s="334" t="s">
        <v>311</v>
      </c>
      <c r="AC477" s="334" t="s">
        <v>1702</v>
      </c>
      <c r="AG477" s="334"/>
      <c r="AH477" s="334"/>
      <c r="AQ477" s="322">
        <v>153</v>
      </c>
      <c r="AR477" s="323"/>
      <c r="AS477" t="b">
        <v>1</v>
      </c>
      <c r="AT477"/>
      <c r="AU477"/>
      <c r="AV477"/>
      <c r="AW477" s="334"/>
      <c r="AX477" s="334"/>
      <c r="AZ477" s="334"/>
    </row>
    <row r="478" spans="1:52">
      <c r="A478" s="277" t="s">
        <v>16</v>
      </c>
      <c r="B478" s="334" t="s">
        <v>1669</v>
      </c>
      <c r="C478" s="334">
        <f>'MauClaire 2006'!A9</f>
        <v>27</v>
      </c>
      <c r="D478" s="301">
        <f>'MauClaire 2006'!D9</f>
        <v>90126044.388297051</v>
      </c>
      <c r="E478" s="301">
        <f>'MauClaire 2006'!G9</f>
        <v>19312723.797492221</v>
      </c>
      <c r="F478" s="301">
        <f>'MauClaire 2006'!K9</f>
        <v>12875149.198328152</v>
      </c>
      <c r="G478" s="301">
        <f>E478+F478</f>
        <v>32187872.995820373</v>
      </c>
      <c r="H478" s="27">
        <f>G478/D478</f>
        <v>0.3571428571428571</v>
      </c>
      <c r="M478" s="27">
        <f>F478/G478</f>
        <v>0.40000000000000008</v>
      </c>
      <c r="O478" s="229" t="s">
        <v>1247</v>
      </c>
      <c r="P478" s="334">
        <f>'MauClaire 2006'!L9</f>
        <v>1.88</v>
      </c>
      <c r="Q478" s="301" t="b">
        <v>1</v>
      </c>
      <c r="R478" s="304" t="s">
        <v>460</v>
      </c>
      <c r="S478" s="304" t="s">
        <v>142</v>
      </c>
      <c r="T478" s="334" t="s">
        <v>1365</v>
      </c>
      <c r="U478" s="334" t="s">
        <v>1365</v>
      </c>
      <c r="V478" s="334"/>
      <c r="W478" s="334"/>
      <c r="X478" s="334"/>
      <c r="Y478" s="334"/>
      <c r="Z478" s="334"/>
      <c r="AB478" s="334" t="s">
        <v>311</v>
      </c>
      <c r="AC478" s="334" t="s">
        <v>1702</v>
      </c>
      <c r="AG478" s="334"/>
      <c r="AH478" s="334"/>
      <c r="AQ478" s="322">
        <v>153</v>
      </c>
      <c r="AR478" s="323"/>
      <c r="AS478" t="b">
        <v>1</v>
      </c>
      <c r="AT478"/>
      <c r="AU478"/>
      <c r="AV478"/>
      <c r="AW478" s="334"/>
      <c r="AX478" s="334"/>
      <c r="AZ478" s="334"/>
    </row>
    <row r="479" spans="1:52">
      <c r="A479" s="277" t="s">
        <v>16</v>
      </c>
      <c r="B479" s="334" t="s">
        <v>1669</v>
      </c>
      <c r="C479" s="334">
        <f>'MauClaire 2006'!A10</f>
        <v>37</v>
      </c>
      <c r="D479" s="301">
        <f>'MauClaire 2006'!D10</f>
        <v>29635582.791270059</v>
      </c>
      <c r="E479" s="301">
        <f>'MauClaire 2006'!G10</f>
        <v>4868702.887137223</v>
      </c>
      <c r="F479" s="301">
        <f>'MauClaire 2006'!K10</f>
        <v>2328510.0764569337</v>
      </c>
      <c r="G479" s="301">
        <f>E479+F479</f>
        <v>7197212.9635941572</v>
      </c>
      <c r="H479" s="27">
        <f>G479/D479</f>
        <v>0.24285714285714285</v>
      </c>
      <c r="M479" s="27">
        <f>F479/G479</f>
        <v>0.32352941176470595</v>
      </c>
      <c r="O479" s="229" t="s">
        <v>1247</v>
      </c>
      <c r="P479" s="334">
        <f>'MauClaire 2006'!L10</f>
        <v>0</v>
      </c>
      <c r="Q479" s="301" t="b">
        <v>1</v>
      </c>
      <c r="R479" s="304" t="s">
        <v>460</v>
      </c>
      <c r="S479" s="304" t="s">
        <v>142</v>
      </c>
      <c r="T479" s="334" t="s">
        <v>1365</v>
      </c>
      <c r="U479" s="334" t="s">
        <v>1365</v>
      </c>
      <c r="V479" s="334"/>
      <c r="W479" s="334"/>
      <c r="X479" s="334"/>
      <c r="Y479" s="334"/>
      <c r="Z479" s="334"/>
      <c r="AB479" s="334" t="s">
        <v>311</v>
      </c>
      <c r="AC479" s="334" t="s">
        <v>1702</v>
      </c>
      <c r="AG479" s="334"/>
      <c r="AH479" s="334"/>
      <c r="AQ479" s="322">
        <v>153</v>
      </c>
      <c r="AR479" s="323"/>
      <c r="AS479" t="b">
        <v>1</v>
      </c>
      <c r="AT479"/>
      <c r="AU479"/>
      <c r="AV479"/>
      <c r="AW479" s="334"/>
      <c r="AX479" s="334"/>
      <c r="AZ479" s="334"/>
    </row>
    <row r="480" spans="1:52">
      <c r="A480" s="277" t="s">
        <v>16</v>
      </c>
      <c r="B480" s="334" t="s">
        <v>1669</v>
      </c>
      <c r="C480" s="334">
        <f>'MauClaire 2006'!A11</f>
        <v>39</v>
      </c>
      <c r="D480" s="301">
        <f>'MauClaire 2006'!D11</f>
        <v>59011731.247778185</v>
      </c>
      <c r="E480" s="301">
        <f>'MauClaire 2006'!G11</f>
        <v>10116296.785333402</v>
      </c>
      <c r="F480" s="301">
        <f>'MauClaire 2006'!K11</f>
        <v>8008734.9550556112</v>
      </c>
      <c r="G480" s="301">
        <f>E480+F480</f>
        <v>18125031.740389012</v>
      </c>
      <c r="H480" s="27">
        <f>G480/D480</f>
        <v>0.30714285714285711</v>
      </c>
      <c r="M480" s="27">
        <f>F480/G480</f>
        <v>0.44186046511627913</v>
      </c>
      <c r="O480" s="229" t="s">
        <v>1247</v>
      </c>
      <c r="P480" s="334">
        <f>'MauClaire 2006'!L11</f>
        <v>0</v>
      </c>
      <c r="Q480" s="301" t="b">
        <v>1</v>
      </c>
      <c r="R480" s="304" t="s">
        <v>460</v>
      </c>
      <c r="S480" t="s">
        <v>142</v>
      </c>
      <c r="T480" s="334" t="s">
        <v>1365</v>
      </c>
      <c r="U480" s="334" t="s">
        <v>1365</v>
      </c>
      <c r="V480" s="334"/>
      <c r="W480" s="334"/>
      <c r="X480" s="334"/>
      <c r="Y480" s="334"/>
      <c r="Z480" s="334"/>
      <c r="AB480" s="334" t="s">
        <v>311</v>
      </c>
      <c r="AC480" s="334" t="s">
        <v>1702</v>
      </c>
      <c r="AG480" s="334"/>
      <c r="AH480" s="334"/>
      <c r="AQ480" s="322">
        <v>153</v>
      </c>
      <c r="AR480" s="323"/>
      <c r="AS480" t="b">
        <v>1</v>
      </c>
      <c r="AT480"/>
      <c r="AU480"/>
      <c r="AV480"/>
      <c r="AW480" s="334"/>
      <c r="AX480" s="334"/>
      <c r="AZ480" s="334"/>
    </row>
    <row r="481" spans="1:52">
      <c r="A481" s="277" t="s">
        <v>16</v>
      </c>
      <c r="B481" s="334" t="s">
        <v>1669</v>
      </c>
      <c r="C481" s="334">
        <f>'MauClaire 2006'!A12</f>
        <v>60</v>
      </c>
      <c r="D481" s="301">
        <f>'MauClaire 2006'!D12</f>
        <v>47526501.766784452</v>
      </c>
      <c r="E481" s="301">
        <f>'MauClaire 2006'!G12</f>
        <v>7468450.2776375581</v>
      </c>
      <c r="F481" s="301">
        <f>'MauClaire 2006'!K12</f>
        <v>4073700.1514386665</v>
      </c>
      <c r="G481" s="301">
        <f>E481+F481</f>
        <v>11542150.429076225</v>
      </c>
      <c r="H481" s="27">
        <f>G481/D481</f>
        <v>0.24285714285714285</v>
      </c>
      <c r="M481" s="27">
        <f>F481/G481</f>
        <v>0.35294117647058815</v>
      </c>
      <c r="O481" s="229" t="s">
        <v>1247</v>
      </c>
      <c r="P481" s="334">
        <f>'MauClaire 2006'!L12</f>
        <v>0</v>
      </c>
      <c r="Q481" s="301" t="b">
        <v>1</v>
      </c>
      <c r="R481" s="304" t="s">
        <v>460</v>
      </c>
      <c r="S481" t="s">
        <v>142</v>
      </c>
      <c r="T481" s="334" t="s">
        <v>1365</v>
      </c>
      <c r="U481" s="334" t="s">
        <v>1365</v>
      </c>
      <c r="V481" s="334"/>
      <c r="W481" s="334"/>
      <c r="X481" s="334"/>
      <c r="Y481" s="334"/>
      <c r="Z481" s="334"/>
      <c r="AA481" s="327"/>
      <c r="AB481" s="334" t="s">
        <v>311</v>
      </c>
      <c r="AC481" s="334" t="s">
        <v>1702</v>
      </c>
      <c r="AD481" s="327"/>
      <c r="AE481" s="327"/>
      <c r="AF481" s="327"/>
      <c r="AG481" s="334"/>
      <c r="AH481" s="334"/>
      <c r="AI481" s="327"/>
      <c r="AJ481" s="327"/>
      <c r="AK481" s="327"/>
      <c r="AL481" s="327"/>
      <c r="AM481" s="327"/>
      <c r="AQ481" s="322">
        <v>153</v>
      </c>
      <c r="AR481" s="322"/>
      <c r="AS481" t="b">
        <v>1</v>
      </c>
      <c r="AV481" s="327"/>
      <c r="AW481" s="334"/>
      <c r="AX481" s="334"/>
      <c r="AZ481" s="334"/>
    </row>
    <row r="482" spans="1:52">
      <c r="A482" s="277" t="s">
        <v>16</v>
      </c>
      <c r="B482" s="334" t="s">
        <v>1669</v>
      </c>
      <c r="C482" s="334">
        <f>'MauClaire 2006'!A13</f>
        <v>75</v>
      </c>
      <c r="D482" s="301">
        <f>'MauClaire 2006'!D13</f>
        <v>56061557.788944721</v>
      </c>
      <c r="E482" s="301">
        <f>'MauClaire 2006'!G13</f>
        <v>6407035.1758793974</v>
      </c>
      <c r="F482" s="301">
        <f>'MauClaire 2006'!K13</f>
        <v>9210113.0653266329</v>
      </c>
      <c r="G482" s="301">
        <f>E482+F482</f>
        <v>15617148.241206031</v>
      </c>
      <c r="H482" s="336">
        <f>G482/D482</f>
        <v>0.27857142857142858</v>
      </c>
      <c r="M482" s="27">
        <f>F482/G482</f>
        <v>0.58974358974358965</v>
      </c>
      <c r="O482" s="229" t="s">
        <v>1247</v>
      </c>
      <c r="P482" s="334">
        <f>'MauClaire 2006'!L13</f>
        <v>0</v>
      </c>
      <c r="Q482" s="301" t="b">
        <v>1</v>
      </c>
      <c r="R482" s="304" t="s">
        <v>460</v>
      </c>
      <c r="S482" t="s">
        <v>142</v>
      </c>
      <c r="T482" s="334" t="s">
        <v>1365</v>
      </c>
      <c r="U482" s="334" t="s">
        <v>1365</v>
      </c>
      <c r="V482" s="334"/>
      <c r="W482" s="334"/>
      <c r="X482" s="334"/>
      <c r="Y482" s="334"/>
      <c r="Z482" s="334"/>
      <c r="AA482" s="327"/>
      <c r="AB482" s="334" t="s">
        <v>311</v>
      </c>
      <c r="AC482" s="334" t="s">
        <v>1702</v>
      </c>
      <c r="AD482" s="327"/>
      <c r="AE482" s="327"/>
      <c r="AF482" s="327"/>
      <c r="AG482" s="334"/>
      <c r="AH482" s="334"/>
      <c r="AI482" s="327"/>
      <c r="AJ482" s="327"/>
      <c r="AK482" s="327"/>
      <c r="AL482" s="327"/>
      <c r="AM482" s="327"/>
      <c r="AQ482" s="322">
        <v>153</v>
      </c>
      <c r="AR482" s="326"/>
      <c r="AS482" t="b">
        <v>1</v>
      </c>
      <c r="AV482" s="327"/>
      <c r="AW482" s="334"/>
      <c r="AX482" s="334"/>
      <c r="AZ482" s="334"/>
    </row>
    <row r="483" spans="1:52">
      <c r="A483" s="277" t="s">
        <v>16</v>
      </c>
      <c r="B483" s="334" t="s">
        <v>1669</v>
      </c>
      <c r="C483" s="334">
        <f>'MauClaire 2006'!A14</f>
        <v>103</v>
      </c>
      <c r="D483" s="301">
        <f>'MauClaire 2006'!D14</f>
        <v>23257971.321794901</v>
      </c>
      <c r="E483" s="301">
        <f>'MauClaire 2006'!G14</f>
        <v>6977391.3965384699</v>
      </c>
      <c r="F483" s="301">
        <f>'MauClaire 2006'!K14</f>
        <v>5980621.1970329741</v>
      </c>
      <c r="G483" s="301">
        <f>E483+F483</f>
        <v>12958012.593571443</v>
      </c>
      <c r="H483" s="27">
        <f>G483/D483</f>
        <v>0.55714285714285705</v>
      </c>
      <c r="M483" s="27">
        <f>F483/G483</f>
        <v>0.46153846153846156</v>
      </c>
      <c r="O483" s="229" t="s">
        <v>1247</v>
      </c>
      <c r="P483" s="334">
        <f>'MauClaire 2006'!L14</f>
        <v>4.0599999999999996</v>
      </c>
      <c r="Q483" s="301" t="b">
        <v>1</v>
      </c>
      <c r="R483" s="304" t="s">
        <v>460</v>
      </c>
      <c r="S483" t="s">
        <v>142</v>
      </c>
      <c r="T483" s="334" t="s">
        <v>1365</v>
      </c>
      <c r="U483" s="334" t="s">
        <v>1365</v>
      </c>
      <c r="V483" s="334"/>
      <c r="W483" s="334"/>
      <c r="X483" s="334"/>
      <c r="Y483" s="334"/>
      <c r="Z483" s="334"/>
      <c r="AA483" s="327"/>
      <c r="AB483" s="334" t="s">
        <v>311</v>
      </c>
      <c r="AC483" s="334" t="s">
        <v>1702</v>
      </c>
      <c r="AD483" s="327"/>
      <c r="AE483" s="327"/>
      <c r="AF483" s="327"/>
      <c r="AG483" s="334"/>
      <c r="AH483" s="334"/>
      <c r="AI483" s="327"/>
      <c r="AJ483" s="327"/>
      <c r="AK483" s="327"/>
      <c r="AL483" s="327"/>
      <c r="AM483" s="327"/>
      <c r="AQ483" s="326">
        <v>153</v>
      </c>
      <c r="AR483" s="326"/>
      <c r="AS483" t="b">
        <v>1</v>
      </c>
      <c r="AV483" s="327"/>
      <c r="AW483" s="334"/>
      <c r="AX483" s="334"/>
      <c r="AZ483" s="334"/>
    </row>
    <row r="484" spans="1:52">
      <c r="A484" s="277" t="s">
        <v>16</v>
      </c>
      <c r="B484" s="334" t="s">
        <v>1669</v>
      </c>
      <c r="C484" s="334">
        <f>'MauClaire 2006'!A15</f>
        <v>110</v>
      </c>
      <c r="D484" s="301">
        <f>'MauClaire 2006'!D15</f>
        <v>35432767.607261151</v>
      </c>
      <c r="E484" s="301">
        <f>'MauClaire 2006'!G15</f>
        <v>7845827.1130363978</v>
      </c>
      <c r="F484" s="301">
        <f>'MauClaire 2006'!K15</f>
        <v>9870556.6905941777</v>
      </c>
      <c r="G484" s="301">
        <f>E484+F484</f>
        <v>17716383.803630576</v>
      </c>
      <c r="H484" s="336">
        <f>G484/D484</f>
        <v>0.5</v>
      </c>
      <c r="I484" s="334"/>
      <c r="M484" s="27">
        <f>F484/G484</f>
        <v>0.55714285714285716</v>
      </c>
      <c r="O484" s="229" t="s">
        <v>1247</v>
      </c>
      <c r="P484" s="334">
        <f>'MauClaire 2006'!L15</f>
        <v>5.55</v>
      </c>
      <c r="Q484" s="301" t="b">
        <v>1</v>
      </c>
      <c r="R484" s="304" t="s">
        <v>460</v>
      </c>
      <c r="S484" t="s">
        <v>142</v>
      </c>
      <c r="T484" s="334" t="s">
        <v>1365</v>
      </c>
      <c r="U484" s="334" t="s">
        <v>1365</v>
      </c>
      <c r="V484" s="334"/>
      <c r="W484" s="334"/>
      <c r="X484" s="334"/>
      <c r="Y484" s="334"/>
      <c r="Z484" s="334"/>
      <c r="AA484" s="327"/>
      <c r="AB484" s="334" t="s">
        <v>311</v>
      </c>
      <c r="AC484" s="334" t="s">
        <v>1702</v>
      </c>
      <c r="AD484" s="327"/>
      <c r="AE484" s="327"/>
      <c r="AF484" s="327"/>
      <c r="AG484" s="334"/>
      <c r="AH484" s="334"/>
      <c r="AI484" s="327"/>
      <c r="AJ484" s="327"/>
      <c r="AK484" s="327"/>
      <c r="AL484" s="327"/>
      <c r="AM484" s="327"/>
      <c r="AQ484" s="326">
        <v>153</v>
      </c>
      <c r="AR484" s="326"/>
      <c r="AS484" t="b">
        <v>1</v>
      </c>
      <c r="AV484" s="327"/>
      <c r="AW484" s="334"/>
      <c r="AX484" s="334"/>
      <c r="AZ484" s="334"/>
    </row>
    <row r="485" spans="1:52">
      <c r="A485" s="277" t="s">
        <v>294</v>
      </c>
      <c r="B485" s="334" t="s">
        <v>39</v>
      </c>
      <c r="C485" s="334">
        <f>'Meyer-Dombard 2012'!B5</f>
        <v>0.1</v>
      </c>
      <c r="D485" s="301">
        <f>'Meyer-Dombard 2012'!C5</f>
        <v>98000</v>
      </c>
      <c r="E485" s="301">
        <f>'Meyer-Dombard 2012'!F5</f>
        <v>79380</v>
      </c>
      <c r="F485" s="301">
        <f>'Meyer-Dombard 2012'!G5</f>
        <v>18620</v>
      </c>
      <c r="G485" s="301">
        <f>E485+F485</f>
        <v>98000</v>
      </c>
      <c r="H485" s="27">
        <f>G485/D485</f>
        <v>1</v>
      </c>
      <c r="I485" s="334"/>
      <c r="M485" s="27">
        <f>F485/G485</f>
        <v>0.19</v>
      </c>
      <c r="O485" s="229" t="s">
        <v>943</v>
      </c>
      <c r="P485" s="334"/>
      <c r="R485" s="304" t="s">
        <v>460</v>
      </c>
      <c r="S485" t="s">
        <v>140</v>
      </c>
      <c r="T485" t="s">
        <v>47</v>
      </c>
      <c r="U485" t="s">
        <v>47</v>
      </c>
      <c r="V485" s="334"/>
      <c r="W485" s="334"/>
      <c r="X485" s="334"/>
      <c r="Y485" s="334"/>
      <c r="Z485" s="334"/>
      <c r="AA485" s="327"/>
      <c r="AB485" s="334" t="s">
        <v>1704</v>
      </c>
      <c r="AC485" s="334" t="s">
        <v>1703</v>
      </c>
      <c r="AD485" s="327"/>
      <c r="AE485" s="327"/>
      <c r="AF485" s="327"/>
      <c r="AG485" s="334"/>
      <c r="AH485" s="334"/>
      <c r="AI485" s="327"/>
      <c r="AJ485" s="327"/>
      <c r="AK485" s="327"/>
      <c r="AL485" s="327"/>
      <c r="AM485" s="327"/>
      <c r="AQ485" s="326">
        <v>20</v>
      </c>
      <c r="AR485" s="326"/>
      <c r="AV485" s="327"/>
      <c r="AW485" s="334"/>
      <c r="AX485" s="334"/>
      <c r="AZ485" s="334"/>
    </row>
    <row r="486" spans="1:52">
      <c r="A486" s="277" t="s">
        <v>294</v>
      </c>
      <c r="B486" s="334" t="s">
        <v>39</v>
      </c>
      <c r="C486" s="334">
        <f>'Meyer-Dombard 2012'!B6</f>
        <v>0.5</v>
      </c>
      <c r="D486" s="301">
        <f>'Meyer-Dombard 2012'!C6</f>
        <v>83000</v>
      </c>
      <c r="E486" s="301">
        <f>'Meyer-Dombard 2012'!F6</f>
        <v>69305</v>
      </c>
      <c r="F486" s="301">
        <f>'Meyer-Dombard 2012'!G6</f>
        <v>13280</v>
      </c>
      <c r="G486" s="301">
        <f>E486+F486</f>
        <v>82585</v>
      </c>
      <c r="H486" s="27">
        <f>G486/D486</f>
        <v>0.995</v>
      </c>
      <c r="M486" s="27">
        <f>F486/G486</f>
        <v>0.16080402010050251</v>
      </c>
      <c r="O486" s="229" t="s">
        <v>943</v>
      </c>
      <c r="P486" s="334"/>
      <c r="R486" s="304" t="s">
        <v>460</v>
      </c>
      <c r="S486" t="s">
        <v>140</v>
      </c>
      <c r="T486" t="s">
        <v>47</v>
      </c>
      <c r="U486" t="s">
        <v>47</v>
      </c>
      <c r="V486" s="334"/>
      <c r="W486" s="334"/>
      <c r="X486" s="334"/>
      <c r="Y486" s="334"/>
      <c r="Z486" s="334"/>
      <c r="AA486" s="327"/>
      <c r="AB486" s="334" t="s">
        <v>1704</v>
      </c>
      <c r="AC486" s="334" t="s">
        <v>1703</v>
      </c>
      <c r="AD486" s="327"/>
      <c r="AE486" s="327"/>
      <c r="AF486" s="327"/>
      <c r="AG486" s="334"/>
      <c r="AH486" s="334"/>
      <c r="AI486" s="327"/>
      <c r="AJ486" s="327"/>
      <c r="AK486" s="327"/>
      <c r="AL486" s="327"/>
      <c r="AM486" s="327"/>
      <c r="AQ486" s="326">
        <v>20</v>
      </c>
      <c r="AR486" s="326"/>
      <c r="AV486" s="327"/>
      <c r="AW486" s="334"/>
      <c r="AX486" s="334"/>
      <c r="AZ486" s="334"/>
    </row>
    <row r="487" spans="1:52">
      <c r="A487" s="277" t="s">
        <v>1736</v>
      </c>
      <c r="B487" s="334" t="s">
        <v>1483</v>
      </c>
      <c r="C487" s="181">
        <f>'EXD Molari 2011'!C6</f>
        <v>0</v>
      </c>
      <c r="D487" s="301">
        <f>'EXD Molari 2011'!L6</f>
        <v>1987397260.2739727</v>
      </c>
      <c r="F487" s="301">
        <f>'EXD Molari 2011'!I6</f>
        <v>673150684.93150687</v>
      </c>
      <c r="O487" s="229" t="s">
        <v>1247</v>
      </c>
      <c r="P487" s="334"/>
      <c r="R487" s="304" t="s">
        <v>1395</v>
      </c>
      <c r="S487" t="s">
        <v>141</v>
      </c>
      <c r="T487" t="s">
        <v>145</v>
      </c>
      <c r="U487" t="s">
        <v>147</v>
      </c>
      <c r="V487" s="313">
        <v>0.55000000000000004</v>
      </c>
      <c r="W487" s="334" t="s">
        <v>108</v>
      </c>
      <c r="X487" s="334" t="s">
        <v>251</v>
      </c>
      <c r="Y487" s="334" t="s">
        <v>96</v>
      </c>
      <c r="Z487" s="334" t="s">
        <v>109</v>
      </c>
      <c r="AA487" s="327"/>
      <c r="AB487" s="334" t="s">
        <v>311</v>
      </c>
      <c r="AC487" s="334" t="s">
        <v>1702</v>
      </c>
      <c r="AD487" s="327"/>
      <c r="AE487" s="327"/>
      <c r="AF487" s="327"/>
      <c r="AG487" s="334"/>
      <c r="AH487" s="334"/>
      <c r="AI487" s="327"/>
      <c r="AJ487" s="327"/>
      <c r="AK487" s="327"/>
      <c r="AL487" s="327"/>
      <c r="AQ487" s="322">
        <v>15</v>
      </c>
      <c r="AR487" s="326"/>
      <c r="AS487" t="b">
        <v>1</v>
      </c>
      <c r="AV487" s="327"/>
      <c r="AW487" s="334"/>
      <c r="AX487" s="334"/>
      <c r="AZ487" s="334"/>
    </row>
    <row r="488" spans="1:52">
      <c r="A488" s="277" t="s">
        <v>1736</v>
      </c>
      <c r="B488" s="334" t="s">
        <v>1483</v>
      </c>
      <c r="C488" s="181">
        <f>'EXD Molari 2011'!C7</f>
        <v>1.6161616161616162E-2</v>
      </c>
      <c r="D488" s="301">
        <f>'EXD Molari 2011'!L7</f>
        <v>2030136986.3013699</v>
      </c>
      <c r="E488" s="301">
        <f>'EXD Molari 2011'!F7</f>
        <v>918904109.58904111</v>
      </c>
      <c r="F488" s="301">
        <f>'EXD Molari 2011'!I7</f>
        <v>341917808.21917808</v>
      </c>
      <c r="G488" s="301">
        <f>E488+F488</f>
        <v>1260821917.8082192</v>
      </c>
      <c r="H488" s="27">
        <f>G488/D488</f>
        <v>0.62105263157894741</v>
      </c>
      <c r="M488" s="27">
        <f>F488/G488</f>
        <v>0.2711864406779661</v>
      </c>
      <c r="O488" s="229" t="s">
        <v>1247</v>
      </c>
      <c r="P488" s="334"/>
      <c r="R488" s="334" t="s">
        <v>1395</v>
      </c>
      <c r="S488" t="s">
        <v>141</v>
      </c>
      <c r="T488" t="s">
        <v>145</v>
      </c>
      <c r="U488" t="s">
        <v>147</v>
      </c>
      <c r="V488" s="313">
        <v>0.55000000000000004</v>
      </c>
      <c r="W488" s="334" t="s">
        <v>108</v>
      </c>
      <c r="X488" s="334" t="s">
        <v>251</v>
      </c>
      <c r="Y488" s="334" t="s">
        <v>96</v>
      </c>
      <c r="Z488" s="334" t="s">
        <v>109</v>
      </c>
      <c r="AA488" s="327"/>
      <c r="AB488" s="334" t="s">
        <v>311</v>
      </c>
      <c r="AC488" s="334" t="s">
        <v>1702</v>
      </c>
      <c r="AD488" s="327"/>
      <c r="AE488" s="327"/>
      <c r="AF488" s="327"/>
      <c r="AG488" s="334"/>
      <c r="AH488" s="334"/>
      <c r="AI488" s="327"/>
      <c r="AJ488" s="327"/>
      <c r="AK488" s="327"/>
      <c r="AL488" s="327"/>
      <c r="AQ488" s="322">
        <v>15</v>
      </c>
      <c r="AR488" s="326"/>
      <c r="AS488" t="b">
        <v>1</v>
      </c>
      <c r="AV488" s="327"/>
      <c r="AW488" s="334"/>
      <c r="AX488" s="334"/>
      <c r="AZ488" s="334"/>
    </row>
    <row r="489" spans="1:52">
      <c r="A489" s="277" t="s">
        <v>1736</v>
      </c>
      <c r="B489" s="334" t="s">
        <v>1483</v>
      </c>
      <c r="C489" s="181">
        <f>'EXD Molari 2011'!C8</f>
        <v>2.4242424242424242E-2</v>
      </c>
      <c r="D489" s="301">
        <f>'EXD Molari 2011'!L8</f>
        <v>1923287671.2328768</v>
      </c>
      <c r="E489" s="301">
        <f>'EXD Molari 2011'!F8</f>
        <v>769315068.49315071</v>
      </c>
      <c r="F489" s="301">
        <f>'EXD Molari 2011'!I8</f>
        <v>523561643.83561647</v>
      </c>
      <c r="G489" s="301">
        <f>E489+F489</f>
        <v>1292876712.3287673</v>
      </c>
      <c r="H489" s="27">
        <f>G489/D489</f>
        <v>0.67222222222222228</v>
      </c>
      <c r="M489" s="27">
        <f>F489/G489</f>
        <v>0.4049586776859504</v>
      </c>
      <c r="O489" s="229" t="s">
        <v>1247</v>
      </c>
      <c r="P489" s="334"/>
      <c r="R489" s="334" t="s">
        <v>1395</v>
      </c>
      <c r="S489" t="s">
        <v>141</v>
      </c>
      <c r="T489" t="s">
        <v>145</v>
      </c>
      <c r="U489" t="s">
        <v>147</v>
      </c>
      <c r="V489" s="313">
        <v>0.55000000000000004</v>
      </c>
      <c r="W489" s="334" t="s">
        <v>108</v>
      </c>
      <c r="X489" s="334" t="s">
        <v>251</v>
      </c>
      <c r="Y489" s="334" t="s">
        <v>96</v>
      </c>
      <c r="Z489" s="334" t="s">
        <v>109</v>
      </c>
      <c r="AA489" s="327"/>
      <c r="AB489" s="334" t="s">
        <v>311</v>
      </c>
      <c r="AC489" s="334" t="s">
        <v>1702</v>
      </c>
      <c r="AD489" s="327"/>
      <c r="AE489" s="327"/>
      <c r="AF489" s="327"/>
      <c r="AG489" s="334"/>
      <c r="AH489" s="334"/>
      <c r="AI489" s="327"/>
      <c r="AJ489" s="327"/>
      <c r="AK489" s="327"/>
      <c r="AL489" s="327"/>
      <c r="AQ489" s="326">
        <v>15</v>
      </c>
      <c r="AR489" s="326"/>
      <c r="AS489" t="b">
        <v>1</v>
      </c>
      <c r="AV489" s="327"/>
      <c r="AW489" s="334"/>
      <c r="AX489" s="334"/>
      <c r="AZ489" s="334"/>
    </row>
    <row r="490" spans="1:52">
      <c r="A490" s="277" t="s">
        <v>1736</v>
      </c>
      <c r="B490" s="334" t="s">
        <v>1483</v>
      </c>
      <c r="C490" s="181">
        <f>'EXD Molari 2011'!C9</f>
        <v>4.0404040404040407E-2</v>
      </c>
      <c r="D490" s="301">
        <f>'EXD Molari 2011'!L9</f>
        <v>1987397260.2739727</v>
      </c>
      <c r="E490" s="301">
        <f>'EXD Molari 2011'!F9</f>
        <v>1111232876.7123289</v>
      </c>
      <c r="F490" s="301">
        <f>'EXD Molari 2011'!I9</f>
        <v>341917808.21917808</v>
      </c>
      <c r="G490" s="301">
        <f>E490+F490</f>
        <v>1453150684.9315071</v>
      </c>
      <c r="H490" s="27">
        <f>G490/D490</f>
        <v>0.73118279569892486</v>
      </c>
      <c r="M490" s="27">
        <f>F490/G490</f>
        <v>0.23529411764705879</v>
      </c>
      <c r="O490" s="229" t="s">
        <v>1247</v>
      </c>
      <c r="P490" s="334"/>
      <c r="R490" s="334" t="s">
        <v>1395</v>
      </c>
      <c r="S490" t="s">
        <v>141</v>
      </c>
      <c r="T490" t="s">
        <v>145</v>
      </c>
      <c r="U490" t="s">
        <v>147</v>
      </c>
      <c r="V490" s="313">
        <v>0.55000000000000004</v>
      </c>
      <c r="W490" s="334" t="s">
        <v>108</v>
      </c>
      <c r="X490" s="334" t="s">
        <v>251</v>
      </c>
      <c r="Y490" s="334" t="s">
        <v>96</v>
      </c>
      <c r="Z490" s="334" t="s">
        <v>109</v>
      </c>
      <c r="AA490" s="327"/>
      <c r="AB490" s="334" t="s">
        <v>311</v>
      </c>
      <c r="AC490" s="334" t="s">
        <v>1702</v>
      </c>
      <c r="AD490" s="327"/>
      <c r="AE490" s="327"/>
      <c r="AF490" s="327"/>
      <c r="AG490" s="334"/>
      <c r="AH490" s="334"/>
      <c r="AI490" s="327"/>
      <c r="AJ490" s="327"/>
      <c r="AK490" s="327"/>
      <c r="AL490" s="327"/>
      <c r="AQ490" s="326">
        <v>15</v>
      </c>
      <c r="AR490" s="326"/>
      <c r="AS490" t="b">
        <v>1</v>
      </c>
      <c r="AV490" s="327"/>
      <c r="AW490" s="334"/>
      <c r="AX490" s="334"/>
      <c r="AZ490" s="334"/>
    </row>
    <row r="491" spans="1:52">
      <c r="A491" s="277" t="s">
        <v>1736</v>
      </c>
      <c r="B491" s="334" t="s">
        <v>1483</v>
      </c>
      <c r="C491" s="181">
        <f>'EXD Molari 2011'!C10</f>
        <v>5.6565656565656569E-2</v>
      </c>
      <c r="D491" s="301">
        <f>'EXD Molari 2011'!L10</f>
        <v>1538630136.9863014</v>
      </c>
      <c r="E491" s="301">
        <f>'EXD Molari 2011'!F10</f>
        <v>1089863013.6986301</v>
      </c>
      <c r="F491" s="301">
        <f>'EXD Molari 2011'!I10</f>
        <v>512876712.32876718</v>
      </c>
      <c r="G491" s="301">
        <f>E491+F491</f>
        <v>1602739726.0273972</v>
      </c>
      <c r="H491" s="27">
        <f>G491/D491</f>
        <v>1.0416666666666665</v>
      </c>
      <c r="M491" s="27">
        <f>F491/G491</f>
        <v>0.32000000000000006</v>
      </c>
      <c r="O491" s="229" t="s">
        <v>1247</v>
      </c>
      <c r="P491" s="334"/>
      <c r="R491" s="334" t="s">
        <v>1395</v>
      </c>
      <c r="S491" t="s">
        <v>141</v>
      </c>
      <c r="T491" t="s">
        <v>145</v>
      </c>
      <c r="U491" t="s">
        <v>147</v>
      </c>
      <c r="V491" s="313">
        <v>0.55000000000000004</v>
      </c>
      <c r="W491" s="334" t="s">
        <v>108</v>
      </c>
      <c r="X491" s="334" t="s">
        <v>251</v>
      </c>
      <c r="Y491" s="334" t="s">
        <v>96</v>
      </c>
      <c r="Z491" s="334" t="s">
        <v>109</v>
      </c>
      <c r="AA491" s="327"/>
      <c r="AB491" s="334" t="s">
        <v>311</v>
      </c>
      <c r="AC491" s="334" t="s">
        <v>1702</v>
      </c>
      <c r="AD491" s="327"/>
      <c r="AE491" s="327"/>
      <c r="AF491" s="327"/>
      <c r="AG491" s="334"/>
      <c r="AH491" s="334"/>
      <c r="AI491" s="327"/>
      <c r="AJ491" s="327"/>
      <c r="AK491" s="327"/>
      <c r="AL491" s="327"/>
      <c r="AQ491" s="326">
        <v>15</v>
      </c>
      <c r="AR491" s="326"/>
      <c r="AS491" t="b">
        <v>1</v>
      </c>
      <c r="AV491" s="327"/>
      <c r="AW491" s="334"/>
      <c r="AX491" s="334"/>
      <c r="AZ491" s="334"/>
    </row>
    <row r="492" spans="1:52">
      <c r="A492" s="277" t="s">
        <v>1736</v>
      </c>
      <c r="B492" s="334" t="s">
        <v>1483</v>
      </c>
      <c r="C492" s="181">
        <f>'EXD Molari 2011'!C11</f>
        <v>6.4646464646464646E-2</v>
      </c>
      <c r="D492" s="301">
        <f>'EXD Molari 2011'!L11</f>
        <v>1068493150.6849315</v>
      </c>
      <c r="E492" s="301">
        <f>'EXD Molari 2011'!F11</f>
        <v>726575342.46575344</v>
      </c>
      <c r="F492" s="301">
        <f>'EXD Molari 2011'!I11</f>
        <v>576986301.36986303</v>
      </c>
      <c r="G492" s="301">
        <f>E492+F492</f>
        <v>1303561643.8356166</v>
      </c>
      <c r="H492" s="27">
        <f>G492/D492</f>
        <v>1.2200000000000002</v>
      </c>
      <c r="M492" s="27">
        <f>F492/G492</f>
        <v>0.44262295081967207</v>
      </c>
      <c r="O492" s="229" t="s">
        <v>1247</v>
      </c>
      <c r="P492" s="334"/>
      <c r="R492" s="334" t="s">
        <v>1395</v>
      </c>
      <c r="S492" t="s">
        <v>141</v>
      </c>
      <c r="T492" t="s">
        <v>145</v>
      </c>
      <c r="U492" t="s">
        <v>147</v>
      </c>
      <c r="V492" s="313">
        <v>0.55000000000000004</v>
      </c>
      <c r="W492" s="334" t="s">
        <v>108</v>
      </c>
      <c r="X492" s="334" t="s">
        <v>251</v>
      </c>
      <c r="Y492" s="334" t="s">
        <v>96</v>
      </c>
      <c r="Z492" s="334" t="s">
        <v>109</v>
      </c>
      <c r="AA492" s="327"/>
      <c r="AB492" s="334" t="s">
        <v>311</v>
      </c>
      <c r="AC492" s="334" t="s">
        <v>1702</v>
      </c>
      <c r="AD492" s="327"/>
      <c r="AE492" s="327"/>
      <c r="AF492" s="327"/>
      <c r="AG492" s="334"/>
      <c r="AH492" s="334"/>
      <c r="AI492" s="327"/>
      <c r="AJ492" s="327"/>
      <c r="AK492" s="327"/>
      <c r="AL492" s="327"/>
      <c r="AQ492" s="326">
        <v>15</v>
      </c>
      <c r="AR492" s="326"/>
      <c r="AS492" t="b">
        <v>1</v>
      </c>
      <c r="AV492" s="327"/>
      <c r="AW492" s="334"/>
      <c r="AX492" s="334"/>
      <c r="AZ492" s="334"/>
    </row>
    <row r="493" spans="1:52">
      <c r="A493" s="277" t="s">
        <v>1736</v>
      </c>
      <c r="B493" s="334" t="s">
        <v>1483</v>
      </c>
      <c r="C493" s="181">
        <f>'EXD Molari 2011'!C12</f>
        <v>8.8888888888888892E-2</v>
      </c>
      <c r="D493" s="301">
        <f>'EXD Molari 2011'!L12</f>
        <v>1132602739.7260275</v>
      </c>
      <c r="E493" s="301">
        <f>'EXD Molari 2011'!F12</f>
        <v>555616438.35616446</v>
      </c>
      <c r="F493" s="301">
        <f>'EXD Molari 2011'!I12</f>
        <v>448767123.28767127</v>
      </c>
      <c r="G493" s="301">
        <f>E493+F493</f>
        <v>1004383561.6438358</v>
      </c>
      <c r="H493" s="27">
        <f>G493/D493</f>
        <v>0.8867924528301887</v>
      </c>
      <c r="M493" s="27">
        <f>F493/G493</f>
        <v>0.44680851063829785</v>
      </c>
      <c r="O493" s="229" t="s">
        <v>1247</v>
      </c>
      <c r="P493" s="334"/>
      <c r="R493" s="334" t="s">
        <v>1395</v>
      </c>
      <c r="S493" t="s">
        <v>141</v>
      </c>
      <c r="T493" t="s">
        <v>145</v>
      </c>
      <c r="U493" t="s">
        <v>147</v>
      </c>
      <c r="V493" s="313">
        <v>0.55000000000000004</v>
      </c>
      <c r="W493" s="334" t="s">
        <v>108</v>
      </c>
      <c r="X493" s="334" t="s">
        <v>251</v>
      </c>
      <c r="Y493" s="334" t="s">
        <v>96</v>
      </c>
      <c r="Z493" s="334" t="s">
        <v>109</v>
      </c>
      <c r="AA493" s="327"/>
      <c r="AB493" s="334" t="s">
        <v>311</v>
      </c>
      <c r="AC493" s="334" t="s">
        <v>1702</v>
      </c>
      <c r="AD493" s="327"/>
      <c r="AE493" s="327"/>
      <c r="AF493" s="327"/>
      <c r="AG493" s="334"/>
      <c r="AH493" s="334"/>
      <c r="AI493" s="327"/>
      <c r="AJ493" s="327"/>
      <c r="AK493" s="327"/>
      <c r="AL493" s="327"/>
      <c r="AQ493" s="326">
        <v>15</v>
      </c>
      <c r="AR493" s="326"/>
      <c r="AS493" t="b">
        <v>1</v>
      </c>
      <c r="AV493" s="327"/>
      <c r="AW493" s="334"/>
      <c r="AX493" s="334"/>
      <c r="AZ493" s="334"/>
    </row>
    <row r="494" spans="1:52">
      <c r="A494" s="277" t="s">
        <v>1736</v>
      </c>
      <c r="B494" s="334" t="s">
        <v>1483</v>
      </c>
      <c r="C494" s="181">
        <f>'EXD Molari 2011'!C13</f>
        <v>0.11313131313131314</v>
      </c>
      <c r="D494" s="301">
        <f>'EXD Molari 2011'!L13</f>
        <v>630410958.90410972</v>
      </c>
      <c r="E494" s="301">
        <f>'EXD Molari 2011'!F13</f>
        <v>245753424.65753424</v>
      </c>
      <c r="F494" s="301">
        <f>'EXD Molari 2011'!I13</f>
        <v>320547945.2054795</v>
      </c>
      <c r="G494" s="301">
        <f>E494+F494</f>
        <v>566301369.86301374</v>
      </c>
      <c r="H494" s="27">
        <f>G494/D494</f>
        <v>0.89830508474576265</v>
      </c>
      <c r="M494" s="27">
        <f>F494/G494</f>
        <v>0.5660377358490567</v>
      </c>
      <c r="O494" s="229" t="s">
        <v>1247</v>
      </c>
      <c r="P494" s="334"/>
      <c r="R494" s="334" t="s">
        <v>1395</v>
      </c>
      <c r="S494" t="s">
        <v>141</v>
      </c>
      <c r="T494" t="s">
        <v>145</v>
      </c>
      <c r="U494" t="s">
        <v>147</v>
      </c>
      <c r="V494" s="313">
        <v>0.55000000000000004</v>
      </c>
      <c r="W494" s="334" t="s">
        <v>108</v>
      </c>
      <c r="X494" s="334" t="s">
        <v>251</v>
      </c>
      <c r="Y494" s="334" t="s">
        <v>96</v>
      </c>
      <c r="Z494" s="334" t="s">
        <v>109</v>
      </c>
      <c r="AA494" s="327"/>
      <c r="AB494" s="334" t="s">
        <v>311</v>
      </c>
      <c r="AC494" s="334" t="s">
        <v>1702</v>
      </c>
      <c r="AD494" s="327"/>
      <c r="AE494" s="327"/>
      <c r="AF494" s="327"/>
      <c r="AG494" s="334"/>
      <c r="AH494" s="334"/>
      <c r="AI494" s="327"/>
      <c r="AJ494" s="327"/>
      <c r="AK494" s="327"/>
      <c r="AL494" s="327"/>
      <c r="AQ494" s="326">
        <v>15</v>
      </c>
      <c r="AR494" s="326"/>
      <c r="AS494" t="b">
        <v>1</v>
      </c>
      <c r="AV494" s="327"/>
      <c r="AW494" s="334"/>
      <c r="AX494" s="334"/>
      <c r="AZ494" s="334"/>
    </row>
    <row r="495" spans="1:52">
      <c r="A495" s="277" t="s">
        <v>1736</v>
      </c>
      <c r="B495" s="334" t="s">
        <v>1483</v>
      </c>
      <c r="C495" s="181">
        <f>'EXD Molari 2011'!C14</f>
        <v>0.14545454545454545</v>
      </c>
      <c r="D495" s="301">
        <f>'EXD Molari 2011'!L14</f>
        <v>160273972.60273975</v>
      </c>
      <c r="E495" s="301">
        <f>'EXD Molari 2011'!F14</f>
        <v>74794520.547945216</v>
      </c>
      <c r="F495" s="301">
        <f>'EXD Molari 2011'!I14</f>
        <v>74794520.547945216</v>
      </c>
      <c r="G495" s="301">
        <f>E495+F495</f>
        <v>149589041.09589043</v>
      </c>
      <c r="H495" s="27">
        <f>G495/D495</f>
        <v>0.93333333333333335</v>
      </c>
      <c r="M495" s="27">
        <f>F495/G495</f>
        <v>0.5</v>
      </c>
      <c r="O495" s="229" t="s">
        <v>1247</v>
      </c>
      <c r="P495" s="334"/>
      <c r="R495" s="334" t="s">
        <v>1395</v>
      </c>
      <c r="S495" t="s">
        <v>141</v>
      </c>
      <c r="T495" t="s">
        <v>145</v>
      </c>
      <c r="U495" t="s">
        <v>147</v>
      </c>
      <c r="V495" s="313">
        <v>0.55000000000000004</v>
      </c>
      <c r="W495" s="334" t="s">
        <v>108</v>
      </c>
      <c r="X495" s="334" t="s">
        <v>251</v>
      </c>
      <c r="Y495" s="334" t="s">
        <v>96</v>
      </c>
      <c r="Z495" s="334" t="s">
        <v>109</v>
      </c>
      <c r="AA495" s="327"/>
      <c r="AB495" s="334" t="s">
        <v>311</v>
      </c>
      <c r="AC495" s="334" t="s">
        <v>1702</v>
      </c>
      <c r="AD495" s="327"/>
      <c r="AE495" s="327"/>
      <c r="AF495" s="327"/>
      <c r="AG495" s="334"/>
      <c r="AH495" s="334"/>
      <c r="AI495" s="327"/>
      <c r="AJ495" s="327"/>
      <c r="AK495" s="327"/>
      <c r="AL495" s="327"/>
      <c r="AQ495" s="326">
        <v>15</v>
      </c>
      <c r="AR495" s="326"/>
      <c r="AS495" t="b">
        <v>1</v>
      </c>
      <c r="AV495" s="327"/>
      <c r="AW495" s="334"/>
      <c r="AX495" s="334"/>
      <c r="AZ495" s="334"/>
    </row>
    <row r="496" spans="1:52">
      <c r="A496" s="277" t="s">
        <v>1736</v>
      </c>
      <c r="B496" s="334" t="s">
        <v>1483</v>
      </c>
      <c r="C496" s="181">
        <f>'EXD Molari 2011'!C15</f>
        <v>0.19393939393939394</v>
      </c>
      <c r="D496" s="301">
        <f>'EXD Molari 2011'!L15</f>
        <v>181643835.61643836</v>
      </c>
      <c r="E496" s="301">
        <f>'EXD Molari 2011'!F15</f>
        <v>64109589.041095898</v>
      </c>
      <c r="F496" s="301">
        <f>'EXD Molari 2011'!I15</f>
        <v>96164383.561643839</v>
      </c>
      <c r="G496" s="301">
        <f>E496+F496</f>
        <v>160273972.60273975</v>
      </c>
      <c r="H496" s="27">
        <f>G496/D496</f>
        <v>0.88235294117647067</v>
      </c>
      <c r="M496" s="27">
        <f>F496/G496</f>
        <v>0.6</v>
      </c>
      <c r="O496" s="229" t="s">
        <v>1247</v>
      </c>
      <c r="P496" s="334"/>
      <c r="R496" s="334" t="s">
        <v>1395</v>
      </c>
      <c r="S496" t="s">
        <v>141</v>
      </c>
      <c r="T496" t="s">
        <v>145</v>
      </c>
      <c r="U496" t="s">
        <v>147</v>
      </c>
      <c r="V496" s="313">
        <v>0.55000000000000004</v>
      </c>
      <c r="W496" s="334" t="s">
        <v>108</v>
      </c>
      <c r="X496" s="334" t="s">
        <v>251</v>
      </c>
      <c r="Y496" s="334" t="s">
        <v>96</v>
      </c>
      <c r="Z496" s="334" t="s">
        <v>109</v>
      </c>
      <c r="AA496" s="327"/>
      <c r="AB496" s="334" t="s">
        <v>311</v>
      </c>
      <c r="AC496" s="334" t="s">
        <v>1702</v>
      </c>
      <c r="AD496" s="327"/>
      <c r="AE496" s="327"/>
      <c r="AF496" s="327"/>
      <c r="AG496" s="334"/>
      <c r="AH496" s="334"/>
      <c r="AI496" s="327"/>
      <c r="AJ496" s="327"/>
      <c r="AK496" s="327"/>
      <c r="AL496" s="327"/>
      <c r="AQ496" s="326">
        <v>15</v>
      </c>
      <c r="AR496" s="326"/>
      <c r="AS496" t="b">
        <v>1</v>
      </c>
      <c r="AV496" s="327"/>
      <c r="AW496" s="334"/>
      <c r="AX496" s="334"/>
      <c r="AZ496" s="334"/>
    </row>
    <row r="497" spans="1:52">
      <c r="A497" s="277" t="s">
        <v>1736</v>
      </c>
      <c r="B497" s="334" t="s">
        <v>1483</v>
      </c>
      <c r="C497" s="181">
        <f>'EXD Molari 2011'!C16</f>
        <v>0.24242424242424243</v>
      </c>
      <c r="D497" s="301">
        <f>'EXD Molari 2011'!L16</f>
        <v>213698630.13698635</v>
      </c>
      <c r="E497" s="301">
        <f>'EXD Molari 2011'!F16</f>
        <v>85479452.05479452</v>
      </c>
      <c r="F497" s="301">
        <f>'EXD Molari 2011'!I16</f>
        <v>96164383.561643839</v>
      </c>
      <c r="G497" s="301">
        <f>E497+F497</f>
        <v>181643835.61643836</v>
      </c>
      <c r="H497" s="27">
        <f>G497/D497</f>
        <v>0.84999999999999987</v>
      </c>
      <c r="M497" s="27">
        <f>F497/G497</f>
        <v>0.52941176470588236</v>
      </c>
      <c r="O497" s="229" t="s">
        <v>1247</v>
      </c>
      <c r="P497" s="334"/>
      <c r="R497" s="334" t="s">
        <v>1395</v>
      </c>
      <c r="S497" t="s">
        <v>141</v>
      </c>
      <c r="T497" t="s">
        <v>145</v>
      </c>
      <c r="U497" t="s">
        <v>147</v>
      </c>
      <c r="V497" s="313">
        <v>0.55000000000000004</v>
      </c>
      <c r="W497" s="334" t="s">
        <v>108</v>
      </c>
      <c r="X497" s="334" t="s">
        <v>251</v>
      </c>
      <c r="Y497" s="334" t="s">
        <v>96</v>
      </c>
      <c r="Z497" s="334" t="s">
        <v>109</v>
      </c>
      <c r="AA497" s="327"/>
      <c r="AB497" s="334" t="s">
        <v>311</v>
      </c>
      <c r="AC497" s="334" t="s">
        <v>1702</v>
      </c>
      <c r="AD497" s="327"/>
      <c r="AE497" s="327"/>
      <c r="AF497" s="327"/>
      <c r="AG497" s="334"/>
      <c r="AH497" s="334"/>
      <c r="AI497" s="327"/>
      <c r="AJ497" s="327"/>
      <c r="AK497" s="327"/>
      <c r="AL497" s="327"/>
      <c r="AQ497" s="326">
        <v>15</v>
      </c>
      <c r="AR497" s="326"/>
      <c r="AS497" t="b">
        <v>1</v>
      </c>
      <c r="AV497" s="327"/>
      <c r="AW497" s="334"/>
      <c r="AX497" s="334"/>
      <c r="AZ497" s="334"/>
    </row>
    <row r="498" spans="1:52">
      <c r="A498" s="277" t="s">
        <v>1736</v>
      </c>
      <c r="B498" s="334" t="s">
        <v>1483</v>
      </c>
      <c r="C498" s="181">
        <f>'EXD Molari 2011'!C17</f>
        <v>0.29090909090909089</v>
      </c>
      <c r="D498" s="301">
        <f>'EXD Molari 2011'!L17</f>
        <v>245753424.65753424</v>
      </c>
      <c r="E498" s="301">
        <f>'EXD Molari 2011'!F17</f>
        <v>74794520.547945216</v>
      </c>
      <c r="F498" s="301">
        <f>'EXD Molari 2011'!I17</f>
        <v>117534246.57534248</v>
      </c>
      <c r="G498" s="301">
        <f>E498+F498</f>
        <v>192328767.12328768</v>
      </c>
      <c r="H498" s="27">
        <f>G498/D498</f>
        <v>0.78260869565217395</v>
      </c>
      <c r="M498" s="27">
        <f>F498/G498</f>
        <v>0.61111111111111116</v>
      </c>
      <c r="O498" s="229" t="s">
        <v>1247</v>
      </c>
      <c r="P498" s="334"/>
      <c r="R498" s="334" t="s">
        <v>1395</v>
      </c>
      <c r="S498" t="s">
        <v>141</v>
      </c>
      <c r="T498" t="s">
        <v>145</v>
      </c>
      <c r="U498" t="s">
        <v>147</v>
      </c>
      <c r="V498" s="313">
        <v>0.55000000000000004</v>
      </c>
      <c r="W498" s="334" t="s">
        <v>108</v>
      </c>
      <c r="X498" s="334" t="s">
        <v>251</v>
      </c>
      <c r="Y498" s="334" t="s">
        <v>96</v>
      </c>
      <c r="Z498" s="334" t="s">
        <v>109</v>
      </c>
      <c r="AA498" s="327"/>
      <c r="AB498" s="334" t="s">
        <v>311</v>
      </c>
      <c r="AC498" s="334" t="s">
        <v>1702</v>
      </c>
      <c r="AD498" s="327"/>
      <c r="AE498" s="327"/>
      <c r="AF498" s="327"/>
      <c r="AG498" s="334"/>
      <c r="AH498" s="334"/>
      <c r="AI498" s="327"/>
      <c r="AJ498" s="327"/>
      <c r="AK498" s="327"/>
      <c r="AL498" s="327"/>
      <c r="AQ498" s="326">
        <v>15</v>
      </c>
      <c r="AR498" s="326"/>
      <c r="AS498" t="b">
        <v>1</v>
      </c>
      <c r="AV498" s="327"/>
      <c r="AW498" s="334"/>
      <c r="AX498" s="334"/>
      <c r="AZ498" s="334"/>
    </row>
    <row r="499" spans="1:52">
      <c r="A499" s="277" t="s">
        <v>1736</v>
      </c>
      <c r="B499" s="334" t="s">
        <v>1483</v>
      </c>
      <c r="C499" s="181">
        <f>'EXD Molari 2011'!C18</f>
        <v>0.33939393939393936</v>
      </c>
      <c r="D499" s="301">
        <f>'EXD Molari 2011'!L18</f>
        <v>245753424.65753424</v>
      </c>
      <c r="E499" s="301">
        <f>'EXD Molari 2011'!F18</f>
        <v>85479452.05479452</v>
      </c>
      <c r="F499" s="301">
        <f>'EXD Molari 2011'!I18</f>
        <v>106849315.06849317</v>
      </c>
      <c r="G499" s="301">
        <f>E499+F499</f>
        <v>192328767.12328768</v>
      </c>
      <c r="H499" s="27">
        <f>G499/D499</f>
        <v>0.78260869565217395</v>
      </c>
      <c r="M499" s="27">
        <f>F499/G499</f>
        <v>0.55555555555555569</v>
      </c>
      <c r="O499" s="229" t="s">
        <v>1247</v>
      </c>
      <c r="P499" s="334"/>
      <c r="R499" s="334" t="s">
        <v>1395</v>
      </c>
      <c r="S499" t="s">
        <v>141</v>
      </c>
      <c r="T499" t="s">
        <v>145</v>
      </c>
      <c r="U499" t="s">
        <v>147</v>
      </c>
      <c r="V499" s="313">
        <v>0.55000000000000004</v>
      </c>
      <c r="W499" s="334" t="s">
        <v>108</v>
      </c>
      <c r="X499" s="334" t="s">
        <v>251</v>
      </c>
      <c r="Y499" s="334" t="s">
        <v>96</v>
      </c>
      <c r="Z499" s="334" t="s">
        <v>109</v>
      </c>
      <c r="AA499" s="327"/>
      <c r="AB499" s="334" t="s">
        <v>311</v>
      </c>
      <c r="AC499" s="334" t="s">
        <v>1702</v>
      </c>
      <c r="AD499" s="327"/>
      <c r="AE499" s="327"/>
      <c r="AF499" s="327"/>
      <c r="AG499" s="334"/>
      <c r="AH499" s="334"/>
      <c r="AI499" s="327"/>
      <c r="AJ499" s="327"/>
      <c r="AK499" s="327"/>
      <c r="AL499" s="327"/>
      <c r="AQ499" s="326">
        <v>15</v>
      </c>
      <c r="AR499" s="326"/>
      <c r="AS499" t="b">
        <v>1</v>
      </c>
      <c r="AV499" s="327"/>
      <c r="AW499" s="334"/>
      <c r="AX499" s="334"/>
      <c r="AZ499" s="334"/>
    </row>
    <row r="500" spans="1:52">
      <c r="A500" s="277" t="s">
        <v>1736</v>
      </c>
      <c r="B500" s="334" t="s">
        <v>1483</v>
      </c>
      <c r="C500" s="181">
        <f>'EXD Molari 2011'!C19</f>
        <v>0.3959595959595959</v>
      </c>
      <c r="D500" s="301">
        <f>'EXD Molari 2011'!L19</f>
        <v>192328767.12328768</v>
      </c>
      <c r="E500" s="301">
        <f>'EXD Molari 2011'!F19</f>
        <v>85479452.05479452</v>
      </c>
      <c r="F500" s="301">
        <f>'EXD Molari 2011'!I19</f>
        <v>64109589.041095898</v>
      </c>
      <c r="G500" s="301">
        <f>E500+F500</f>
        <v>149589041.0958904</v>
      </c>
      <c r="H500" s="27">
        <f>G500/D500</f>
        <v>0.77777777777777768</v>
      </c>
      <c r="M500" s="27">
        <f>F500/G500</f>
        <v>0.42857142857142866</v>
      </c>
      <c r="O500" t="s">
        <v>1247</v>
      </c>
      <c r="P500" s="334"/>
      <c r="R500" s="334" t="s">
        <v>1395</v>
      </c>
      <c r="S500" t="s">
        <v>141</v>
      </c>
      <c r="T500" t="s">
        <v>145</v>
      </c>
      <c r="U500" t="s">
        <v>147</v>
      </c>
      <c r="V500" s="313">
        <v>0.55000000000000004</v>
      </c>
      <c r="W500" s="334" t="s">
        <v>108</v>
      </c>
      <c r="X500" s="334" t="s">
        <v>251</v>
      </c>
      <c r="Y500" s="334" t="s">
        <v>96</v>
      </c>
      <c r="Z500" s="334" t="s">
        <v>109</v>
      </c>
      <c r="AA500" s="327"/>
      <c r="AB500" s="334" t="s">
        <v>311</v>
      </c>
      <c r="AC500" s="334" t="s">
        <v>1702</v>
      </c>
      <c r="AD500" s="327"/>
      <c r="AE500" s="327"/>
      <c r="AF500" s="327"/>
      <c r="AG500" s="334"/>
      <c r="AH500" s="334"/>
      <c r="AI500" s="327"/>
      <c r="AJ500" s="327"/>
      <c r="AK500" s="327"/>
      <c r="AL500" s="327"/>
      <c r="AQ500" s="326">
        <v>15</v>
      </c>
      <c r="AR500" s="326"/>
      <c r="AS500" t="b">
        <v>1</v>
      </c>
      <c r="AV500" s="327"/>
      <c r="AW500" s="334"/>
      <c r="AX500" s="334"/>
      <c r="AZ500" s="334"/>
    </row>
    <row r="501" spans="1:52">
      <c r="A501" s="277" t="s">
        <v>1736</v>
      </c>
      <c r="B501" s="334" t="s">
        <v>1483</v>
      </c>
      <c r="C501" s="181">
        <f>'EXD Molari 2011'!C20</f>
        <v>0.44444444444444442</v>
      </c>
      <c r="D501" s="301">
        <f>'EXD Molari 2011'!L20</f>
        <v>181643835.61643836</v>
      </c>
      <c r="E501" s="301">
        <f>'EXD Molari 2011'!F20</f>
        <v>74794520.547945216</v>
      </c>
      <c r="F501" s="301">
        <f>'EXD Molari 2011'!I20</f>
        <v>74794520.547945216</v>
      </c>
      <c r="G501" s="301">
        <f>E501+F501</f>
        <v>149589041.09589043</v>
      </c>
      <c r="H501" s="27">
        <f>G501/D501</f>
        <v>0.82352941176470595</v>
      </c>
      <c r="M501" s="27">
        <f>F501/G501</f>
        <v>0.5</v>
      </c>
      <c r="O501" t="s">
        <v>1247</v>
      </c>
      <c r="P501" s="334"/>
      <c r="R501" s="334" t="s">
        <v>1395</v>
      </c>
      <c r="S501" t="s">
        <v>141</v>
      </c>
      <c r="T501" t="s">
        <v>145</v>
      </c>
      <c r="U501" t="s">
        <v>147</v>
      </c>
      <c r="V501" s="313">
        <v>0.55000000000000004</v>
      </c>
      <c r="W501" s="334" t="s">
        <v>108</v>
      </c>
      <c r="X501" s="334" t="s">
        <v>251</v>
      </c>
      <c r="Y501" s="334" t="s">
        <v>96</v>
      </c>
      <c r="Z501" s="334" t="s">
        <v>109</v>
      </c>
      <c r="AA501" s="327"/>
      <c r="AB501" s="334" t="s">
        <v>311</v>
      </c>
      <c r="AC501" s="334" t="s">
        <v>1702</v>
      </c>
      <c r="AD501" s="327"/>
      <c r="AE501" s="327"/>
      <c r="AF501" s="327"/>
      <c r="AG501" s="334"/>
      <c r="AH501" s="334"/>
      <c r="AI501" s="327"/>
      <c r="AJ501" s="327"/>
      <c r="AK501" s="327"/>
      <c r="AL501" s="327"/>
      <c r="AQ501" s="326">
        <v>15</v>
      </c>
      <c r="AR501" s="326"/>
      <c r="AS501" t="b">
        <v>1</v>
      </c>
      <c r="AV501" s="327"/>
      <c r="AW501" s="334"/>
      <c r="AX501" s="334"/>
      <c r="AZ501" s="334"/>
    </row>
    <row r="502" spans="1:52">
      <c r="A502" s="277" t="s">
        <v>1736</v>
      </c>
      <c r="B502" s="334" t="s">
        <v>1483</v>
      </c>
      <c r="C502" s="181">
        <f>'EXD Molari 2011'!C21</f>
        <v>0.48484848484848486</v>
      </c>
      <c r="D502" s="301">
        <f>'EXD Molari 2011'!L21</f>
        <v>213698630.13698635</v>
      </c>
      <c r="E502" s="301">
        <f>'EXD Molari 2011'!F21</f>
        <v>85479452.05479452</v>
      </c>
      <c r="F502" s="301">
        <f>'EXD Molari 2011'!I21</f>
        <v>85479452.05479452</v>
      </c>
      <c r="G502" s="301">
        <f>E502+F502</f>
        <v>170958904.10958904</v>
      </c>
      <c r="H502" s="336">
        <f>G502/D502</f>
        <v>0.79999999999999982</v>
      </c>
      <c r="M502" s="27">
        <f>F502/G502</f>
        <v>0.5</v>
      </c>
      <c r="O502" t="s">
        <v>1247</v>
      </c>
      <c r="P502" s="334"/>
      <c r="R502" s="334" t="s">
        <v>1395</v>
      </c>
      <c r="S502" t="s">
        <v>141</v>
      </c>
      <c r="T502" t="s">
        <v>145</v>
      </c>
      <c r="U502" t="s">
        <v>147</v>
      </c>
      <c r="V502" s="313">
        <v>0.55000000000000004</v>
      </c>
      <c r="W502" s="334" t="s">
        <v>108</v>
      </c>
      <c r="X502" s="334" t="s">
        <v>251</v>
      </c>
      <c r="Y502" s="334" t="s">
        <v>96</v>
      </c>
      <c r="Z502" s="334" t="s">
        <v>109</v>
      </c>
      <c r="AA502" s="327"/>
      <c r="AB502" s="334" t="s">
        <v>311</v>
      </c>
      <c r="AC502" s="334" t="s">
        <v>1702</v>
      </c>
      <c r="AD502" s="327"/>
      <c r="AE502" s="327"/>
      <c r="AF502" s="327"/>
      <c r="AG502" s="334"/>
      <c r="AH502" s="334"/>
      <c r="AI502" s="327"/>
      <c r="AJ502" s="327"/>
      <c r="AK502" s="327"/>
      <c r="AL502" s="327"/>
      <c r="AQ502" s="326">
        <v>15</v>
      </c>
      <c r="AR502" s="326"/>
      <c r="AS502" t="b">
        <v>1</v>
      </c>
      <c r="AV502" s="327"/>
      <c r="AW502" s="334"/>
      <c r="AX502" s="334"/>
      <c r="AZ502" s="334"/>
    </row>
    <row r="503" spans="1:52">
      <c r="A503" s="277" t="s">
        <v>1736</v>
      </c>
      <c r="B503" s="334" t="s">
        <v>1483</v>
      </c>
      <c r="C503" s="181">
        <f>'EXD Molari 2011'!C22</f>
        <v>0.58989898989898992</v>
      </c>
      <c r="D503" s="301">
        <f>'EXD Molari 2011'!L22</f>
        <v>21369863.01369863</v>
      </c>
      <c r="O503" t="s">
        <v>1247</v>
      </c>
      <c r="P503" s="334"/>
      <c r="R503" s="334" t="s">
        <v>1395</v>
      </c>
      <c r="S503" t="s">
        <v>141</v>
      </c>
      <c r="T503" t="s">
        <v>145</v>
      </c>
      <c r="U503" t="s">
        <v>147</v>
      </c>
      <c r="V503" s="313">
        <v>0.55000000000000004</v>
      </c>
      <c r="W503" s="334" t="s">
        <v>108</v>
      </c>
      <c r="X503" s="334" t="s">
        <v>251</v>
      </c>
      <c r="Y503" s="334" t="s">
        <v>96</v>
      </c>
      <c r="Z503" s="334" t="s">
        <v>109</v>
      </c>
      <c r="AA503" s="327"/>
      <c r="AB503" s="334" t="s">
        <v>311</v>
      </c>
      <c r="AC503" s="334" t="s">
        <v>1702</v>
      </c>
      <c r="AD503" s="327"/>
      <c r="AE503" s="327"/>
      <c r="AF503" s="327"/>
      <c r="AG503" s="334"/>
      <c r="AH503" s="334"/>
      <c r="AI503" s="327"/>
      <c r="AJ503" s="327"/>
      <c r="AK503" s="327"/>
      <c r="AL503" s="327"/>
      <c r="AQ503" s="326"/>
      <c r="AR503" s="326"/>
      <c r="AS503" t="b">
        <v>1</v>
      </c>
      <c r="AV503" s="327"/>
      <c r="AW503" s="334"/>
      <c r="AX503" s="334"/>
      <c r="AZ503" s="334"/>
    </row>
    <row r="504" spans="1:52">
      <c r="A504" s="277" t="s">
        <v>1736</v>
      </c>
      <c r="B504" s="334" t="s">
        <v>1483</v>
      </c>
      <c r="C504" s="181">
        <f>'EXD Molari 2011'!C23</f>
        <v>0.69494949494949498</v>
      </c>
      <c r="D504" s="301">
        <f>'EXD Molari 2011'!L23</f>
        <v>256438356.16438359</v>
      </c>
      <c r="E504" s="301">
        <f>'EXD Molari 2011'!F23</f>
        <v>21369863.01369863</v>
      </c>
      <c r="F504" s="301">
        <f>'EXD Molari 2011'!I23</f>
        <v>85479452.05479452</v>
      </c>
      <c r="G504" s="301">
        <f>E504+F504</f>
        <v>106849315.06849316</v>
      </c>
      <c r="H504" s="27">
        <f>G504/D504</f>
        <v>0.41666666666666663</v>
      </c>
      <c r="M504" s="27">
        <f>F504/G504</f>
        <v>0.79999999999999993</v>
      </c>
      <c r="O504" t="s">
        <v>1247</v>
      </c>
      <c r="P504" s="334"/>
      <c r="R504" s="334" t="s">
        <v>1395</v>
      </c>
      <c r="S504" t="s">
        <v>141</v>
      </c>
      <c r="T504" t="s">
        <v>145</v>
      </c>
      <c r="U504" t="s">
        <v>147</v>
      </c>
      <c r="V504" s="313">
        <v>0.55000000000000004</v>
      </c>
      <c r="W504" s="334" t="s">
        <v>108</v>
      </c>
      <c r="X504" s="334" t="s">
        <v>251</v>
      </c>
      <c r="Y504" s="334" t="s">
        <v>96</v>
      </c>
      <c r="Z504" s="334" t="s">
        <v>109</v>
      </c>
      <c r="AA504" s="327"/>
      <c r="AB504" s="334" t="s">
        <v>311</v>
      </c>
      <c r="AC504" s="334" t="s">
        <v>1702</v>
      </c>
      <c r="AD504" s="327"/>
      <c r="AE504" s="327"/>
      <c r="AF504" s="327"/>
      <c r="AG504" s="334"/>
      <c r="AH504" s="334"/>
      <c r="AI504" s="327"/>
      <c r="AJ504" s="327"/>
      <c r="AK504" s="327"/>
      <c r="AL504" s="327"/>
      <c r="AQ504" s="326">
        <v>15</v>
      </c>
      <c r="AR504" s="326"/>
      <c r="AS504" t="b">
        <v>1</v>
      </c>
      <c r="AV504" s="327"/>
      <c r="AW504" s="334"/>
      <c r="AX504" s="334"/>
      <c r="AZ504" s="334"/>
    </row>
    <row r="505" spans="1:52">
      <c r="A505" s="277" t="s">
        <v>1736</v>
      </c>
      <c r="B505" s="334" t="s">
        <v>1483</v>
      </c>
      <c r="C505" s="181">
        <f>'EXD Molari 2011'!C24</f>
        <v>0.9939393939393939</v>
      </c>
      <c r="D505" s="301">
        <f>'EXD Molari 2011'!L24</f>
        <v>21369863.01369863</v>
      </c>
      <c r="O505" t="s">
        <v>1247</v>
      </c>
      <c r="P505" s="334"/>
      <c r="R505" s="334" t="s">
        <v>1395</v>
      </c>
      <c r="S505" t="s">
        <v>141</v>
      </c>
      <c r="T505" t="s">
        <v>145</v>
      </c>
      <c r="U505" t="s">
        <v>147</v>
      </c>
      <c r="V505" s="313">
        <v>0.55000000000000004</v>
      </c>
      <c r="W505" s="334" t="s">
        <v>108</v>
      </c>
      <c r="X505" s="334" t="s">
        <v>251</v>
      </c>
      <c r="Y505" s="334" t="s">
        <v>96</v>
      </c>
      <c r="Z505" s="334" t="s">
        <v>109</v>
      </c>
      <c r="AA505" s="327"/>
      <c r="AB505" s="334" t="s">
        <v>311</v>
      </c>
      <c r="AC505" s="334" t="s">
        <v>1702</v>
      </c>
      <c r="AD505" s="327"/>
      <c r="AE505" s="327"/>
      <c r="AF505" s="327"/>
      <c r="AG505" s="334"/>
      <c r="AH505" s="334"/>
      <c r="AI505" s="327"/>
      <c r="AJ505" s="327"/>
      <c r="AK505" s="327"/>
      <c r="AL505" s="327"/>
      <c r="AQ505" s="326"/>
      <c r="AR505" s="326"/>
      <c r="AS505" t="b">
        <v>1</v>
      </c>
      <c r="AV505" s="327"/>
      <c r="AW505" s="334"/>
      <c r="AX505" s="334"/>
      <c r="AZ505" s="334"/>
    </row>
    <row r="506" spans="1:52">
      <c r="A506" s="277" t="s">
        <v>1737</v>
      </c>
      <c r="B506" s="288" t="s">
        <v>40</v>
      </c>
      <c r="C506" s="181">
        <v>0.01</v>
      </c>
      <c r="D506" s="301">
        <f>'EXD Molari 2012 Fig 1'!E27</f>
        <v>371428571.42857146</v>
      </c>
      <c r="E506" s="301">
        <f>'EXD Molari 2012 Fig 1'!H27</f>
        <v>292500000</v>
      </c>
      <c r="F506" s="301">
        <f>'EXD Molari 2012 Fig 1'!K27</f>
        <v>23214285.714285716</v>
      </c>
      <c r="G506" s="301">
        <f>E506+F506</f>
        <v>315714285.71428573</v>
      </c>
      <c r="H506" s="27">
        <f>G506/D506</f>
        <v>0.85</v>
      </c>
      <c r="M506" s="27">
        <f>F506/G506</f>
        <v>7.3529411764705885E-2</v>
      </c>
      <c r="O506" t="s">
        <v>71</v>
      </c>
      <c r="P506" s="334"/>
      <c r="R506" s="304" t="s">
        <v>460</v>
      </c>
      <c r="S506" t="s">
        <v>141</v>
      </c>
      <c r="T506" t="s">
        <v>145</v>
      </c>
      <c r="U506" t="s">
        <v>147</v>
      </c>
      <c r="V506" s="313">
        <v>0.55000000000000004</v>
      </c>
      <c r="W506" s="334" t="s">
        <v>110</v>
      </c>
      <c r="X506" s="306" t="s">
        <v>112</v>
      </c>
      <c r="Y506" s="334" t="s">
        <v>96</v>
      </c>
      <c r="Z506" s="334" t="s">
        <v>97</v>
      </c>
      <c r="AA506" s="327"/>
      <c r="AB506" s="334" t="s">
        <v>311</v>
      </c>
      <c r="AC506" s="334" t="s">
        <v>1702</v>
      </c>
      <c r="AD506" s="327"/>
      <c r="AE506" s="327"/>
      <c r="AF506" s="327"/>
      <c r="AG506" s="334"/>
      <c r="AH506" s="334"/>
      <c r="AI506" s="327"/>
      <c r="AJ506" s="327"/>
      <c r="AK506" s="327"/>
      <c r="AL506" s="327"/>
      <c r="AQ506" s="326">
        <f>'EXD Molari 2012 Fig 1'!B27</f>
        <v>3942.8571428571427</v>
      </c>
      <c r="AR506" s="326" t="s">
        <v>1463</v>
      </c>
      <c r="AS506" t="b">
        <v>1</v>
      </c>
      <c r="AV506" s="327"/>
      <c r="AW506" s="334"/>
      <c r="AX506" s="334"/>
      <c r="AZ506" s="334"/>
    </row>
    <row r="507" spans="1:52">
      <c r="A507" s="277" t="s">
        <v>1737</v>
      </c>
      <c r="B507" s="288" t="s">
        <v>40</v>
      </c>
      <c r="C507" s="181">
        <v>0.01</v>
      </c>
      <c r="D507" s="301">
        <f>'EXD Molari 2012 Fig 1'!E26</f>
        <v>417857142.85714293</v>
      </c>
      <c r="E507" s="301">
        <f>'EXD Molari 2012 Fig 1'!H26</f>
        <v>306428571.42857146</v>
      </c>
      <c r="F507" s="301">
        <f>'EXD Molari 2012 Fig 1'!K26</f>
        <v>55714285.714285716</v>
      </c>
      <c r="G507" s="301">
        <f>E507+F507</f>
        <v>362142857.14285719</v>
      </c>
      <c r="H507" s="336">
        <f>G507/D507</f>
        <v>0.8666666666666667</v>
      </c>
      <c r="M507" s="27">
        <f>F507/G507</f>
        <v>0.15384615384615383</v>
      </c>
      <c r="O507" t="s">
        <v>71</v>
      </c>
      <c r="P507" s="334"/>
      <c r="R507" s="304" t="s">
        <v>460</v>
      </c>
      <c r="S507" t="s">
        <v>141</v>
      </c>
      <c r="T507" t="s">
        <v>145</v>
      </c>
      <c r="U507" t="s">
        <v>147</v>
      </c>
      <c r="V507" s="313">
        <v>0.55000000000000004</v>
      </c>
      <c r="W507" s="334" t="s">
        <v>110</v>
      </c>
      <c r="X507" s="306" t="s">
        <v>112</v>
      </c>
      <c r="Y507" s="334" t="s">
        <v>96</v>
      </c>
      <c r="Z507" s="334" t="s">
        <v>97</v>
      </c>
      <c r="AA507" s="327"/>
      <c r="AB507" s="334" t="s">
        <v>311</v>
      </c>
      <c r="AC507" s="334" t="s">
        <v>1702</v>
      </c>
      <c r="AD507" s="327"/>
      <c r="AE507" s="327"/>
      <c r="AF507" s="327"/>
      <c r="AG507" s="334"/>
      <c r="AH507" s="334"/>
      <c r="AI507" s="327"/>
      <c r="AJ507" s="327"/>
      <c r="AK507" s="327"/>
      <c r="AL507" s="327"/>
      <c r="AQ507" s="326">
        <f>'EXD Molari 2012 Fig 1'!B26</f>
        <v>2971.4285714285716</v>
      </c>
      <c r="AR507" s="326" t="s">
        <v>1463</v>
      </c>
      <c r="AS507" t="b">
        <v>1</v>
      </c>
      <c r="AV507" s="327"/>
      <c r="AW507" s="334"/>
      <c r="AX507" s="334"/>
      <c r="AZ507" s="334"/>
    </row>
    <row r="508" spans="1:52">
      <c r="A508" s="277" t="s">
        <v>1737</v>
      </c>
      <c r="B508" s="288" t="s">
        <v>40</v>
      </c>
      <c r="C508" s="181">
        <v>0.01</v>
      </c>
      <c r="D508" s="301">
        <f>'EXD Molari 2012 Fig 1'!E24</f>
        <v>464285714.28571439</v>
      </c>
      <c r="E508" s="301">
        <f>'EXD Molari 2012 Fig 1'!H24</f>
        <v>343571428.5714286</v>
      </c>
      <c r="F508" s="301">
        <f>'EXD Molari 2012 Fig 1'!K24</f>
        <v>46428571.428571433</v>
      </c>
      <c r="G508" s="301">
        <f>E508+F508</f>
        <v>390000000</v>
      </c>
      <c r="H508" s="27">
        <f>G508/D508</f>
        <v>0.83999999999999986</v>
      </c>
      <c r="M508" s="27">
        <f>F508/G508</f>
        <v>0.11904761904761905</v>
      </c>
      <c r="O508" t="s">
        <v>71</v>
      </c>
      <c r="P508" s="334"/>
      <c r="R508" s="304" t="s">
        <v>460</v>
      </c>
      <c r="S508" t="s">
        <v>141</v>
      </c>
      <c r="T508" t="s">
        <v>145</v>
      </c>
      <c r="U508" t="s">
        <v>147</v>
      </c>
      <c r="V508" s="313">
        <v>0.55000000000000004</v>
      </c>
      <c r="W508" s="334" t="s">
        <v>110</v>
      </c>
      <c r="X508" s="306" t="s">
        <v>112</v>
      </c>
      <c r="Y508" s="334" t="s">
        <v>96</v>
      </c>
      <c r="Z508" s="334" t="s">
        <v>97</v>
      </c>
      <c r="AA508" s="327"/>
      <c r="AB508" s="334" t="s">
        <v>311</v>
      </c>
      <c r="AC508" s="334" t="s">
        <v>1702</v>
      </c>
      <c r="AD508" s="327"/>
      <c r="AE508" s="327"/>
      <c r="AF508" s="327"/>
      <c r="AG508" s="334"/>
      <c r="AH508" s="334"/>
      <c r="AI508" s="327"/>
      <c r="AJ508" s="327"/>
      <c r="AK508" s="327"/>
      <c r="AL508" s="327"/>
      <c r="AQ508" s="326">
        <f>'EXD Molari 2012 Fig 1'!B25</f>
        <v>2114.2857142857142</v>
      </c>
      <c r="AR508" s="326" t="s">
        <v>1463</v>
      </c>
      <c r="AS508" t="b">
        <v>1</v>
      </c>
      <c r="AV508" s="327"/>
      <c r="AW508" s="334"/>
      <c r="AX508" s="334"/>
      <c r="AZ508" s="334"/>
    </row>
    <row r="509" spans="1:52">
      <c r="A509" s="277" t="s">
        <v>1737</v>
      </c>
      <c r="B509" s="288" t="s">
        <v>40</v>
      </c>
      <c r="C509" s="181">
        <v>0.01</v>
      </c>
      <c r="D509" s="301">
        <f>'EXD Molari 2012 Fig 1'!E25</f>
        <v>492142857.14285719</v>
      </c>
      <c r="E509" s="301">
        <f>'EXD Molari 2012 Fig 1'!H25</f>
        <v>362142857.14285719</v>
      </c>
      <c r="F509" s="301">
        <f>'EXD Molari 2012 Fig 1'!K25</f>
        <v>55714285.714285716</v>
      </c>
      <c r="G509" s="301">
        <f>E509+F509</f>
        <v>417857142.85714293</v>
      </c>
      <c r="H509" s="27">
        <f>G509/D509</f>
        <v>0.84905660377358494</v>
      </c>
      <c r="M509" s="27">
        <f>F509/G509</f>
        <v>0.1333333333333333</v>
      </c>
      <c r="O509" t="s">
        <v>71</v>
      </c>
      <c r="P509" s="334"/>
      <c r="R509" s="304" t="s">
        <v>460</v>
      </c>
      <c r="S509" t="s">
        <v>141</v>
      </c>
      <c r="T509" t="s">
        <v>145</v>
      </c>
      <c r="U509" t="s">
        <v>147</v>
      </c>
      <c r="V509" s="313">
        <v>0.55000000000000004</v>
      </c>
      <c r="W509" s="334" t="s">
        <v>110</v>
      </c>
      <c r="X509" s="306" t="s">
        <v>112</v>
      </c>
      <c r="Y509" s="334" t="s">
        <v>96</v>
      </c>
      <c r="Z509" s="334" t="s">
        <v>97</v>
      </c>
      <c r="AB509" s="334" t="s">
        <v>311</v>
      </c>
      <c r="AC509" s="334" t="s">
        <v>1702</v>
      </c>
      <c r="AG509" s="334"/>
      <c r="AH509" s="334"/>
      <c r="AQ509" s="322">
        <f>'EXD Molari 2012 Fig 1'!B24</f>
        <v>1028.5714285714287</v>
      </c>
      <c r="AR509" s="326" t="s">
        <v>1463</v>
      </c>
      <c r="AS509" t="b">
        <v>1</v>
      </c>
      <c r="AV509" s="327"/>
      <c r="AW509" s="334"/>
      <c r="AX509" s="334"/>
      <c r="AZ509" s="334"/>
    </row>
    <row r="510" spans="1:52">
      <c r="A510" s="277" t="s">
        <v>1737</v>
      </c>
      <c r="B510" s="288" t="s">
        <v>40</v>
      </c>
      <c r="C510" s="181">
        <v>0.01</v>
      </c>
      <c r="D510" s="301">
        <f>'EXD Molari 2012 Fig 1'!E23</f>
        <v>603571428.57142866</v>
      </c>
      <c r="E510" s="301">
        <f>'EXD Molari 2012 Fig 1'!H23</f>
        <v>427142857.14285713</v>
      </c>
      <c r="F510" s="301">
        <f>'EXD Molari 2012 Fig 1'!K23</f>
        <v>83571428.571428582</v>
      </c>
      <c r="G510" s="301">
        <f>E510+F510</f>
        <v>510714285.71428573</v>
      </c>
      <c r="H510" s="27">
        <f>G510/D510</f>
        <v>0.84615384615384603</v>
      </c>
      <c r="M510" s="27">
        <f>F510/G510</f>
        <v>0.16363636363636366</v>
      </c>
      <c r="O510" t="s">
        <v>71</v>
      </c>
      <c r="P510" s="326"/>
      <c r="R510" s="304" t="s">
        <v>460</v>
      </c>
      <c r="S510" t="s">
        <v>141</v>
      </c>
      <c r="T510" t="s">
        <v>145</v>
      </c>
      <c r="U510" t="s">
        <v>147</v>
      </c>
      <c r="V510" s="313">
        <v>0.55000000000000004</v>
      </c>
      <c r="W510" s="334" t="s">
        <v>110</v>
      </c>
      <c r="X510" s="306" t="s">
        <v>112</v>
      </c>
      <c r="Y510" s="328" t="s">
        <v>96</v>
      </c>
      <c r="Z510" s="334" t="s">
        <v>97</v>
      </c>
      <c r="AB510" s="334" t="s">
        <v>311</v>
      </c>
      <c r="AC510" s="334" t="s">
        <v>1702</v>
      </c>
      <c r="AG510" s="334"/>
      <c r="AH510" s="334"/>
      <c r="AQ510" s="326">
        <f>'EXD Molari 2012 Fig 1'!B23</f>
        <v>457.14285714285717</v>
      </c>
      <c r="AR510" s="326" t="s">
        <v>1463</v>
      </c>
      <c r="AS510" t="b">
        <v>1</v>
      </c>
      <c r="AW510" s="334"/>
      <c r="AX510" s="334"/>
      <c r="AZ510" s="334"/>
    </row>
    <row r="511" spans="1:52">
      <c r="A511" s="277" t="s">
        <v>1737</v>
      </c>
      <c r="B511" s="288" t="s">
        <v>40</v>
      </c>
      <c r="C511" s="181">
        <v>0.01</v>
      </c>
      <c r="D511" s="301">
        <f>'EXD Molari 2012 Fig 1'!E19</f>
        <v>722222222.22222209</v>
      </c>
      <c r="E511" s="301">
        <f>'EXD Molari 2012 Fig 1'!H19</f>
        <v>500740740.74074072</v>
      </c>
      <c r="F511" s="301">
        <f>'EXD Molari 2012 Fig 1'!K19</f>
        <v>57777777.777777776</v>
      </c>
      <c r="G511" s="301">
        <f>E511+F511</f>
        <v>558518518.51851845</v>
      </c>
      <c r="H511" s="27">
        <f>G511/D511</f>
        <v>0.77333333333333343</v>
      </c>
      <c r="M511" s="27">
        <f>F511/G511</f>
        <v>0.10344827586206898</v>
      </c>
      <c r="O511" t="s">
        <v>71</v>
      </c>
      <c r="P511" s="326"/>
      <c r="R511" s="304" t="s">
        <v>460</v>
      </c>
      <c r="S511" t="s">
        <v>141</v>
      </c>
      <c r="T511" t="s">
        <v>145</v>
      </c>
      <c r="U511" t="s">
        <v>147</v>
      </c>
      <c r="V511" s="313">
        <v>0.55000000000000004</v>
      </c>
      <c r="W511" s="334" t="s">
        <v>110</v>
      </c>
      <c r="X511" s="306" t="s">
        <v>112</v>
      </c>
      <c r="Y511" s="334" t="s">
        <v>96</v>
      </c>
      <c r="Z511" s="334" t="s">
        <v>97</v>
      </c>
      <c r="AB511" s="334" t="s">
        <v>311</v>
      </c>
      <c r="AC511" s="334" t="s">
        <v>1702</v>
      </c>
      <c r="AG511" s="334"/>
      <c r="AH511" s="334"/>
      <c r="AQ511" s="326">
        <f>'EXD Molari 2012 Fig 1'!B19</f>
        <v>4358.2089552238804</v>
      </c>
      <c r="AR511" s="326" t="s">
        <v>1463</v>
      </c>
      <c r="AS511" t="b">
        <v>1</v>
      </c>
      <c r="AW511" s="334"/>
      <c r="AX511" s="334"/>
      <c r="AZ511" s="334"/>
    </row>
    <row r="512" spans="1:52">
      <c r="A512" s="277" t="s">
        <v>1737</v>
      </c>
      <c r="B512" s="288" t="s">
        <v>40</v>
      </c>
      <c r="C512" s="181">
        <v>0.01</v>
      </c>
      <c r="D512" s="301">
        <f>'EXD Molari 2012 Fig 1'!E18</f>
        <v>866666666.66666663</v>
      </c>
      <c r="E512" s="301">
        <f>'EXD Molari 2012 Fig 1'!H18</f>
        <v>616296296.29629624</v>
      </c>
      <c r="F512" s="301">
        <f>'EXD Molari 2012 Fig 1'!K18</f>
        <v>77037037.03703703</v>
      </c>
      <c r="G512" s="301">
        <f>E512+F512</f>
        <v>693333333.33333325</v>
      </c>
      <c r="H512" s="27">
        <f>G512/D512</f>
        <v>0.79999999999999993</v>
      </c>
      <c r="M512" s="27">
        <f>F512/G512</f>
        <v>0.11111111111111112</v>
      </c>
      <c r="O512" t="s">
        <v>71</v>
      </c>
      <c r="P512" s="326"/>
      <c r="R512" s="304" t="s">
        <v>460</v>
      </c>
      <c r="S512" t="s">
        <v>141</v>
      </c>
      <c r="T512" t="s">
        <v>145</v>
      </c>
      <c r="U512" t="s">
        <v>147</v>
      </c>
      <c r="V512" s="313">
        <v>0.55000000000000004</v>
      </c>
      <c r="W512" s="334" t="s">
        <v>110</v>
      </c>
      <c r="X512" s="306" t="s">
        <v>112</v>
      </c>
      <c r="Y512" s="328" t="s">
        <v>96</v>
      </c>
      <c r="Z512" s="334" t="s">
        <v>97</v>
      </c>
      <c r="AB512" s="334" t="s">
        <v>311</v>
      </c>
      <c r="AC512" s="334" t="s">
        <v>1702</v>
      </c>
      <c r="AG512" s="334"/>
      <c r="AH512" s="334"/>
      <c r="AQ512" s="326">
        <f>'EXD Molari 2012 Fig 1'!B17</f>
        <v>895.52238805970148</v>
      </c>
      <c r="AR512" s="326" t="s">
        <v>1463</v>
      </c>
      <c r="AS512" t="b">
        <v>1</v>
      </c>
      <c r="AW512" s="334"/>
      <c r="AX512" s="334"/>
      <c r="AZ512" s="334"/>
    </row>
    <row r="513" spans="1:52">
      <c r="A513" s="277" t="s">
        <v>1737</v>
      </c>
      <c r="B513" s="288" t="s">
        <v>40</v>
      </c>
      <c r="C513" s="181">
        <v>0.01</v>
      </c>
      <c r="D513" s="301">
        <f>'EXD Molari 2012 Fig 1'!E16</f>
        <v>905185185.18518519</v>
      </c>
      <c r="E513" s="301">
        <f>'EXD Molari 2012 Fig 1'!H16</f>
        <v>625925925.92592585</v>
      </c>
      <c r="F513" s="301">
        <f>'EXD Molari 2012 Fig 1'!K16</f>
        <v>77037037.03703703</v>
      </c>
      <c r="G513" s="301">
        <f>E513+F513</f>
        <v>702962962.96296287</v>
      </c>
      <c r="H513" s="27">
        <f>G513/D513</f>
        <v>0.77659574468085091</v>
      </c>
      <c r="M513" s="27">
        <f>F513/G513</f>
        <v>0.10958904109589042</v>
      </c>
      <c r="O513" t="s">
        <v>71</v>
      </c>
      <c r="P513" s="326"/>
      <c r="R513" s="304" t="s">
        <v>460</v>
      </c>
      <c r="S513" t="s">
        <v>141</v>
      </c>
      <c r="T513" t="s">
        <v>145</v>
      </c>
      <c r="U513" t="s">
        <v>147</v>
      </c>
      <c r="V513" s="313">
        <v>0.55000000000000004</v>
      </c>
      <c r="W513" s="334" t="s">
        <v>110</v>
      </c>
      <c r="X513" s="306" t="s">
        <v>112</v>
      </c>
      <c r="Y513" s="327" t="s">
        <v>96</v>
      </c>
      <c r="Z513" s="334" t="s">
        <v>97</v>
      </c>
      <c r="AB513" s="334" t="s">
        <v>311</v>
      </c>
      <c r="AC513" s="334" t="s">
        <v>1702</v>
      </c>
      <c r="AG513" s="334"/>
      <c r="AH513" s="334"/>
      <c r="AQ513" s="326">
        <f>'EXD Molari 2012 Fig 1'!B16</f>
        <v>417.91044776119401</v>
      </c>
      <c r="AR513" s="326" t="s">
        <v>1463</v>
      </c>
      <c r="AS513" t="b">
        <v>1</v>
      </c>
      <c r="AT513"/>
      <c r="AU513"/>
      <c r="AV513"/>
      <c r="AW513" s="334"/>
      <c r="AX513" s="334"/>
      <c r="AZ513" s="334"/>
    </row>
    <row r="514" spans="1:52">
      <c r="A514" s="277" t="s">
        <v>1737</v>
      </c>
      <c r="B514" s="288" t="s">
        <v>40</v>
      </c>
      <c r="C514" s="181">
        <v>0.01</v>
      </c>
      <c r="D514" s="301">
        <f>'EXD Molari 2012 Fig 1'!E17</f>
        <v>914814814.81481481</v>
      </c>
      <c r="E514" s="301">
        <f>'EXD Molari 2012 Fig 1'!H17</f>
        <v>597037037.03703701</v>
      </c>
      <c r="F514" s="301">
        <f>'EXD Molari 2012 Fig 1'!K17</f>
        <v>134814814.81481481</v>
      </c>
      <c r="G514" s="301">
        <f>E514+F514</f>
        <v>731851851.85185182</v>
      </c>
      <c r="H514" s="27">
        <f>G514/D514</f>
        <v>0.79999999999999993</v>
      </c>
      <c r="M514" s="27">
        <f>F514/G514</f>
        <v>0.18421052631578946</v>
      </c>
      <c r="O514" t="s">
        <v>71</v>
      </c>
      <c r="P514" s="326"/>
      <c r="R514" s="304" t="s">
        <v>460</v>
      </c>
      <c r="S514" t="s">
        <v>141</v>
      </c>
      <c r="T514" t="s">
        <v>145</v>
      </c>
      <c r="U514" t="s">
        <v>147</v>
      </c>
      <c r="V514" s="313">
        <v>0.55000000000000004</v>
      </c>
      <c r="W514" s="334" t="s">
        <v>110</v>
      </c>
      <c r="X514" s="306" t="s">
        <v>112</v>
      </c>
      <c r="Y514" s="334" t="s">
        <v>96</v>
      </c>
      <c r="Z514" s="334" t="s">
        <v>97</v>
      </c>
      <c r="AB514" s="334" t="s">
        <v>311</v>
      </c>
      <c r="AC514" s="334" t="s">
        <v>1702</v>
      </c>
      <c r="AG514" s="334"/>
      <c r="AH514" s="334"/>
      <c r="AQ514" s="326">
        <f>'EXD Molari 2012 Fig 1'!B18</f>
        <v>3223.8805970149251</v>
      </c>
      <c r="AR514" s="326" t="s">
        <v>1463</v>
      </c>
      <c r="AS514" t="b">
        <v>1</v>
      </c>
      <c r="AT514"/>
      <c r="AU514"/>
      <c r="AV514"/>
      <c r="AW514" s="334"/>
      <c r="AX514" s="334"/>
      <c r="AZ514" s="334"/>
    </row>
    <row r="515" spans="1:52">
      <c r="A515" s="277" t="s">
        <v>1737</v>
      </c>
      <c r="B515" s="288" t="s">
        <v>41</v>
      </c>
      <c r="C515" s="181">
        <v>0.01</v>
      </c>
      <c r="D515" s="301">
        <f>'EXD Molari 2012 Fig 1'!E8</f>
        <v>231111111.1111111</v>
      </c>
      <c r="E515" s="301">
        <f>'EXD Molari 2012 Fig 1'!H8</f>
        <v>115555555.55555555</v>
      </c>
      <c r="F515" s="301">
        <f>'EXD Molari 2012 Fig 1'!K8</f>
        <v>77037037.03703703</v>
      </c>
      <c r="G515" s="301">
        <f>E515+F515</f>
        <v>192592592.5925926</v>
      </c>
      <c r="H515" s="27">
        <f>G515/D515</f>
        <v>0.83333333333333337</v>
      </c>
      <c r="M515" s="27">
        <f>F515/G515</f>
        <v>0.39999999999999997</v>
      </c>
      <c r="O515" t="s">
        <v>71</v>
      </c>
      <c r="P515" s="326"/>
      <c r="R515" s="304" t="s">
        <v>460</v>
      </c>
      <c r="S515" t="s">
        <v>141</v>
      </c>
      <c r="T515" t="s">
        <v>145</v>
      </c>
      <c r="U515" t="s">
        <v>147</v>
      </c>
      <c r="V515" s="313">
        <v>0.55000000000000004</v>
      </c>
      <c r="W515" s="334" t="s">
        <v>110</v>
      </c>
      <c r="X515" s="306" t="s">
        <v>112</v>
      </c>
      <c r="Y515" s="334" t="s">
        <v>96</v>
      </c>
      <c r="Z515" s="334" t="s">
        <v>97</v>
      </c>
      <c r="AB515" s="334" t="s">
        <v>311</v>
      </c>
      <c r="AC515" s="334" t="s">
        <v>1702</v>
      </c>
      <c r="AG515" s="334"/>
      <c r="AH515" s="334"/>
      <c r="AQ515" s="326">
        <f>'EXD Molari 2012 Fig 1'!B10</f>
        <v>3522.3880597014922</v>
      </c>
      <c r="AR515" s="326" t="s">
        <v>1463</v>
      </c>
      <c r="AS515" t="b">
        <v>1</v>
      </c>
      <c r="AT515"/>
      <c r="AU515"/>
      <c r="AV515"/>
      <c r="AW515" s="334"/>
      <c r="AX515" s="334"/>
      <c r="AZ515" s="334"/>
    </row>
    <row r="516" spans="1:52">
      <c r="A516" s="277" t="s">
        <v>1737</v>
      </c>
      <c r="B516" s="288" t="s">
        <v>41</v>
      </c>
      <c r="C516" s="181">
        <v>0.01</v>
      </c>
      <c r="D516" s="301">
        <f>'EXD Molari 2012 Fig 1'!E9</f>
        <v>269629629.62962961</v>
      </c>
      <c r="E516" s="301">
        <f>'EXD Molari 2012 Fig 1'!H9</f>
        <v>115555555.55555555</v>
      </c>
      <c r="F516" s="301">
        <f>'EXD Molari 2012 Fig 1'!K9</f>
        <v>96296296.296296299</v>
      </c>
      <c r="G516" s="301">
        <f>E516+F516</f>
        <v>211851851.85185185</v>
      </c>
      <c r="H516" s="336">
        <f>G516/D516</f>
        <v>0.78571428571428581</v>
      </c>
      <c r="M516" s="27">
        <f>F516/G516</f>
        <v>0.45454545454545459</v>
      </c>
      <c r="O516" t="s">
        <v>71</v>
      </c>
      <c r="P516" s="326"/>
      <c r="R516" s="304" t="s">
        <v>460</v>
      </c>
      <c r="S516" t="s">
        <v>141</v>
      </c>
      <c r="T516" t="s">
        <v>145</v>
      </c>
      <c r="U516" t="s">
        <v>147</v>
      </c>
      <c r="V516" s="313">
        <v>0.55000000000000004</v>
      </c>
      <c r="W516" s="334" t="s">
        <v>110</v>
      </c>
      <c r="X516" s="306" t="s">
        <v>112</v>
      </c>
      <c r="Y516" s="334" t="s">
        <v>96</v>
      </c>
      <c r="Z516" s="334" t="s">
        <v>97</v>
      </c>
      <c r="AB516" s="334" t="s">
        <v>311</v>
      </c>
      <c r="AC516" s="334" t="s">
        <v>1702</v>
      </c>
      <c r="AG516" s="334"/>
      <c r="AH516" s="334"/>
      <c r="AQ516" s="326">
        <f>'EXD Molari 2012 Fig 1'!B11</f>
        <v>4000</v>
      </c>
      <c r="AR516" s="326" t="s">
        <v>1463</v>
      </c>
      <c r="AS516" t="b">
        <v>1</v>
      </c>
      <c r="AT516"/>
      <c r="AU516"/>
      <c r="AV516"/>
      <c r="AW516" s="334"/>
      <c r="AX516" s="334"/>
      <c r="AZ516" s="334"/>
    </row>
    <row r="517" spans="1:52">
      <c r="A517" s="277" t="s">
        <v>1737</v>
      </c>
      <c r="B517" s="288" t="s">
        <v>41</v>
      </c>
      <c r="C517" s="181">
        <v>0.01</v>
      </c>
      <c r="D517" s="301">
        <f>'EXD Molari 2012 Fig 1'!E11</f>
        <v>327407407.4074074</v>
      </c>
      <c r="F517" s="301">
        <f>'EXD Molari 2012 Fig 1'!K11</f>
        <v>134814814.81481481</v>
      </c>
      <c r="P517" s="327"/>
      <c r="R517" s="304" t="s">
        <v>460</v>
      </c>
      <c r="S517" t="s">
        <v>141</v>
      </c>
      <c r="T517" t="s">
        <v>145</v>
      </c>
      <c r="U517" t="s">
        <v>147</v>
      </c>
      <c r="V517" s="334"/>
      <c r="W517" s="334"/>
      <c r="X517" s="334"/>
      <c r="Y517" s="334"/>
      <c r="Z517" s="334"/>
      <c r="AQ517" s="326">
        <f>'EXD Molari 2012 Fig 1'!B11</f>
        <v>4000</v>
      </c>
      <c r="AR517" s="326" t="s">
        <v>1463</v>
      </c>
      <c r="AS517" t="b">
        <v>1</v>
      </c>
      <c r="AT517"/>
      <c r="AU517"/>
      <c r="AV517"/>
      <c r="AW517" s="334"/>
      <c r="AX517" s="334"/>
    </row>
    <row r="518" spans="1:52">
      <c r="A518" s="277" t="s">
        <v>1737</v>
      </c>
      <c r="B518" s="288" t="s">
        <v>41</v>
      </c>
      <c r="C518" s="181">
        <v>0.01</v>
      </c>
      <c r="D518" s="301">
        <f>'EXD Molari 2012 Fig 1'!E7</f>
        <v>346666666.66666669</v>
      </c>
      <c r="E518" s="301">
        <f>'EXD Molari 2012 Fig 1'!H7</f>
        <v>250370370.37037036</v>
      </c>
      <c r="F518" s="301">
        <f>'EXD Molari 2012 Fig 1'!K7</f>
        <v>38518518.518518515</v>
      </c>
      <c r="G518" s="301">
        <f>E518+F518</f>
        <v>288888888.8888889</v>
      </c>
      <c r="H518" s="27">
        <f>G518/D518</f>
        <v>0.83333333333333326</v>
      </c>
      <c r="M518" s="27">
        <f>F518/G518</f>
        <v>0.13333333333333333</v>
      </c>
      <c r="O518" t="s">
        <v>71</v>
      </c>
      <c r="P518" s="327"/>
      <c r="R518" s="304" t="s">
        <v>460</v>
      </c>
      <c r="S518" t="s">
        <v>141</v>
      </c>
      <c r="T518" t="s">
        <v>145</v>
      </c>
      <c r="U518" t="s">
        <v>147</v>
      </c>
      <c r="V518" s="313">
        <v>0.55000000000000004</v>
      </c>
      <c r="W518" s="334" t="s">
        <v>110</v>
      </c>
      <c r="X518" s="306" t="s">
        <v>112</v>
      </c>
      <c r="Y518" s="334" t="s">
        <v>96</v>
      </c>
      <c r="Z518" s="334" t="s">
        <v>97</v>
      </c>
      <c r="AB518" s="334" t="s">
        <v>311</v>
      </c>
      <c r="AC518" s="334" t="s">
        <v>1702</v>
      </c>
      <c r="AQ518" s="326">
        <f>'EXD Molari 2012 Fig 1'!B8</f>
        <v>955.22388059701495</v>
      </c>
      <c r="AR518" s="326" t="s">
        <v>1463</v>
      </c>
      <c r="AS518" t="b">
        <v>1</v>
      </c>
      <c r="AT518"/>
      <c r="AU518"/>
      <c r="AV518"/>
      <c r="AW518" s="334"/>
      <c r="AX518" s="334"/>
    </row>
    <row r="519" spans="1:52">
      <c r="A519" s="277" t="s">
        <v>1737</v>
      </c>
      <c r="B519" s="288" t="s">
        <v>41</v>
      </c>
      <c r="C519" s="181">
        <v>0.01</v>
      </c>
      <c r="D519" s="301">
        <f>'EXD Molari 2012 Fig 1'!E33</f>
        <v>353437500</v>
      </c>
      <c r="E519" s="301">
        <f>'EXD Molari 2012 Fig 1'!H33</f>
        <v>146250000</v>
      </c>
      <c r="F519" s="301">
        <f>'EXD Molari 2012 Fig 1'!K33</f>
        <v>109687500</v>
      </c>
      <c r="G519" s="301">
        <f>E519+F519</f>
        <v>255937500</v>
      </c>
      <c r="H519" s="27">
        <f>G519/D519</f>
        <v>0.72413793103448276</v>
      </c>
      <c r="M519" s="27">
        <f>F519/G519</f>
        <v>0.42857142857142855</v>
      </c>
      <c r="O519" t="s">
        <v>71</v>
      </c>
      <c r="P519" s="327"/>
      <c r="R519" s="304" t="s">
        <v>460</v>
      </c>
      <c r="S519" t="s">
        <v>141</v>
      </c>
      <c r="T519" t="s">
        <v>145</v>
      </c>
      <c r="U519" t="s">
        <v>147</v>
      </c>
      <c r="V519" s="313">
        <v>0.55000000000000004</v>
      </c>
      <c r="W519" s="334" t="s">
        <v>110</v>
      </c>
      <c r="X519" s="306" t="s">
        <v>112</v>
      </c>
      <c r="Y519" s="334" t="s">
        <v>96</v>
      </c>
      <c r="Z519" s="334" t="s">
        <v>97</v>
      </c>
      <c r="AB519" s="334" t="s">
        <v>311</v>
      </c>
      <c r="AC519" s="334" t="s">
        <v>1702</v>
      </c>
      <c r="AQ519" s="326">
        <f>'EXD Molari 2012 Fig 1'!B35</f>
        <v>4971.4285714285716</v>
      </c>
      <c r="AR519" s="326" t="s">
        <v>1463</v>
      </c>
      <c r="AS519" t="b">
        <v>1</v>
      </c>
      <c r="AT519"/>
      <c r="AU519"/>
      <c r="AV519"/>
      <c r="AW519" s="334"/>
      <c r="AX519" s="334"/>
    </row>
    <row r="520" spans="1:52">
      <c r="A520" s="277" t="s">
        <v>1737</v>
      </c>
      <c r="B520" s="288" t="s">
        <v>41</v>
      </c>
      <c r="C520" s="181">
        <v>0.01</v>
      </c>
      <c r="D520" s="301">
        <f>'EXD Molari 2012 Fig 1'!E32</f>
        <v>377812500</v>
      </c>
      <c r="E520" s="301">
        <f>'EXD Molari 2012 Fig 1'!H32</f>
        <v>268125000</v>
      </c>
      <c r="F520" s="301">
        <f>'EXD Molari 2012 Fig 1'!K32</f>
        <v>54843750</v>
      </c>
      <c r="G520" s="301">
        <f>E520+F520</f>
        <v>322968750</v>
      </c>
      <c r="H520" s="27">
        <f>G520/D520</f>
        <v>0.85483870967741937</v>
      </c>
      <c r="M520" s="27">
        <f>F520/G520</f>
        <v>0.16981132075471697</v>
      </c>
      <c r="O520" t="s">
        <v>71</v>
      </c>
      <c r="P520" s="327"/>
      <c r="R520" s="304" t="s">
        <v>460</v>
      </c>
      <c r="S520" t="s">
        <v>141</v>
      </c>
      <c r="T520" t="s">
        <v>145</v>
      </c>
      <c r="U520" t="s">
        <v>147</v>
      </c>
      <c r="V520" s="313">
        <v>0.55000000000000004</v>
      </c>
      <c r="W520" s="334" t="s">
        <v>110</v>
      </c>
      <c r="X520" s="306" t="s">
        <v>112</v>
      </c>
      <c r="Y520" s="334" t="s">
        <v>96</v>
      </c>
      <c r="Z520" s="334" t="s">
        <v>97</v>
      </c>
      <c r="AB520" s="334" t="s">
        <v>311</v>
      </c>
      <c r="AC520" s="334" t="s">
        <v>1702</v>
      </c>
      <c r="AQ520" s="326">
        <f>'EXD Molari 2012 Fig 1'!B33</f>
        <v>2857.1428571428573</v>
      </c>
      <c r="AR520" s="326" t="s">
        <v>1463</v>
      </c>
      <c r="AS520" t="b">
        <v>1</v>
      </c>
      <c r="AT520"/>
      <c r="AU520"/>
      <c r="AV520"/>
      <c r="AW520" s="334"/>
      <c r="AX520" s="334"/>
    </row>
    <row r="521" spans="1:52">
      <c r="A521" s="277" t="s">
        <v>1737</v>
      </c>
      <c r="B521" s="288" t="s">
        <v>41</v>
      </c>
      <c r="C521" s="181">
        <v>0.01</v>
      </c>
      <c r="D521" s="301">
        <f>'EXD Molari 2012 Fig 1'!E31</f>
        <v>390000000</v>
      </c>
      <c r="E521" s="301">
        <f>'EXD Molari 2012 Fig 1'!H31</f>
        <v>268125000</v>
      </c>
      <c r="F521" s="301">
        <f>'EXD Molari 2012 Fig 1'!K31</f>
        <v>60937500</v>
      </c>
      <c r="G521" s="301">
        <f>E521+F521</f>
        <v>329062500</v>
      </c>
      <c r="H521" s="27">
        <f>G521/D521</f>
        <v>0.84375</v>
      </c>
      <c r="M521" s="27">
        <f>F521/G521</f>
        <v>0.18518518518518517</v>
      </c>
      <c r="O521" t="s">
        <v>71</v>
      </c>
      <c r="P521" s="327"/>
      <c r="R521" s="304" t="s">
        <v>460</v>
      </c>
      <c r="S521" t="s">
        <v>141</v>
      </c>
      <c r="T521" t="s">
        <v>145</v>
      </c>
      <c r="U521" t="s">
        <v>147</v>
      </c>
      <c r="V521" s="313">
        <v>0.55000000000000004</v>
      </c>
      <c r="W521" s="334" t="s">
        <v>110</v>
      </c>
      <c r="X521" s="306" t="s">
        <v>112</v>
      </c>
      <c r="Y521" s="334" t="s">
        <v>96</v>
      </c>
      <c r="Z521" s="334" t="s">
        <v>97</v>
      </c>
      <c r="AB521" s="334" t="s">
        <v>311</v>
      </c>
      <c r="AC521" s="334" t="s">
        <v>1702</v>
      </c>
      <c r="AQ521">
        <f>'EXD Molari 2012 Fig 1'!B34</f>
        <v>3885.7142857142858</v>
      </c>
      <c r="AR521" s="326" t="s">
        <v>1463</v>
      </c>
      <c r="AS521" t="b">
        <v>1</v>
      </c>
      <c r="AT521"/>
      <c r="AU521"/>
      <c r="AV521"/>
      <c r="AW521" s="334"/>
      <c r="AX521" s="334"/>
    </row>
    <row r="522" spans="1:52">
      <c r="A522" s="277" t="s">
        <v>1737</v>
      </c>
      <c r="B522" s="288" t="s">
        <v>41</v>
      </c>
      <c r="C522" s="181">
        <v>0.01</v>
      </c>
      <c r="D522" s="301">
        <f>'EXD Molari 2012 Fig 1'!E12</f>
        <v>442962962.96296287</v>
      </c>
      <c r="E522" s="301">
        <f>'EXD Molari 2012 Fig 1'!H12</f>
        <v>250370370.37037036</v>
      </c>
      <c r="F522" s="301">
        <f>'EXD Molari 2012 Fig 1'!K12</f>
        <v>57777777.777777776</v>
      </c>
      <c r="G522" s="301">
        <f>E522+F522</f>
        <v>308148148.14814812</v>
      </c>
      <c r="H522" s="27">
        <f>G522/D522</f>
        <v>0.69565217391304357</v>
      </c>
      <c r="M522" s="27">
        <f>F522/G522</f>
        <v>0.1875</v>
      </c>
      <c r="O522" t="s">
        <v>71</v>
      </c>
      <c r="P522" s="327"/>
      <c r="R522" s="304" t="s">
        <v>460</v>
      </c>
      <c r="S522" t="s">
        <v>141</v>
      </c>
      <c r="T522" t="s">
        <v>145</v>
      </c>
      <c r="U522" t="s">
        <v>147</v>
      </c>
      <c r="V522" s="313">
        <v>0.55000000000000004</v>
      </c>
      <c r="W522" s="334" t="s">
        <v>110</v>
      </c>
      <c r="X522" s="306" t="s">
        <v>112</v>
      </c>
      <c r="Y522" s="328" t="s">
        <v>96</v>
      </c>
      <c r="Z522" s="334" t="s">
        <v>97</v>
      </c>
      <c r="AB522" s="334" t="s">
        <v>311</v>
      </c>
      <c r="AC522" s="334" t="s">
        <v>1702</v>
      </c>
      <c r="AQ522" s="326">
        <f>'EXD Molari 2012 Fig 1'!B9</f>
        <v>1492.5373134328358</v>
      </c>
      <c r="AR522" s="326" t="s">
        <v>1463</v>
      </c>
      <c r="AS522" t="b">
        <v>1</v>
      </c>
      <c r="AT522"/>
      <c r="AU522"/>
      <c r="AV522"/>
      <c r="AW522" s="334"/>
      <c r="AX522" s="334"/>
    </row>
    <row r="523" spans="1:52">
      <c r="A523" s="277" t="s">
        <v>1737</v>
      </c>
      <c r="B523" s="288" t="s">
        <v>41</v>
      </c>
      <c r="C523" s="181">
        <v>0.01</v>
      </c>
      <c r="D523" s="301">
        <f>'EXD Molari 2012 Fig 1'!E34</f>
        <v>627656250</v>
      </c>
      <c r="E523" s="301">
        <f>'EXD Molari 2012 Fig 1'!H34</f>
        <v>420468750</v>
      </c>
      <c r="F523" s="301">
        <f>'EXD Molari 2012 Fig 1'!K34</f>
        <v>109687500</v>
      </c>
      <c r="G523" s="301">
        <f>E523+F523</f>
        <v>530156250</v>
      </c>
      <c r="H523" s="27">
        <f>G523/D523</f>
        <v>0.84466019417475724</v>
      </c>
      <c r="M523" s="27">
        <f>F523/G523</f>
        <v>0.20689655172413793</v>
      </c>
      <c r="O523" t="s">
        <v>71</v>
      </c>
      <c r="P523" s="327"/>
      <c r="R523" s="304" t="s">
        <v>460</v>
      </c>
      <c r="S523" t="s">
        <v>141</v>
      </c>
      <c r="T523" t="s">
        <v>145</v>
      </c>
      <c r="U523" t="s">
        <v>147</v>
      </c>
      <c r="V523" s="313">
        <v>0.55000000000000004</v>
      </c>
      <c r="W523" s="334" t="s">
        <v>110</v>
      </c>
      <c r="X523" s="306" t="s">
        <v>112</v>
      </c>
      <c r="Y523" s="327" t="s">
        <v>96</v>
      </c>
      <c r="Z523" s="334" t="s">
        <v>97</v>
      </c>
      <c r="AB523" s="334" t="s">
        <v>311</v>
      </c>
      <c r="AC523" s="334" t="s">
        <v>1702</v>
      </c>
      <c r="AQ523" s="326">
        <f>'EXD Molari 2012 Fig 1'!B32</f>
        <v>2171.4285714285716</v>
      </c>
      <c r="AR523" s="326" t="s">
        <v>1463</v>
      </c>
      <c r="AS523" t="b">
        <v>1</v>
      </c>
      <c r="AT523"/>
      <c r="AU523"/>
      <c r="AV523"/>
      <c r="AW523" s="334"/>
      <c r="AX523" s="334"/>
    </row>
    <row r="524" spans="1:52">
      <c r="A524" s="277" t="s">
        <v>1737</v>
      </c>
      <c r="B524" s="288" t="s">
        <v>41</v>
      </c>
      <c r="C524" s="181">
        <v>0.01</v>
      </c>
      <c r="D524" s="301">
        <f>'EXD Molari 2012 Fig 1'!E35</f>
        <v>633750000</v>
      </c>
      <c r="E524" s="301">
        <f>'EXD Molari 2012 Fig 1'!H35</f>
        <v>463125000</v>
      </c>
      <c r="F524" s="301">
        <f>'EXD Molari 2012 Fig 1'!K35</f>
        <v>97500000</v>
      </c>
      <c r="G524" s="301">
        <f>E524+F524</f>
        <v>560625000</v>
      </c>
      <c r="H524" s="27">
        <f>G524/D524</f>
        <v>0.88461538461538458</v>
      </c>
      <c r="M524" s="27">
        <f>F524/G524</f>
        <v>0.17391304347826086</v>
      </c>
      <c r="O524" t="s">
        <v>71</v>
      </c>
      <c r="P524" s="327"/>
      <c r="R524" s="304" t="s">
        <v>460</v>
      </c>
      <c r="S524" t="s">
        <v>141</v>
      </c>
      <c r="T524" t="s">
        <v>145</v>
      </c>
      <c r="U524" t="s">
        <v>147</v>
      </c>
      <c r="V524" s="313">
        <v>0.55000000000000004</v>
      </c>
      <c r="W524" s="334" t="s">
        <v>110</v>
      </c>
      <c r="X524" s="306" t="s">
        <v>112</v>
      </c>
      <c r="Y524" s="334" t="s">
        <v>96</v>
      </c>
      <c r="Z524" s="334" t="s">
        <v>97</v>
      </c>
      <c r="AA524" s="328"/>
      <c r="AB524" s="334" t="s">
        <v>311</v>
      </c>
      <c r="AC524" s="334" t="s">
        <v>1702</v>
      </c>
      <c r="AE524" s="328"/>
      <c r="AQ524" s="326">
        <f>'EXD Molari 2012 Fig 1'!B31</f>
        <v>1028.5714285714287</v>
      </c>
      <c r="AR524" s="326" t="s">
        <v>1463</v>
      </c>
      <c r="AS524" t="b">
        <v>1</v>
      </c>
      <c r="AT524"/>
      <c r="AU524"/>
      <c r="AV524"/>
      <c r="AW524" s="334"/>
      <c r="AX524" s="334"/>
    </row>
    <row r="525" spans="1:52">
      <c r="A525" s="277" t="s">
        <v>1737</v>
      </c>
      <c r="B525" s="288" t="s">
        <v>41</v>
      </c>
      <c r="C525" s="181">
        <v>0.01</v>
      </c>
      <c r="D525" s="301">
        <f>'EXD Molari 2012 Fig 1'!E10</f>
        <v>953333333.33333325</v>
      </c>
      <c r="E525" s="301">
        <f>'EXD Molari 2012 Fig 1'!H10</f>
        <v>365925925.92592597</v>
      </c>
      <c r="F525" s="301">
        <f>'EXD Molari 2012 Fig 1'!K10</f>
        <v>404444444.44444448</v>
      </c>
      <c r="G525" s="301">
        <f>E525+F525</f>
        <v>770370370.37037039</v>
      </c>
      <c r="H525" s="27">
        <f>G525/D525</f>
        <v>0.80808080808080818</v>
      </c>
      <c r="M525" s="27">
        <f>F525/G525</f>
        <v>0.52500000000000002</v>
      </c>
      <c r="O525" t="s">
        <v>71</v>
      </c>
      <c r="P525" s="327"/>
      <c r="R525" s="304" t="s">
        <v>460</v>
      </c>
      <c r="S525" t="s">
        <v>141</v>
      </c>
      <c r="T525" t="s">
        <v>145</v>
      </c>
      <c r="U525" t="s">
        <v>147</v>
      </c>
      <c r="V525" s="313">
        <v>0.55000000000000004</v>
      </c>
      <c r="W525" s="334" t="s">
        <v>110</v>
      </c>
      <c r="X525" s="306" t="s">
        <v>112</v>
      </c>
      <c r="Y525" s="334" t="s">
        <v>96</v>
      </c>
      <c r="Z525" s="334" t="s">
        <v>97</v>
      </c>
      <c r="AB525" s="334" t="s">
        <v>311</v>
      </c>
      <c r="AC525" s="334" t="s">
        <v>1702</v>
      </c>
      <c r="AQ525" s="326">
        <f>'EXD Molari 2012 Fig 1'!B7</f>
        <v>417.91044776119401</v>
      </c>
      <c r="AR525" s="326" t="s">
        <v>1463</v>
      </c>
      <c r="AS525" t="b">
        <v>1</v>
      </c>
      <c r="AT525"/>
      <c r="AU525"/>
      <c r="AV525"/>
      <c r="AW525" s="334"/>
      <c r="AX525" s="334"/>
    </row>
    <row r="526" spans="1:52">
      <c r="A526" s="277" t="s">
        <v>231</v>
      </c>
      <c r="B526" s="334" t="s">
        <v>234</v>
      </c>
      <c r="C526" s="334">
        <f>'Musat 2006'!E39</f>
        <v>5.0000000000000001E-3</v>
      </c>
      <c r="D526" s="301">
        <f>'Musat 2006'!F39</f>
        <v>600000000</v>
      </c>
      <c r="E526" s="301">
        <f>'Musat 2006'!G39</f>
        <v>336000000.00000006</v>
      </c>
      <c r="G526" s="301">
        <f>E526</f>
        <v>336000000.00000006</v>
      </c>
      <c r="H526" s="27">
        <f>G526/D526</f>
        <v>0.56000000000000005</v>
      </c>
      <c r="I526" s="334"/>
      <c r="M526" s="27">
        <f>F526/G526</f>
        <v>0</v>
      </c>
      <c r="O526" t="s">
        <v>943</v>
      </c>
      <c r="P526" s="327"/>
      <c r="Q526" s="301" t="b">
        <v>1</v>
      </c>
      <c r="R526" s="304" t="s">
        <v>460</v>
      </c>
      <c r="S526" t="s">
        <v>141</v>
      </c>
      <c r="T526" t="s">
        <v>47</v>
      </c>
      <c r="U526" t="s">
        <v>47</v>
      </c>
      <c r="V526" s="334"/>
      <c r="W526" s="334"/>
      <c r="X526" s="334"/>
      <c r="Y526" s="328"/>
      <c r="Z526" s="334"/>
      <c r="AB526" s="334" t="s">
        <v>1739</v>
      </c>
      <c r="AC526" s="334" t="s">
        <v>1702</v>
      </c>
      <c r="AQ526" s="326">
        <v>0.5</v>
      </c>
      <c r="AR526" s="326" t="s">
        <v>162</v>
      </c>
      <c r="AT526"/>
      <c r="AU526"/>
      <c r="AV526"/>
      <c r="AW526" s="334"/>
      <c r="AX526" s="334"/>
    </row>
    <row r="527" spans="1:52">
      <c r="A527" s="277" t="s">
        <v>231</v>
      </c>
      <c r="B527" s="334" t="s">
        <v>234</v>
      </c>
      <c r="C527" s="334">
        <f>'Musat 2006'!E27</f>
        <v>5.0000000000000001E-3</v>
      </c>
      <c r="D527" s="301">
        <f>'Musat 2006'!F27</f>
        <v>600000000</v>
      </c>
      <c r="E527" s="301">
        <f>'Musat 2006'!G27</f>
        <v>378000000</v>
      </c>
      <c r="G527" s="301">
        <f>E527</f>
        <v>378000000</v>
      </c>
      <c r="H527" s="27">
        <f>G527/D527</f>
        <v>0.63</v>
      </c>
      <c r="I527" s="334"/>
      <c r="M527" s="27">
        <f>F527/G527</f>
        <v>0</v>
      </c>
      <c r="O527" t="s">
        <v>943</v>
      </c>
      <c r="P527" s="327"/>
      <c r="Q527" s="301" t="b">
        <v>1</v>
      </c>
      <c r="R527" s="304" t="s">
        <v>460</v>
      </c>
      <c r="S527" t="s">
        <v>141</v>
      </c>
      <c r="T527" t="s">
        <v>47</v>
      </c>
      <c r="U527" t="s">
        <v>47</v>
      </c>
      <c r="V527" s="334"/>
      <c r="W527" s="334"/>
      <c r="X527" s="334"/>
      <c r="Y527" s="328"/>
      <c r="Z527" s="334"/>
      <c r="AB527" s="334" t="s">
        <v>1739</v>
      </c>
      <c r="AC527" s="334" t="s">
        <v>1702</v>
      </c>
      <c r="AQ527" s="326">
        <v>0.5</v>
      </c>
      <c r="AR527" s="326" t="s">
        <v>162</v>
      </c>
      <c r="AT527"/>
      <c r="AU527"/>
      <c r="AV527"/>
      <c r="AW527" s="334"/>
      <c r="AX527" s="334"/>
    </row>
    <row r="528" spans="1:52">
      <c r="A528" s="277" t="s">
        <v>231</v>
      </c>
      <c r="B528" s="334" t="s">
        <v>234</v>
      </c>
      <c r="C528" s="334">
        <f>'Musat 2006'!E62</f>
        <v>5.0000000000000001E-3</v>
      </c>
      <c r="D528" s="301">
        <f>'Musat 2006'!F62</f>
        <v>1300000000</v>
      </c>
      <c r="E528" s="301">
        <f>'Musat 2006'!G62</f>
        <v>1027000000</v>
      </c>
      <c r="G528" s="301">
        <f>E528</f>
        <v>1027000000</v>
      </c>
      <c r="H528" s="27">
        <f>G528/D528</f>
        <v>0.79</v>
      </c>
      <c r="I528" s="334"/>
      <c r="M528" s="27">
        <f>F528/G528</f>
        <v>0</v>
      </c>
      <c r="O528" t="s">
        <v>943</v>
      </c>
      <c r="P528" s="327"/>
      <c r="Q528" s="301" t="b">
        <v>1</v>
      </c>
      <c r="R528" s="304" t="s">
        <v>460</v>
      </c>
      <c r="S528" t="s">
        <v>141</v>
      </c>
      <c r="T528" t="s">
        <v>47</v>
      </c>
      <c r="U528" t="s">
        <v>47</v>
      </c>
      <c r="V528" s="334"/>
      <c r="W528" s="334"/>
      <c r="X528" s="334"/>
      <c r="Y528" s="328"/>
      <c r="Z528" s="334"/>
      <c r="AB528" s="334" t="s">
        <v>1739</v>
      </c>
      <c r="AC528" s="334" t="s">
        <v>1702</v>
      </c>
      <c r="AQ528" s="326">
        <v>0.5</v>
      </c>
      <c r="AR528" s="326" t="s">
        <v>162</v>
      </c>
      <c r="AT528"/>
      <c r="AU528"/>
      <c r="AV528"/>
      <c r="AW528" s="334"/>
      <c r="AX528" s="334"/>
    </row>
    <row r="529" spans="1:50">
      <c r="A529" s="277" t="s">
        <v>231</v>
      </c>
      <c r="B529" s="334" t="s">
        <v>234</v>
      </c>
      <c r="C529" s="334">
        <f>'Musat 2006'!E15</f>
        <v>5.0000000000000001E-3</v>
      </c>
      <c r="D529" s="301">
        <f>'Musat 2006'!F15</f>
        <v>2000000000</v>
      </c>
      <c r="E529" s="301">
        <f>'Musat 2006'!G15</f>
        <v>680000000</v>
      </c>
      <c r="G529" s="301">
        <f>E529</f>
        <v>680000000</v>
      </c>
      <c r="H529" s="336">
        <f>G529/D529</f>
        <v>0.34</v>
      </c>
      <c r="I529" s="334"/>
      <c r="M529" s="27">
        <f>F529/G529</f>
        <v>0</v>
      </c>
      <c r="O529" t="s">
        <v>943</v>
      </c>
      <c r="P529" s="327"/>
      <c r="Q529" s="301" t="b">
        <v>1</v>
      </c>
      <c r="R529" s="304" t="s">
        <v>460</v>
      </c>
      <c r="S529" t="s">
        <v>141</v>
      </c>
      <c r="T529" t="s">
        <v>47</v>
      </c>
      <c r="U529" t="s">
        <v>47</v>
      </c>
      <c r="V529" s="334"/>
      <c r="W529" s="334"/>
      <c r="X529" s="334"/>
      <c r="Y529" s="328"/>
      <c r="Z529" s="334"/>
      <c r="AB529" s="334" t="s">
        <v>1739</v>
      </c>
      <c r="AC529" s="334" t="s">
        <v>1702</v>
      </c>
      <c r="AQ529" s="326">
        <v>0.5</v>
      </c>
      <c r="AR529" s="326" t="s">
        <v>162</v>
      </c>
      <c r="AT529"/>
      <c r="AU529"/>
      <c r="AV529"/>
      <c r="AW529" s="334"/>
      <c r="AX529" s="334"/>
    </row>
    <row r="530" spans="1:50">
      <c r="A530" s="277" t="s">
        <v>231</v>
      </c>
      <c r="B530" s="334" t="s">
        <v>234</v>
      </c>
      <c r="C530" s="334">
        <f>'Musat 2006'!E5</f>
        <v>5.0000000000000001E-3</v>
      </c>
      <c r="D530" s="301">
        <f>'Musat 2006'!F5</f>
        <v>2000000000</v>
      </c>
      <c r="E530" s="301">
        <f>'Musat 2006'!G5</f>
        <v>700000000</v>
      </c>
      <c r="G530" s="301">
        <f>E530</f>
        <v>700000000</v>
      </c>
      <c r="H530" s="336">
        <f>G530/D530</f>
        <v>0.35</v>
      </c>
      <c r="I530" s="334"/>
      <c r="M530" s="27">
        <f>F530/G530</f>
        <v>0</v>
      </c>
      <c r="O530" t="s">
        <v>943</v>
      </c>
      <c r="P530" s="327"/>
      <c r="Q530" s="301" t="b">
        <v>1</v>
      </c>
      <c r="R530" s="304" t="s">
        <v>460</v>
      </c>
      <c r="S530" t="s">
        <v>141</v>
      </c>
      <c r="T530" t="s">
        <v>47</v>
      </c>
      <c r="U530" t="s">
        <v>47</v>
      </c>
      <c r="V530" s="334"/>
      <c r="W530" s="334"/>
      <c r="X530" s="334"/>
      <c r="Y530" s="328"/>
      <c r="Z530" s="334"/>
      <c r="AB530" s="334" t="s">
        <v>1739</v>
      </c>
      <c r="AC530" s="334" t="s">
        <v>1702</v>
      </c>
      <c r="AQ530" s="326">
        <v>0.5</v>
      </c>
      <c r="AR530" s="326" t="s">
        <v>162</v>
      </c>
      <c r="AT530"/>
      <c r="AU530"/>
      <c r="AV530"/>
      <c r="AW530" s="334"/>
      <c r="AX530" s="334"/>
    </row>
    <row r="531" spans="1:50">
      <c r="A531" s="277" t="s">
        <v>231</v>
      </c>
      <c r="B531" s="334" t="s">
        <v>234</v>
      </c>
      <c r="C531" s="334">
        <f>'Musat 2006'!E51</f>
        <v>5.0000000000000001E-3</v>
      </c>
      <c r="D531" s="301">
        <f>'Musat 2006'!F51</f>
        <v>2000000000</v>
      </c>
      <c r="E531" s="301">
        <f>'Musat 2006'!G51</f>
        <v>1660000000</v>
      </c>
      <c r="G531" s="301">
        <f>E531</f>
        <v>1660000000</v>
      </c>
      <c r="H531" s="27">
        <f>G531/D531</f>
        <v>0.83</v>
      </c>
      <c r="I531" s="334"/>
      <c r="M531" s="27">
        <f>F531/G531</f>
        <v>0</v>
      </c>
      <c r="O531" t="s">
        <v>943</v>
      </c>
      <c r="P531" s="327"/>
      <c r="Q531" s="301" t="b">
        <v>1</v>
      </c>
      <c r="R531" s="304" t="s">
        <v>460</v>
      </c>
      <c r="S531" t="s">
        <v>141</v>
      </c>
      <c r="T531" t="s">
        <v>47</v>
      </c>
      <c r="U531" t="s">
        <v>47</v>
      </c>
      <c r="V531" s="334"/>
      <c r="W531" s="334"/>
      <c r="X531" s="334"/>
      <c r="Y531" s="334"/>
      <c r="Z531" s="334"/>
      <c r="AB531" s="334" t="s">
        <v>1739</v>
      </c>
      <c r="AC531" s="334" t="s">
        <v>1702</v>
      </c>
      <c r="AQ531" s="326">
        <v>0.5</v>
      </c>
      <c r="AR531" s="326" t="s">
        <v>162</v>
      </c>
      <c r="AT531"/>
      <c r="AU531"/>
      <c r="AV531"/>
      <c r="AW531" s="334"/>
      <c r="AX531" s="334"/>
    </row>
    <row r="532" spans="1:50">
      <c r="A532" s="277" t="s">
        <v>231</v>
      </c>
      <c r="B532" s="334" t="s">
        <v>234</v>
      </c>
      <c r="C532" s="334">
        <f>'Musat 2006'!E28</f>
        <v>1.4999999999999999E-2</v>
      </c>
      <c r="D532" s="301">
        <f>'Musat 2006'!F28</f>
        <v>500000000</v>
      </c>
      <c r="E532" s="301">
        <f>'Musat 2006'!G28</f>
        <v>255000000</v>
      </c>
      <c r="G532" s="301">
        <f>E532</f>
        <v>255000000</v>
      </c>
      <c r="H532" s="27">
        <f>G532/D532</f>
        <v>0.51</v>
      </c>
      <c r="I532" s="334"/>
      <c r="M532" s="27">
        <f>F532/G532</f>
        <v>0</v>
      </c>
      <c r="O532" t="s">
        <v>943</v>
      </c>
      <c r="P532" s="327"/>
      <c r="Q532" s="301" t="b">
        <v>1</v>
      </c>
      <c r="R532" s="304" t="s">
        <v>460</v>
      </c>
      <c r="S532" t="s">
        <v>141</v>
      </c>
      <c r="T532" t="s">
        <v>47</v>
      </c>
      <c r="U532" t="s">
        <v>47</v>
      </c>
      <c r="V532" s="334"/>
      <c r="W532" s="334"/>
      <c r="X532" s="334"/>
      <c r="Y532" s="334"/>
      <c r="Z532" s="334"/>
      <c r="AB532" s="334" t="s">
        <v>1739</v>
      </c>
      <c r="AC532" s="334" t="s">
        <v>1702</v>
      </c>
      <c r="AQ532" s="322">
        <v>0.5</v>
      </c>
      <c r="AR532" s="326" t="s">
        <v>162</v>
      </c>
      <c r="AT532"/>
      <c r="AU532"/>
      <c r="AV532"/>
      <c r="AW532" s="334"/>
      <c r="AX532" s="334"/>
    </row>
    <row r="533" spans="1:50">
      <c r="A533" s="277" t="s">
        <v>231</v>
      </c>
      <c r="B533" s="334" t="s">
        <v>234</v>
      </c>
      <c r="C533" s="334">
        <f>'Musat 2006'!E40</f>
        <v>1.4999999999999999E-2</v>
      </c>
      <c r="D533" s="301">
        <f>'Musat 2006'!F40</f>
        <v>600000000</v>
      </c>
      <c r="E533" s="301">
        <f>'Musat 2006'!G40</f>
        <v>312000000</v>
      </c>
      <c r="G533" s="301">
        <f>E533</f>
        <v>312000000</v>
      </c>
      <c r="H533" s="27">
        <f>G533/D533</f>
        <v>0.52</v>
      </c>
      <c r="I533" s="334"/>
      <c r="M533" s="27">
        <f>F533/G533</f>
        <v>0</v>
      </c>
      <c r="O533" s="304" t="s">
        <v>943</v>
      </c>
      <c r="P533" s="327"/>
      <c r="Q533" s="301" t="b">
        <v>1</v>
      </c>
      <c r="R533" s="304" t="s">
        <v>460</v>
      </c>
      <c r="S533" t="s">
        <v>141</v>
      </c>
      <c r="T533" t="s">
        <v>47</v>
      </c>
      <c r="U533" t="s">
        <v>47</v>
      </c>
      <c r="V533" s="334"/>
      <c r="W533" s="334"/>
      <c r="X533" s="334"/>
      <c r="Y533" s="334"/>
      <c r="Z533" s="334"/>
      <c r="AB533" s="334" t="s">
        <v>1739</v>
      </c>
      <c r="AC533" s="334" t="s">
        <v>1702</v>
      </c>
      <c r="AQ533" s="326">
        <v>0.5</v>
      </c>
      <c r="AR533" s="326" t="s">
        <v>162</v>
      </c>
      <c r="AT533"/>
      <c r="AU533"/>
      <c r="AV533"/>
      <c r="AW533" s="334"/>
      <c r="AX533" s="334"/>
    </row>
    <row r="534" spans="1:50">
      <c r="A534" s="277" t="s">
        <v>231</v>
      </c>
      <c r="B534" s="334" t="s">
        <v>234</v>
      </c>
      <c r="C534" s="334">
        <f>'Musat 2006'!E63</f>
        <v>1.4999999999999999E-2</v>
      </c>
      <c r="D534" s="301">
        <f>'Musat 2006'!F63</f>
        <v>1100000000</v>
      </c>
      <c r="E534" s="301">
        <f>'Musat 2006'!G63</f>
        <v>957000000</v>
      </c>
      <c r="G534" s="301">
        <f>E534</f>
        <v>957000000</v>
      </c>
      <c r="H534" s="27">
        <f>G534/D534</f>
        <v>0.87</v>
      </c>
      <c r="I534" s="334"/>
      <c r="M534" s="27">
        <f>F534/G534</f>
        <v>0</v>
      </c>
      <c r="O534" s="304" t="s">
        <v>943</v>
      </c>
      <c r="P534" s="327"/>
      <c r="Q534" s="301" t="b">
        <v>1</v>
      </c>
      <c r="R534" s="304" t="s">
        <v>460</v>
      </c>
      <c r="S534" t="s">
        <v>141</v>
      </c>
      <c r="T534" t="s">
        <v>47</v>
      </c>
      <c r="U534" t="s">
        <v>47</v>
      </c>
      <c r="V534" s="334"/>
      <c r="W534" s="334"/>
      <c r="X534" s="334"/>
      <c r="Y534" s="334"/>
      <c r="Z534" s="334"/>
      <c r="AB534" s="334" t="s">
        <v>1739</v>
      </c>
      <c r="AC534" s="334" t="s">
        <v>1702</v>
      </c>
      <c r="AQ534" s="326">
        <v>0.5</v>
      </c>
      <c r="AR534" s="326" t="s">
        <v>162</v>
      </c>
      <c r="AT534"/>
      <c r="AU534"/>
      <c r="AV534"/>
      <c r="AW534" s="334"/>
      <c r="AX534" s="334"/>
    </row>
    <row r="535" spans="1:50">
      <c r="A535" s="277" t="s">
        <v>231</v>
      </c>
      <c r="B535" s="334" t="s">
        <v>234</v>
      </c>
      <c r="C535" s="334">
        <f>'Musat 2006'!E6</f>
        <v>1.4999999999999999E-2</v>
      </c>
      <c r="D535" s="301">
        <f>'Musat 2006'!F6</f>
        <v>1300000000</v>
      </c>
      <c r="E535" s="301">
        <f>'Musat 2006'!G6</f>
        <v>637000000</v>
      </c>
      <c r="G535" s="301">
        <f>E535</f>
        <v>637000000</v>
      </c>
      <c r="H535" s="27">
        <f>G535/D535</f>
        <v>0.49</v>
      </c>
      <c r="I535" s="334"/>
      <c r="M535" s="27">
        <f>F535/G535</f>
        <v>0</v>
      </c>
      <c r="O535" s="304" t="s">
        <v>943</v>
      </c>
      <c r="P535" s="327"/>
      <c r="Q535" s="301" t="b">
        <v>1</v>
      </c>
      <c r="R535" s="304" t="s">
        <v>460</v>
      </c>
      <c r="S535" t="s">
        <v>141</v>
      </c>
      <c r="T535" t="s">
        <v>47</v>
      </c>
      <c r="U535" t="s">
        <v>47</v>
      </c>
      <c r="V535" s="334"/>
      <c r="W535" s="334"/>
      <c r="X535" s="334"/>
      <c r="Y535" s="334"/>
      <c r="Z535" s="334"/>
      <c r="AB535" s="334" t="s">
        <v>1739</v>
      </c>
      <c r="AC535" s="334" t="s">
        <v>1702</v>
      </c>
      <c r="AQ535" s="326">
        <v>0.5</v>
      </c>
      <c r="AR535" s="326" t="s">
        <v>162</v>
      </c>
      <c r="AT535"/>
      <c r="AU535"/>
      <c r="AV535"/>
      <c r="AW535" s="334"/>
      <c r="AX535" s="334"/>
    </row>
    <row r="536" spans="1:50">
      <c r="A536" s="277" t="s">
        <v>231</v>
      </c>
      <c r="B536" s="334" t="s">
        <v>234</v>
      </c>
      <c r="C536" s="334">
        <f>'Musat 2006'!E16</f>
        <v>1.4999999999999999E-2</v>
      </c>
      <c r="D536" s="301">
        <f>'Musat 2006'!F16</f>
        <v>1400000000</v>
      </c>
      <c r="E536" s="301">
        <f>'Musat 2006'!G16</f>
        <v>658000000</v>
      </c>
      <c r="G536" s="301">
        <f>E536</f>
        <v>658000000</v>
      </c>
      <c r="H536" s="27">
        <f>G536/D536</f>
        <v>0.47</v>
      </c>
      <c r="I536" s="334"/>
      <c r="M536" s="27">
        <f>F536/G536</f>
        <v>0</v>
      </c>
      <c r="O536" s="304" t="s">
        <v>943</v>
      </c>
      <c r="P536" s="327"/>
      <c r="Q536" s="301" t="b">
        <v>1</v>
      </c>
      <c r="R536" s="304" t="s">
        <v>460</v>
      </c>
      <c r="S536" t="s">
        <v>141</v>
      </c>
      <c r="T536" t="s">
        <v>47</v>
      </c>
      <c r="U536" t="s">
        <v>47</v>
      </c>
      <c r="V536" s="334"/>
      <c r="W536" s="334"/>
      <c r="X536" s="334"/>
      <c r="Y536" s="334"/>
      <c r="Z536" s="334"/>
      <c r="AB536" s="334" t="s">
        <v>1739</v>
      </c>
      <c r="AC536" s="334" t="s">
        <v>1702</v>
      </c>
      <c r="AQ536" s="326">
        <v>0.5</v>
      </c>
      <c r="AR536" s="326" t="s">
        <v>162</v>
      </c>
      <c r="AT536"/>
      <c r="AU536"/>
      <c r="AV536"/>
      <c r="AW536" s="334"/>
      <c r="AX536" s="334"/>
    </row>
    <row r="537" spans="1:50">
      <c r="A537" s="277" t="s">
        <v>231</v>
      </c>
      <c r="B537" s="334" t="s">
        <v>234</v>
      </c>
      <c r="C537" s="334">
        <f>'Musat 2006'!E52</f>
        <v>1.4999999999999999E-2</v>
      </c>
      <c r="D537" s="301">
        <f>'Musat 2006'!F52</f>
        <v>1400000000</v>
      </c>
      <c r="E537" s="301">
        <f>'Musat 2006'!G52</f>
        <v>1190000000</v>
      </c>
      <c r="G537" s="301">
        <f>E537</f>
        <v>1190000000</v>
      </c>
      <c r="H537" s="27">
        <f>G537/D537</f>
        <v>0.85</v>
      </c>
      <c r="I537" s="334"/>
      <c r="M537" s="27">
        <f>F537/G537</f>
        <v>0</v>
      </c>
      <c r="O537" s="304" t="s">
        <v>943</v>
      </c>
      <c r="P537" s="327"/>
      <c r="Q537" s="301" t="b">
        <v>1</v>
      </c>
      <c r="R537" s="304" t="s">
        <v>460</v>
      </c>
      <c r="S537" s="303" t="s">
        <v>141</v>
      </c>
      <c r="T537" s="303" t="s">
        <v>47</v>
      </c>
      <c r="U537" s="303" t="s">
        <v>47</v>
      </c>
      <c r="V537" s="334"/>
      <c r="W537" s="334"/>
      <c r="X537" s="334"/>
      <c r="Y537" s="334"/>
      <c r="Z537" s="334"/>
      <c r="AB537" s="334" t="s">
        <v>1739</v>
      </c>
      <c r="AC537" s="334" t="s">
        <v>1702</v>
      </c>
      <c r="AQ537" s="326">
        <v>0.5</v>
      </c>
      <c r="AR537" s="326" t="s">
        <v>162</v>
      </c>
      <c r="AT537"/>
      <c r="AU537"/>
      <c r="AV537"/>
      <c r="AX537" s="334"/>
    </row>
    <row r="538" spans="1:50">
      <c r="A538" s="277" t="s">
        <v>231</v>
      </c>
      <c r="B538" s="334" t="s">
        <v>234</v>
      </c>
      <c r="C538" s="334">
        <f>'Musat 2006'!E29</f>
        <v>2.5000000000000001E-2</v>
      </c>
      <c r="D538" s="301">
        <f>'Musat 2006'!F29</f>
        <v>500000000</v>
      </c>
      <c r="E538" s="301">
        <f>'Musat 2006'!G29</f>
        <v>325000000</v>
      </c>
      <c r="G538" s="301">
        <f>E538</f>
        <v>325000000</v>
      </c>
      <c r="H538" s="336">
        <f>G538/D538</f>
        <v>0.65</v>
      </c>
      <c r="I538" s="334"/>
      <c r="M538" s="27">
        <f>F538/G538</f>
        <v>0</v>
      </c>
      <c r="O538" s="304" t="s">
        <v>943</v>
      </c>
      <c r="P538" s="327"/>
      <c r="Q538" s="301" t="b">
        <v>1</v>
      </c>
      <c r="R538" s="304" t="s">
        <v>460</v>
      </c>
      <c r="S538" s="303" t="s">
        <v>141</v>
      </c>
      <c r="T538" s="303" t="s">
        <v>47</v>
      </c>
      <c r="U538" s="303" t="s">
        <v>47</v>
      </c>
      <c r="V538" s="334"/>
      <c r="W538" s="334"/>
      <c r="X538" s="334"/>
      <c r="Y538" s="334"/>
      <c r="Z538" s="334"/>
      <c r="AB538" s="334" t="s">
        <v>1739</v>
      </c>
      <c r="AC538" s="334" t="s">
        <v>1702</v>
      </c>
      <c r="AQ538" s="326">
        <v>0.5</v>
      </c>
      <c r="AR538" s="326" t="s">
        <v>162</v>
      </c>
      <c r="AT538"/>
      <c r="AU538"/>
      <c r="AV538"/>
      <c r="AX538" s="334"/>
    </row>
    <row r="539" spans="1:50">
      <c r="A539" s="277" t="s">
        <v>231</v>
      </c>
      <c r="B539" s="334" t="s">
        <v>234</v>
      </c>
      <c r="C539" s="334">
        <f>'Musat 2006'!E41</f>
        <v>2.5000000000000001E-2</v>
      </c>
      <c r="D539" s="301">
        <f>'Musat 2006'!F41</f>
        <v>600000000</v>
      </c>
      <c r="E539" s="301">
        <f>'Musat 2006'!G41</f>
        <v>270000000</v>
      </c>
      <c r="G539" s="301">
        <f>E539</f>
        <v>270000000</v>
      </c>
      <c r="H539" s="336">
        <f>G539/D539</f>
        <v>0.45</v>
      </c>
      <c r="I539" s="334"/>
      <c r="M539" s="27">
        <f>F539/G539</f>
        <v>0</v>
      </c>
      <c r="O539" s="304" t="s">
        <v>943</v>
      </c>
      <c r="P539" s="304"/>
      <c r="Q539" s="301" t="b">
        <v>1</v>
      </c>
      <c r="R539" s="304" t="s">
        <v>460</v>
      </c>
      <c r="S539" s="303" t="s">
        <v>141</v>
      </c>
      <c r="T539" s="303" t="s">
        <v>47</v>
      </c>
      <c r="U539" s="303" t="s">
        <v>47</v>
      </c>
      <c r="V539" s="334"/>
      <c r="W539" s="334"/>
      <c r="X539" s="334"/>
      <c r="Y539" s="334"/>
      <c r="Z539" s="334"/>
      <c r="AB539" s="334" t="s">
        <v>1739</v>
      </c>
      <c r="AC539" s="334" t="s">
        <v>1702</v>
      </c>
      <c r="AQ539" s="326">
        <v>0.5</v>
      </c>
      <c r="AR539" s="326" t="s">
        <v>162</v>
      </c>
      <c r="AT539"/>
      <c r="AU539"/>
      <c r="AV539"/>
      <c r="AX539" s="334"/>
    </row>
    <row r="540" spans="1:50">
      <c r="A540" s="277" t="s">
        <v>231</v>
      </c>
      <c r="B540" s="334" t="s">
        <v>234</v>
      </c>
      <c r="C540" s="334">
        <f>'Musat 2006'!E7</f>
        <v>2.5000000000000001E-2</v>
      </c>
      <c r="D540" s="301">
        <f>'Musat 2006'!F7</f>
        <v>1300000000</v>
      </c>
      <c r="E540" s="301">
        <f>'Musat 2006'!G7</f>
        <v>546000000</v>
      </c>
      <c r="G540" s="301">
        <f>E540</f>
        <v>546000000</v>
      </c>
      <c r="H540" s="336">
        <f>G540/D540</f>
        <v>0.42</v>
      </c>
      <c r="I540" s="334"/>
      <c r="M540" s="27">
        <f>F540/G540</f>
        <v>0</v>
      </c>
      <c r="O540" s="304" t="s">
        <v>943</v>
      </c>
      <c r="Q540" s="301" t="b">
        <v>1</v>
      </c>
      <c r="R540" s="304" t="s">
        <v>460</v>
      </c>
      <c r="S540" s="303" t="s">
        <v>141</v>
      </c>
      <c r="T540" s="303" t="s">
        <v>47</v>
      </c>
      <c r="U540" s="303" t="s">
        <v>47</v>
      </c>
      <c r="V540" s="334"/>
      <c r="W540" s="334"/>
      <c r="X540" s="334"/>
      <c r="Y540" s="334"/>
      <c r="Z540" s="334"/>
      <c r="AB540" s="334" t="s">
        <v>1739</v>
      </c>
      <c r="AC540" s="334" t="s">
        <v>1702</v>
      </c>
      <c r="AQ540" s="326">
        <v>0.5</v>
      </c>
      <c r="AR540" s="326" t="s">
        <v>162</v>
      </c>
      <c r="AT540"/>
      <c r="AU540"/>
      <c r="AV540"/>
      <c r="AX540" s="334"/>
    </row>
    <row r="541" spans="1:50">
      <c r="A541" s="277" t="s">
        <v>231</v>
      </c>
      <c r="B541" s="334" t="s">
        <v>234</v>
      </c>
      <c r="C541" s="334">
        <f>'Musat 2006'!E17</f>
        <v>2.5000000000000001E-2</v>
      </c>
      <c r="D541" s="301">
        <f>'Musat 2006'!F17</f>
        <v>1400000000</v>
      </c>
      <c r="E541" s="301">
        <f>'Musat 2006'!G17</f>
        <v>532000000</v>
      </c>
      <c r="G541" s="301">
        <f>E541</f>
        <v>532000000</v>
      </c>
      <c r="H541" s="336">
        <f>G541/D541</f>
        <v>0.38</v>
      </c>
      <c r="I541" s="334"/>
      <c r="M541" s="27">
        <f>F541/G541</f>
        <v>0</v>
      </c>
      <c r="O541" s="304" t="s">
        <v>943</v>
      </c>
      <c r="Q541" s="301" t="b">
        <v>1</v>
      </c>
      <c r="R541" s="304" t="s">
        <v>460</v>
      </c>
      <c r="S541" s="303" t="s">
        <v>141</v>
      </c>
      <c r="T541" s="303" t="s">
        <v>47</v>
      </c>
      <c r="U541" s="303" t="s">
        <v>47</v>
      </c>
      <c r="V541" s="334"/>
      <c r="W541" s="334"/>
      <c r="X541" s="334"/>
      <c r="Y541" s="328"/>
      <c r="Z541" s="334"/>
      <c r="AB541" s="334" t="s">
        <v>1739</v>
      </c>
      <c r="AC541" s="334" t="s">
        <v>1702</v>
      </c>
      <c r="AQ541" s="326">
        <v>0.5</v>
      </c>
      <c r="AR541" s="326" t="s">
        <v>162</v>
      </c>
      <c r="AT541"/>
      <c r="AU541"/>
      <c r="AV541"/>
      <c r="AX541" s="334"/>
    </row>
    <row r="542" spans="1:50">
      <c r="A542" s="277" t="s">
        <v>231</v>
      </c>
      <c r="B542" s="334" t="s">
        <v>234</v>
      </c>
      <c r="C542" s="334">
        <f>'Musat 2006'!E64</f>
        <v>2.5000000000000001E-2</v>
      </c>
      <c r="D542" s="301">
        <f>'Musat 2006'!F64</f>
        <v>1600000000</v>
      </c>
      <c r="E542" s="301">
        <f>'Musat 2006'!G64</f>
        <v>1040000000</v>
      </c>
      <c r="G542" s="301">
        <f>E542</f>
        <v>1040000000</v>
      </c>
      <c r="H542" s="336">
        <f>G542/D542</f>
        <v>0.65</v>
      </c>
      <c r="I542" s="334"/>
      <c r="M542" s="27">
        <f>F542/G542</f>
        <v>0</v>
      </c>
      <c r="O542" s="304" t="s">
        <v>943</v>
      </c>
      <c r="Q542" s="301" t="b">
        <v>1</v>
      </c>
      <c r="R542" s="304" t="s">
        <v>460</v>
      </c>
      <c r="S542" s="303" t="s">
        <v>141</v>
      </c>
      <c r="T542" s="303" t="s">
        <v>47</v>
      </c>
      <c r="U542" s="303" t="s">
        <v>47</v>
      </c>
      <c r="V542" s="334"/>
      <c r="W542" s="334"/>
      <c r="X542" s="334"/>
      <c r="Y542" s="334"/>
      <c r="Z542" s="334"/>
      <c r="AB542" s="334" t="s">
        <v>1739</v>
      </c>
      <c r="AC542" s="334" t="s">
        <v>1702</v>
      </c>
      <c r="AQ542" s="326">
        <v>0.5</v>
      </c>
      <c r="AR542" s="326" t="s">
        <v>162</v>
      </c>
      <c r="AT542"/>
      <c r="AU542"/>
      <c r="AV542"/>
      <c r="AX542" s="334"/>
    </row>
    <row r="543" spans="1:50">
      <c r="A543" s="277" t="s">
        <v>231</v>
      </c>
      <c r="B543" s="334" t="s">
        <v>234</v>
      </c>
      <c r="C543" s="334">
        <f>'Musat 2006'!E53</f>
        <v>2.5000000000000001E-2</v>
      </c>
      <c r="D543" s="301">
        <f>'Musat 2006'!F53</f>
        <v>3300000000</v>
      </c>
      <c r="E543" s="301">
        <f>'Musat 2006'!G53</f>
        <v>2145000000</v>
      </c>
      <c r="G543" s="301">
        <f>E543</f>
        <v>2145000000</v>
      </c>
      <c r="H543" s="336">
        <f>G543/D543</f>
        <v>0.65</v>
      </c>
      <c r="I543" s="334"/>
      <c r="M543" s="27">
        <f>F543/G543</f>
        <v>0</v>
      </c>
      <c r="O543" s="304" t="s">
        <v>943</v>
      </c>
      <c r="Q543" s="301" t="b">
        <v>1</v>
      </c>
      <c r="R543" s="304" t="s">
        <v>460</v>
      </c>
      <c r="S543" s="303" t="s">
        <v>141</v>
      </c>
      <c r="T543" s="303" t="s">
        <v>47</v>
      </c>
      <c r="U543" s="303" t="s">
        <v>47</v>
      </c>
      <c r="V543" s="334"/>
      <c r="W543" s="334"/>
      <c r="X543" s="334"/>
      <c r="Y543" s="328"/>
      <c r="Z543" s="334"/>
      <c r="AB543" s="334" t="s">
        <v>1739</v>
      </c>
      <c r="AC543" s="334" t="s">
        <v>1702</v>
      </c>
      <c r="AQ543" s="326">
        <v>0.5</v>
      </c>
      <c r="AR543" s="326" t="s">
        <v>162</v>
      </c>
      <c r="AT543"/>
      <c r="AU543"/>
      <c r="AV543"/>
      <c r="AX543" s="334"/>
    </row>
    <row r="544" spans="1:50">
      <c r="A544" s="277" t="s">
        <v>231</v>
      </c>
      <c r="B544" s="334" t="s">
        <v>234</v>
      </c>
      <c r="C544" s="334">
        <f>'Musat 2006'!E30</f>
        <v>3.5000000000000003E-2</v>
      </c>
      <c r="D544" s="301">
        <f>'Musat 2006'!F30</f>
        <v>600000000</v>
      </c>
      <c r="E544" s="301">
        <f>'Musat 2006'!G30</f>
        <v>330000000</v>
      </c>
      <c r="G544" s="301">
        <f>E544</f>
        <v>330000000</v>
      </c>
      <c r="H544" s="336">
        <f>G544/D544</f>
        <v>0.55000000000000004</v>
      </c>
      <c r="I544" s="334"/>
      <c r="M544" s="27">
        <f>F544/G544</f>
        <v>0</v>
      </c>
      <c r="O544" s="304" t="s">
        <v>943</v>
      </c>
      <c r="Q544" s="301" t="b">
        <v>1</v>
      </c>
      <c r="R544" s="304" t="s">
        <v>460</v>
      </c>
      <c r="S544" s="303" t="s">
        <v>141</v>
      </c>
      <c r="T544" s="303" t="s">
        <v>47</v>
      </c>
      <c r="U544" s="303" t="s">
        <v>47</v>
      </c>
      <c r="V544" s="334"/>
      <c r="W544" s="334"/>
      <c r="X544" s="334"/>
      <c r="Z544" s="334"/>
      <c r="AB544" s="334" t="s">
        <v>1739</v>
      </c>
      <c r="AC544" s="334" t="s">
        <v>1702</v>
      </c>
      <c r="AQ544" s="326">
        <v>0.5</v>
      </c>
      <c r="AR544" s="326" t="s">
        <v>162</v>
      </c>
      <c r="AT544"/>
      <c r="AU544"/>
      <c r="AV544"/>
      <c r="AX544" s="334"/>
    </row>
    <row r="545" spans="1:50">
      <c r="A545" s="277" t="s">
        <v>231</v>
      </c>
      <c r="B545" s="334" t="s">
        <v>234</v>
      </c>
      <c r="C545" s="334">
        <f>'Musat 2006'!E42</f>
        <v>3.5000000000000003E-2</v>
      </c>
      <c r="D545" s="301">
        <f>'Musat 2006'!F42</f>
        <v>1000000000</v>
      </c>
      <c r="E545" s="301">
        <f>'Musat 2006'!G42</f>
        <v>570000000</v>
      </c>
      <c r="G545" s="301">
        <f>E545</f>
        <v>570000000</v>
      </c>
      <c r="H545" s="336">
        <f>G545/D545</f>
        <v>0.56999999999999995</v>
      </c>
      <c r="I545" s="334"/>
      <c r="M545" s="27">
        <f>F545/G545</f>
        <v>0</v>
      </c>
      <c r="O545" s="304" t="s">
        <v>943</v>
      </c>
      <c r="Q545" s="301" t="b">
        <v>1</v>
      </c>
      <c r="R545" s="304" t="s">
        <v>460</v>
      </c>
      <c r="S545" t="s">
        <v>141</v>
      </c>
      <c r="T545" t="s">
        <v>47</v>
      </c>
      <c r="U545" t="s">
        <v>47</v>
      </c>
      <c r="V545" s="334"/>
      <c r="W545" s="334"/>
      <c r="X545" s="334"/>
      <c r="Y545" s="334"/>
      <c r="Z545" s="334"/>
      <c r="AB545" s="334" t="s">
        <v>1739</v>
      </c>
      <c r="AC545" s="334" t="s">
        <v>1702</v>
      </c>
      <c r="AQ545" s="326">
        <v>0.5</v>
      </c>
      <c r="AR545" s="326" t="s">
        <v>162</v>
      </c>
      <c r="AX545" s="334"/>
    </row>
    <row r="546" spans="1:50">
      <c r="A546" s="277" t="s">
        <v>231</v>
      </c>
      <c r="B546" s="334" t="s">
        <v>234</v>
      </c>
      <c r="C546" s="334">
        <f>'Musat 2006'!E65</f>
        <v>3.5000000000000003E-2</v>
      </c>
      <c r="D546" s="301">
        <f>'Musat 2006'!F65</f>
        <v>1100000000</v>
      </c>
      <c r="E546" s="301">
        <f>'Musat 2006'!G65</f>
        <v>792000000</v>
      </c>
      <c r="G546" s="301">
        <f>E546</f>
        <v>792000000</v>
      </c>
      <c r="H546" s="336">
        <f>G546/D546</f>
        <v>0.72</v>
      </c>
      <c r="I546" s="334"/>
      <c r="M546" s="27">
        <f>F546/G546</f>
        <v>0</v>
      </c>
      <c r="O546" s="304" t="s">
        <v>943</v>
      </c>
      <c r="P546" s="293"/>
      <c r="Q546" s="301" t="b">
        <v>1</v>
      </c>
      <c r="R546" s="304" t="s">
        <v>460</v>
      </c>
      <c r="S546" t="s">
        <v>141</v>
      </c>
      <c r="T546" t="s">
        <v>47</v>
      </c>
      <c r="U546" t="s">
        <v>47</v>
      </c>
      <c r="V546" s="334"/>
      <c r="W546" s="334"/>
      <c r="X546" s="334"/>
      <c r="Y546" s="323"/>
      <c r="Z546" s="334"/>
      <c r="AB546" s="334" t="s">
        <v>1739</v>
      </c>
      <c r="AC546" s="334" t="s">
        <v>1702</v>
      </c>
      <c r="AQ546" s="326">
        <v>0.5</v>
      </c>
      <c r="AR546" s="326" t="s">
        <v>162</v>
      </c>
      <c r="AX546" s="334"/>
    </row>
    <row r="547" spans="1:50">
      <c r="A547" s="277" t="s">
        <v>231</v>
      </c>
      <c r="B547" s="334" t="s">
        <v>234</v>
      </c>
      <c r="C547" s="334">
        <f>'Musat 2006'!E18</f>
        <v>3.5000000000000003E-2</v>
      </c>
      <c r="D547" s="301">
        <f>'Musat 2006'!F18</f>
        <v>1600000000</v>
      </c>
      <c r="E547" s="301">
        <f>'Musat 2006'!G18</f>
        <v>528000000</v>
      </c>
      <c r="G547" s="301">
        <f>E547</f>
        <v>528000000</v>
      </c>
      <c r="H547" s="336">
        <f>G547/D547</f>
        <v>0.33</v>
      </c>
      <c r="I547" s="334"/>
      <c r="M547" s="27">
        <f>F547/G547</f>
        <v>0</v>
      </c>
      <c r="O547" s="304" t="s">
        <v>943</v>
      </c>
      <c r="P547" s="328"/>
      <c r="Q547" s="301" t="b">
        <v>1</v>
      </c>
      <c r="R547" s="304" t="s">
        <v>460</v>
      </c>
      <c r="S547" t="s">
        <v>141</v>
      </c>
      <c r="T547" t="s">
        <v>47</v>
      </c>
      <c r="U547" t="s">
        <v>47</v>
      </c>
      <c r="V547" s="334"/>
      <c r="W547" s="334"/>
      <c r="X547" s="334"/>
      <c r="Y547" s="323"/>
      <c r="Z547" s="334"/>
      <c r="AB547" s="334" t="s">
        <v>1739</v>
      </c>
      <c r="AC547" s="334" t="s">
        <v>1702</v>
      </c>
      <c r="AQ547" s="326">
        <v>0.5</v>
      </c>
      <c r="AR547" s="326" t="s">
        <v>162</v>
      </c>
      <c r="AX547" s="334"/>
    </row>
    <row r="548" spans="1:50">
      <c r="A548" s="277" t="s">
        <v>231</v>
      </c>
      <c r="B548" s="334" t="s">
        <v>234</v>
      </c>
      <c r="C548" s="334">
        <f>'Musat 2006'!E54</f>
        <v>3.5000000000000003E-2</v>
      </c>
      <c r="D548" s="301">
        <f>'Musat 2006'!F54</f>
        <v>1600000000</v>
      </c>
      <c r="E548" s="301">
        <f>'Musat 2006'!G54</f>
        <v>1296000000</v>
      </c>
      <c r="G548" s="301">
        <f>E548</f>
        <v>1296000000</v>
      </c>
      <c r="H548" s="336">
        <f>G548/D548</f>
        <v>0.81</v>
      </c>
      <c r="I548" s="334"/>
      <c r="M548" s="27">
        <f>F548/G548</f>
        <v>0</v>
      </c>
      <c r="O548" s="304" t="s">
        <v>943</v>
      </c>
      <c r="Q548" s="301" t="b">
        <v>1</v>
      </c>
      <c r="R548" s="304" t="s">
        <v>460</v>
      </c>
      <c r="S548" t="s">
        <v>141</v>
      </c>
      <c r="T548" t="s">
        <v>47</v>
      </c>
      <c r="U548" t="s">
        <v>47</v>
      </c>
      <c r="V548" s="334"/>
      <c r="W548" s="334"/>
      <c r="X548" s="334"/>
      <c r="Z548" s="334"/>
      <c r="AB548" s="334" t="s">
        <v>1739</v>
      </c>
      <c r="AC548" s="334" t="s">
        <v>1702</v>
      </c>
      <c r="AQ548" s="322">
        <v>0.5</v>
      </c>
      <c r="AR548" s="326" t="s">
        <v>162</v>
      </c>
      <c r="AX548" s="334"/>
    </row>
    <row r="549" spans="1:50">
      <c r="A549" s="277" t="s">
        <v>231</v>
      </c>
      <c r="B549" s="334" t="s">
        <v>234</v>
      </c>
      <c r="C549" s="334">
        <f>'Musat 2006'!E43</f>
        <v>4.4999999999999998E-2</v>
      </c>
      <c r="D549" s="301">
        <f>'Musat 2006'!F43</f>
        <v>1000000000</v>
      </c>
      <c r="E549" s="301">
        <f>'Musat 2006'!G43</f>
        <v>460000000</v>
      </c>
      <c r="G549" s="301">
        <f>E549</f>
        <v>460000000</v>
      </c>
      <c r="H549" s="336">
        <f>G549/D549</f>
        <v>0.46</v>
      </c>
      <c r="I549" s="334"/>
      <c r="M549" s="27">
        <f>F549/G549</f>
        <v>0</v>
      </c>
      <c r="O549" s="304" t="s">
        <v>943</v>
      </c>
      <c r="P549" s="327"/>
      <c r="Q549" s="301" t="b">
        <v>1</v>
      </c>
      <c r="R549" s="304" t="s">
        <v>460</v>
      </c>
      <c r="S549" t="s">
        <v>141</v>
      </c>
      <c r="T549" t="s">
        <v>47</v>
      </c>
      <c r="U549" t="s">
        <v>47</v>
      </c>
      <c r="V549" s="334"/>
      <c r="W549" s="334"/>
      <c r="X549" s="334"/>
      <c r="Y549" s="322"/>
      <c r="Z549" s="334"/>
      <c r="AB549" s="334" t="s">
        <v>1739</v>
      </c>
      <c r="AC549" s="334" t="s">
        <v>1702</v>
      </c>
      <c r="AQ549" s="326">
        <v>0.5</v>
      </c>
      <c r="AR549" s="326" t="s">
        <v>162</v>
      </c>
      <c r="AX549" s="334"/>
    </row>
    <row r="550" spans="1:50">
      <c r="A550" s="277" t="s">
        <v>231</v>
      </c>
      <c r="B550" s="334" t="s">
        <v>234</v>
      </c>
      <c r="C550" s="334">
        <f>'Musat 2006'!E31</f>
        <v>4.4999999999999998E-2</v>
      </c>
      <c r="D550" s="301">
        <f>'Musat 2006'!F31</f>
        <v>1000000000</v>
      </c>
      <c r="E550" s="301">
        <f>'Musat 2006'!G31</f>
        <v>510000000</v>
      </c>
      <c r="G550" s="301">
        <f>E550</f>
        <v>510000000</v>
      </c>
      <c r="H550" s="27">
        <f>G550/D550</f>
        <v>0.51</v>
      </c>
      <c r="I550" s="334"/>
      <c r="M550" s="27">
        <f>F550/G550</f>
        <v>0</v>
      </c>
      <c r="O550" s="304" t="s">
        <v>943</v>
      </c>
      <c r="P550" s="327"/>
      <c r="Q550" s="301" t="b">
        <v>1</v>
      </c>
      <c r="R550" s="304" t="s">
        <v>460</v>
      </c>
      <c r="S550" t="s">
        <v>141</v>
      </c>
      <c r="T550" t="s">
        <v>47</v>
      </c>
      <c r="U550" t="s">
        <v>47</v>
      </c>
      <c r="V550" s="334"/>
      <c r="W550" s="334"/>
      <c r="X550" s="334"/>
      <c r="Y550" s="328"/>
      <c r="Z550" s="334"/>
      <c r="AB550" s="334" t="s">
        <v>1739</v>
      </c>
      <c r="AC550" s="334" t="s">
        <v>1702</v>
      </c>
      <c r="AQ550" s="326">
        <v>0.5</v>
      </c>
      <c r="AR550" s="326" t="s">
        <v>162</v>
      </c>
    </row>
    <row r="551" spans="1:50">
      <c r="A551" s="277" t="s">
        <v>231</v>
      </c>
      <c r="B551" s="334" t="s">
        <v>234</v>
      </c>
      <c r="C551" s="334">
        <f>'Musat 2006'!E8</f>
        <v>4.4999999999999998E-2</v>
      </c>
      <c r="D551" s="301">
        <f>'Musat 2006'!F8</f>
        <v>1100000000</v>
      </c>
      <c r="E551" s="301">
        <f>'Musat 2006'!G8</f>
        <v>396000000</v>
      </c>
      <c r="G551" s="301">
        <f>E551</f>
        <v>396000000</v>
      </c>
      <c r="H551" s="27">
        <f>G551/D551</f>
        <v>0.36</v>
      </c>
      <c r="I551" s="334"/>
      <c r="M551" s="27">
        <f>F551/G551</f>
        <v>0</v>
      </c>
      <c r="O551" s="304" t="s">
        <v>943</v>
      </c>
      <c r="Q551" s="301" t="b">
        <v>1</v>
      </c>
      <c r="R551" s="304" t="s">
        <v>460</v>
      </c>
      <c r="S551" t="s">
        <v>141</v>
      </c>
      <c r="T551" t="s">
        <v>47</v>
      </c>
      <c r="U551" t="s">
        <v>47</v>
      </c>
      <c r="V551" s="334"/>
      <c r="W551" s="334"/>
      <c r="X551" s="334"/>
      <c r="Y551" s="328"/>
      <c r="Z551" s="334"/>
      <c r="AB551" s="334" t="s">
        <v>1739</v>
      </c>
      <c r="AC551" s="334" t="s">
        <v>1702</v>
      </c>
      <c r="AQ551" s="326">
        <v>0.5</v>
      </c>
      <c r="AR551" s="326" t="s">
        <v>162</v>
      </c>
    </row>
    <row r="552" spans="1:50">
      <c r="A552" s="277" t="s">
        <v>231</v>
      </c>
      <c r="B552" s="334" t="s">
        <v>234</v>
      </c>
      <c r="C552" s="334">
        <f>'Musat 2006'!E19</f>
        <v>4.4999999999999998E-2</v>
      </c>
      <c r="D552" s="301">
        <f>'Musat 2006'!F19</f>
        <v>1200000000</v>
      </c>
      <c r="E552" s="301">
        <f>'Musat 2006'!G19</f>
        <v>396000000</v>
      </c>
      <c r="G552" s="301">
        <f>E552</f>
        <v>396000000</v>
      </c>
      <c r="H552" s="27">
        <f>G552/D552</f>
        <v>0.33</v>
      </c>
      <c r="I552" s="334"/>
      <c r="M552" s="27">
        <f>F552/G552</f>
        <v>0</v>
      </c>
      <c r="O552" s="304" t="s">
        <v>943</v>
      </c>
      <c r="Q552" s="301" t="b">
        <v>1</v>
      </c>
      <c r="R552" s="304" t="s">
        <v>460</v>
      </c>
      <c r="S552" t="s">
        <v>141</v>
      </c>
      <c r="T552" t="s">
        <v>47</v>
      </c>
      <c r="U552" t="s">
        <v>47</v>
      </c>
      <c r="V552" s="334"/>
      <c r="W552" s="334"/>
      <c r="X552" s="334"/>
      <c r="Y552" s="327"/>
      <c r="Z552" s="334"/>
      <c r="AB552" s="334" t="s">
        <v>1739</v>
      </c>
      <c r="AC552" s="334" t="s">
        <v>1702</v>
      </c>
      <c r="AQ552" s="326">
        <v>0.5</v>
      </c>
      <c r="AR552" s="326" t="s">
        <v>162</v>
      </c>
    </row>
    <row r="553" spans="1:50">
      <c r="A553" s="277" t="s">
        <v>231</v>
      </c>
      <c r="B553" s="334" t="s">
        <v>234</v>
      </c>
      <c r="C553" s="334">
        <f>'Musat 2006'!E66</f>
        <v>4.4999999999999998E-2</v>
      </c>
      <c r="D553" s="301">
        <f>'Musat 2006'!F66</f>
        <v>1900000000</v>
      </c>
      <c r="E553" s="301">
        <f>'Musat 2006'!G66</f>
        <v>1444000000</v>
      </c>
      <c r="G553" s="301">
        <f>E553</f>
        <v>1444000000</v>
      </c>
      <c r="H553" s="27">
        <f>G553/D553</f>
        <v>0.76</v>
      </c>
      <c r="I553" s="334"/>
      <c r="M553" s="27">
        <f>F553/G553</f>
        <v>0</v>
      </c>
      <c r="O553" s="304" t="s">
        <v>943</v>
      </c>
      <c r="P553" s="299"/>
      <c r="Q553" s="301" t="b">
        <v>1</v>
      </c>
      <c r="R553" s="304" t="s">
        <v>460</v>
      </c>
      <c r="S553" t="s">
        <v>141</v>
      </c>
      <c r="T553" t="s">
        <v>47</v>
      </c>
      <c r="U553" t="s">
        <v>47</v>
      </c>
      <c r="V553" s="334"/>
      <c r="W553" s="334"/>
      <c r="X553" s="334"/>
      <c r="Y553" s="334"/>
      <c r="Z553" s="334"/>
      <c r="AB553" s="334" t="s">
        <v>1739</v>
      </c>
      <c r="AC553" s="334" t="s">
        <v>1702</v>
      </c>
      <c r="AQ553" s="326">
        <v>0.5</v>
      </c>
      <c r="AR553" s="326" t="s">
        <v>162</v>
      </c>
      <c r="AX553" s="334"/>
    </row>
    <row r="554" spans="1:50">
      <c r="A554" s="277" t="s">
        <v>231</v>
      </c>
      <c r="B554" s="334" t="s">
        <v>234</v>
      </c>
      <c r="C554" s="334">
        <f>'Musat 2006'!E55</f>
        <v>4.4999999999999998E-2</v>
      </c>
      <c r="D554" s="301">
        <f>'Musat 2006'!F55</f>
        <v>2000000000</v>
      </c>
      <c r="E554" s="301">
        <f>'Musat 2006'!G55</f>
        <v>1400000000</v>
      </c>
      <c r="G554" s="301">
        <f>E554</f>
        <v>1400000000</v>
      </c>
      <c r="H554" s="27">
        <f>G554/D554</f>
        <v>0.7</v>
      </c>
      <c r="I554" s="334"/>
      <c r="M554" s="27">
        <f>F554/G554</f>
        <v>0</v>
      </c>
      <c r="O554" s="304" t="s">
        <v>943</v>
      </c>
      <c r="P554" s="299"/>
      <c r="Q554" s="301" t="b">
        <v>1</v>
      </c>
      <c r="R554" s="304" t="s">
        <v>460</v>
      </c>
      <c r="S554" t="s">
        <v>141</v>
      </c>
      <c r="T554" t="s">
        <v>47</v>
      </c>
      <c r="U554" t="s">
        <v>47</v>
      </c>
      <c r="V554" s="334"/>
      <c r="W554" s="334"/>
      <c r="X554" s="334"/>
      <c r="Y554" s="334"/>
      <c r="Z554" s="334"/>
      <c r="AB554" s="334" t="s">
        <v>1739</v>
      </c>
      <c r="AC554" s="334" t="s">
        <v>1702</v>
      </c>
      <c r="AQ554" s="326">
        <v>0.5</v>
      </c>
      <c r="AR554" s="326" t="s">
        <v>162</v>
      </c>
      <c r="AX554" s="334"/>
    </row>
    <row r="555" spans="1:50">
      <c r="A555" s="277" t="s">
        <v>231</v>
      </c>
      <c r="B555" s="334" t="s">
        <v>234</v>
      </c>
      <c r="C555" s="334">
        <f>'Musat 2006'!E44</f>
        <v>5.5E-2</v>
      </c>
      <c r="D555" s="301">
        <f>'Musat 2006'!F44</f>
        <v>900000000</v>
      </c>
      <c r="E555" s="301">
        <f>'Musat 2006'!G44</f>
        <v>459000000</v>
      </c>
      <c r="G555" s="301">
        <f>E555</f>
        <v>459000000</v>
      </c>
      <c r="H555" s="27">
        <f>G555/D555</f>
        <v>0.51</v>
      </c>
      <c r="I555" s="334"/>
      <c r="M555" s="27">
        <f>F555/G555</f>
        <v>0</v>
      </c>
      <c r="O555" s="304" t="s">
        <v>943</v>
      </c>
      <c r="P555" s="328"/>
      <c r="Q555" s="301" t="b">
        <v>1</v>
      </c>
      <c r="R555" s="304" t="s">
        <v>460</v>
      </c>
      <c r="S555" t="s">
        <v>141</v>
      </c>
      <c r="T555" t="s">
        <v>47</v>
      </c>
      <c r="U555" t="s">
        <v>47</v>
      </c>
      <c r="V555" s="334"/>
      <c r="W555" s="334"/>
      <c r="X555" s="334"/>
      <c r="Y555" s="334"/>
      <c r="Z555" s="334"/>
      <c r="AB555" s="334" t="s">
        <v>1739</v>
      </c>
      <c r="AC555" s="334" t="s">
        <v>1702</v>
      </c>
      <c r="AQ555" s="326">
        <v>0.5</v>
      </c>
      <c r="AR555" s="326" t="s">
        <v>162</v>
      </c>
      <c r="AX555" s="334"/>
    </row>
    <row r="556" spans="1:50">
      <c r="A556" s="277" t="s">
        <v>231</v>
      </c>
      <c r="B556" s="334" t="s">
        <v>234</v>
      </c>
      <c r="C556" s="334">
        <f>'Musat 2006'!E32</f>
        <v>5.5E-2</v>
      </c>
      <c r="D556" s="301">
        <f>'Musat 2006'!F32</f>
        <v>1100000000</v>
      </c>
      <c r="E556" s="301">
        <f>'Musat 2006'!G32</f>
        <v>462000000</v>
      </c>
      <c r="G556" s="301">
        <f>E556</f>
        <v>462000000</v>
      </c>
      <c r="H556" s="27">
        <f>G556/D556</f>
        <v>0.42</v>
      </c>
      <c r="I556" s="334"/>
      <c r="M556" s="27">
        <f>F556/G556</f>
        <v>0</v>
      </c>
      <c r="O556" s="304" t="s">
        <v>943</v>
      </c>
      <c r="P556" s="328"/>
      <c r="Q556" s="301" t="b">
        <v>1</v>
      </c>
      <c r="R556" s="304" t="s">
        <v>460</v>
      </c>
      <c r="S556" t="s">
        <v>141</v>
      </c>
      <c r="T556" t="s">
        <v>47</v>
      </c>
      <c r="U556" t="s">
        <v>47</v>
      </c>
      <c r="V556" s="334"/>
      <c r="W556" s="334"/>
      <c r="X556" s="334"/>
      <c r="Y556" s="317"/>
      <c r="Z556" s="334"/>
      <c r="AB556" s="334" t="s">
        <v>1739</v>
      </c>
      <c r="AC556" s="334" t="s">
        <v>1702</v>
      </c>
      <c r="AQ556" s="326">
        <v>0.5</v>
      </c>
      <c r="AR556" s="326" t="s">
        <v>162</v>
      </c>
      <c r="AX556" s="334"/>
    </row>
    <row r="557" spans="1:50">
      <c r="A557" s="277" t="s">
        <v>231</v>
      </c>
      <c r="B557" s="334" t="s">
        <v>234</v>
      </c>
      <c r="C557" s="334">
        <f>'Musat 2006'!E9</f>
        <v>5.5E-2</v>
      </c>
      <c r="D557" s="301">
        <f>'Musat 2006'!F9</f>
        <v>1400000000</v>
      </c>
      <c r="E557" s="301">
        <f>'Musat 2006'!G9</f>
        <v>420000000</v>
      </c>
      <c r="G557" s="301">
        <f>E557</f>
        <v>420000000</v>
      </c>
      <c r="H557" s="27">
        <f>G557/D557</f>
        <v>0.3</v>
      </c>
      <c r="I557" s="334"/>
      <c r="M557" s="27">
        <f>F557/G557</f>
        <v>0</v>
      </c>
      <c r="O557" s="304" t="s">
        <v>943</v>
      </c>
      <c r="P557" s="304"/>
      <c r="Q557" s="301" t="b">
        <v>1</v>
      </c>
      <c r="R557" s="304" t="s">
        <v>460</v>
      </c>
      <c r="S557" t="s">
        <v>141</v>
      </c>
      <c r="T557" t="s">
        <v>47</v>
      </c>
      <c r="U557" t="s">
        <v>47</v>
      </c>
      <c r="V557" s="334"/>
      <c r="W557" s="334"/>
      <c r="X557" s="334"/>
      <c r="Y557" s="326"/>
      <c r="Z557" s="334"/>
      <c r="AB557" s="334" t="s">
        <v>1739</v>
      </c>
      <c r="AC557" s="334" t="s">
        <v>1702</v>
      </c>
      <c r="AQ557" s="326">
        <v>0.5</v>
      </c>
      <c r="AR557" s="326" t="s">
        <v>162</v>
      </c>
      <c r="AX557" s="334"/>
    </row>
    <row r="558" spans="1:50">
      <c r="A558" s="277" t="s">
        <v>231</v>
      </c>
      <c r="B558" s="334" t="s">
        <v>234</v>
      </c>
      <c r="C558" s="334">
        <f>'Musat 2006'!E20</f>
        <v>5.5E-2</v>
      </c>
      <c r="D558" s="301">
        <f>'Musat 2006'!F20</f>
        <v>1400000000</v>
      </c>
      <c r="E558" s="301">
        <f>'Musat 2006'!G20</f>
        <v>434000000</v>
      </c>
      <c r="G558" s="301">
        <f>E558</f>
        <v>434000000</v>
      </c>
      <c r="H558" s="27">
        <f>G558/D558</f>
        <v>0.31</v>
      </c>
      <c r="I558" s="334"/>
      <c r="M558" s="27">
        <f>F558/G558</f>
        <v>0</v>
      </c>
      <c r="O558" s="304" t="s">
        <v>943</v>
      </c>
      <c r="Q558" s="301" t="b">
        <v>1</v>
      </c>
      <c r="R558" s="304" t="s">
        <v>460</v>
      </c>
      <c r="S558" t="s">
        <v>141</v>
      </c>
      <c r="T558" t="s">
        <v>47</v>
      </c>
      <c r="U558" t="s">
        <v>47</v>
      </c>
      <c r="V558" s="334"/>
      <c r="W558" s="334"/>
      <c r="X558" s="334"/>
      <c r="Y558" s="334"/>
      <c r="Z558" s="334"/>
      <c r="AB558" s="334" t="s">
        <v>1739</v>
      </c>
      <c r="AC558" s="334" t="s">
        <v>1702</v>
      </c>
      <c r="AQ558" s="326">
        <v>0.5</v>
      </c>
      <c r="AR558" s="326" t="s">
        <v>162</v>
      </c>
      <c r="AX558" s="334"/>
    </row>
    <row r="559" spans="1:50">
      <c r="A559" s="277" t="s">
        <v>231</v>
      </c>
      <c r="B559" s="334" t="s">
        <v>234</v>
      </c>
      <c r="C559" s="334">
        <f>'Musat 2006'!E67</f>
        <v>5.5E-2</v>
      </c>
      <c r="D559" s="301">
        <f>'Musat 2006'!F67</f>
        <v>1700000000</v>
      </c>
      <c r="E559" s="301">
        <f>'Musat 2006'!G67</f>
        <v>1173000000</v>
      </c>
      <c r="G559" s="301">
        <f>E559</f>
        <v>1173000000</v>
      </c>
      <c r="H559" s="27">
        <f>G559/D559</f>
        <v>0.69</v>
      </c>
      <c r="I559" s="334"/>
      <c r="M559" s="27">
        <f>F559/G559</f>
        <v>0</v>
      </c>
      <c r="O559" s="304" t="s">
        <v>943</v>
      </c>
      <c r="Q559" s="301" t="b">
        <v>1</v>
      </c>
      <c r="R559" s="304" t="s">
        <v>460</v>
      </c>
      <c r="S559" t="s">
        <v>141</v>
      </c>
      <c r="T559" t="s">
        <v>47</v>
      </c>
      <c r="U559" t="s">
        <v>47</v>
      </c>
      <c r="V559" s="334"/>
      <c r="W559" s="334"/>
      <c r="X559" s="334"/>
      <c r="Y559" s="334"/>
      <c r="Z559" s="334"/>
      <c r="AB559" s="334" t="s">
        <v>1739</v>
      </c>
      <c r="AC559" s="334" t="s">
        <v>1702</v>
      </c>
      <c r="AQ559" s="326">
        <v>0.5</v>
      </c>
      <c r="AR559" s="326" t="s">
        <v>162</v>
      </c>
      <c r="AX559" s="334"/>
    </row>
    <row r="560" spans="1:50">
      <c r="A560" s="277" t="s">
        <v>231</v>
      </c>
      <c r="B560" s="334" t="s">
        <v>234</v>
      </c>
      <c r="C560" s="334">
        <f>'Musat 2006'!E56</f>
        <v>5.5E-2</v>
      </c>
      <c r="D560" s="301">
        <f>'Musat 2006'!F56</f>
        <v>1800000000</v>
      </c>
      <c r="E560" s="301">
        <f>'Musat 2006'!G56</f>
        <v>1134000000</v>
      </c>
      <c r="G560" s="301">
        <f>E560</f>
        <v>1134000000</v>
      </c>
      <c r="H560" s="27">
        <f>G560/D560</f>
        <v>0.63</v>
      </c>
      <c r="I560" s="334"/>
      <c r="M560" s="27">
        <f>F560/G560</f>
        <v>0</v>
      </c>
      <c r="O560" s="304" t="s">
        <v>943</v>
      </c>
      <c r="Q560" s="301" t="b">
        <v>1</v>
      </c>
      <c r="R560" s="304" t="s">
        <v>460</v>
      </c>
      <c r="S560" t="s">
        <v>141</v>
      </c>
      <c r="T560" t="s">
        <v>47</v>
      </c>
      <c r="U560" t="s">
        <v>47</v>
      </c>
      <c r="V560" s="334"/>
      <c r="W560" s="334"/>
      <c r="X560" s="334"/>
      <c r="Y560" s="334"/>
      <c r="Z560" s="334"/>
      <c r="AB560" s="334" t="s">
        <v>1739</v>
      </c>
      <c r="AC560" s="334" t="s">
        <v>1702</v>
      </c>
      <c r="AQ560" s="326">
        <v>0.5</v>
      </c>
      <c r="AR560" s="326" t="s">
        <v>162</v>
      </c>
      <c r="AX560" s="334"/>
    </row>
    <row r="561" spans="1:50">
      <c r="A561" s="277" t="s">
        <v>231</v>
      </c>
      <c r="B561" s="334" t="s">
        <v>234</v>
      </c>
      <c r="C561" s="334">
        <f>'Musat 2006'!E45</f>
        <v>6.5000000000000002E-2</v>
      </c>
      <c r="D561" s="301">
        <f>'Musat 2006'!F45</f>
        <v>500000000</v>
      </c>
      <c r="E561" s="301">
        <f>'Musat 2006'!G45</f>
        <v>280000000</v>
      </c>
      <c r="G561" s="301">
        <f>E561</f>
        <v>280000000</v>
      </c>
      <c r="H561" s="27">
        <f>G561/D561</f>
        <v>0.56000000000000005</v>
      </c>
      <c r="I561" s="334"/>
      <c r="M561" s="27">
        <f>F561/G561</f>
        <v>0</v>
      </c>
      <c r="O561" s="304" t="s">
        <v>943</v>
      </c>
      <c r="Q561" s="301" t="b">
        <v>1</v>
      </c>
      <c r="R561" s="304" t="s">
        <v>460</v>
      </c>
      <c r="S561" t="s">
        <v>141</v>
      </c>
      <c r="T561" t="s">
        <v>47</v>
      </c>
      <c r="U561" t="s">
        <v>47</v>
      </c>
      <c r="V561" s="334"/>
      <c r="W561" s="334"/>
      <c r="X561" s="334"/>
      <c r="Y561" s="334"/>
      <c r="Z561" s="334"/>
      <c r="AB561" s="334" t="s">
        <v>1739</v>
      </c>
      <c r="AC561" s="334" t="s">
        <v>1702</v>
      </c>
      <c r="AQ561" s="326">
        <v>0.5</v>
      </c>
      <c r="AR561" s="326" t="s">
        <v>162</v>
      </c>
      <c r="AX561" s="334"/>
    </row>
    <row r="562" spans="1:50">
      <c r="A562" s="277" t="s">
        <v>231</v>
      </c>
      <c r="B562" s="334" t="s">
        <v>234</v>
      </c>
      <c r="C562" s="334">
        <f>'Musat 2006'!E33</f>
        <v>6.5000000000000002E-2</v>
      </c>
      <c r="D562" s="301">
        <f>'Musat 2006'!F33</f>
        <v>700000000</v>
      </c>
      <c r="E562" s="301">
        <f>'Musat 2006'!G33</f>
        <v>427000000</v>
      </c>
      <c r="G562" s="301">
        <f>E562</f>
        <v>427000000</v>
      </c>
      <c r="H562" s="336">
        <f>G562/D562</f>
        <v>0.61</v>
      </c>
      <c r="I562" s="334"/>
      <c r="M562" s="27">
        <f>F562/G562</f>
        <v>0</v>
      </c>
      <c r="O562" s="304" t="s">
        <v>943</v>
      </c>
      <c r="Q562" s="301" t="b">
        <v>1</v>
      </c>
      <c r="R562" s="304" t="s">
        <v>460</v>
      </c>
      <c r="S562" t="s">
        <v>141</v>
      </c>
      <c r="T562" t="s">
        <v>47</v>
      </c>
      <c r="U562" t="s">
        <v>47</v>
      </c>
      <c r="V562" s="334"/>
      <c r="W562" s="334"/>
      <c r="X562" s="334"/>
      <c r="Y562" s="334"/>
      <c r="Z562" s="334"/>
      <c r="AB562" s="334" t="s">
        <v>1739</v>
      </c>
      <c r="AC562" s="334" t="s">
        <v>1702</v>
      </c>
      <c r="AQ562" s="326">
        <v>0.5</v>
      </c>
      <c r="AR562" s="326" t="s">
        <v>162</v>
      </c>
      <c r="AX562" s="334"/>
    </row>
    <row r="563" spans="1:50">
      <c r="A563" s="277" t="s">
        <v>231</v>
      </c>
      <c r="B563" s="334" t="s">
        <v>234</v>
      </c>
      <c r="C563" s="334">
        <f>'Musat 2006'!E10</f>
        <v>6.5000000000000002E-2</v>
      </c>
      <c r="D563" s="301">
        <f>'Musat 2006'!F10</f>
        <v>1100000000</v>
      </c>
      <c r="E563" s="301">
        <f>'Musat 2006'!G10</f>
        <v>341000000</v>
      </c>
      <c r="G563" s="301">
        <f>E563</f>
        <v>341000000</v>
      </c>
      <c r="H563" s="27">
        <f>G563/D563</f>
        <v>0.31</v>
      </c>
      <c r="I563" s="334"/>
      <c r="M563" s="27">
        <f>F563/G563</f>
        <v>0</v>
      </c>
      <c r="O563" s="304" t="s">
        <v>943</v>
      </c>
      <c r="Q563" s="301" t="b">
        <v>1</v>
      </c>
      <c r="R563" s="304" t="s">
        <v>460</v>
      </c>
      <c r="S563" t="s">
        <v>141</v>
      </c>
      <c r="T563" t="s">
        <v>47</v>
      </c>
      <c r="U563" t="s">
        <v>47</v>
      </c>
      <c r="V563" s="334"/>
      <c r="W563" s="334"/>
      <c r="X563" s="334"/>
      <c r="Y563" s="334"/>
      <c r="Z563" s="334"/>
      <c r="AB563" s="334" t="s">
        <v>1739</v>
      </c>
      <c r="AC563" s="334" t="s">
        <v>1702</v>
      </c>
      <c r="AQ563" s="326">
        <v>0.5</v>
      </c>
      <c r="AR563" s="326" t="s">
        <v>162</v>
      </c>
      <c r="AX563" s="334"/>
    </row>
    <row r="564" spans="1:50">
      <c r="A564" s="277" t="s">
        <v>231</v>
      </c>
      <c r="B564" s="334" t="s">
        <v>234</v>
      </c>
      <c r="C564" s="334">
        <f>'Musat 2006'!E21</f>
        <v>6.5000000000000002E-2</v>
      </c>
      <c r="D564" s="301">
        <f>'Musat 2006'!F21</f>
        <v>1100000000</v>
      </c>
      <c r="E564" s="301">
        <f>'Musat 2006'!G21</f>
        <v>363000000</v>
      </c>
      <c r="G564" s="301">
        <f>E564</f>
        <v>363000000</v>
      </c>
      <c r="H564" s="27">
        <f>G564/D564</f>
        <v>0.33</v>
      </c>
      <c r="I564" s="334"/>
      <c r="M564" s="27">
        <f>F564/G564</f>
        <v>0</v>
      </c>
      <c r="O564" s="304" t="s">
        <v>943</v>
      </c>
      <c r="P564" s="303"/>
      <c r="Q564" s="301" t="b">
        <v>1</v>
      </c>
      <c r="R564" s="304" t="s">
        <v>460</v>
      </c>
      <c r="S564" t="s">
        <v>141</v>
      </c>
      <c r="T564" t="s">
        <v>47</v>
      </c>
      <c r="U564" t="s">
        <v>47</v>
      </c>
      <c r="V564" s="334"/>
      <c r="W564" s="334"/>
      <c r="X564" s="334"/>
      <c r="Y564" s="334"/>
      <c r="Z564" s="334"/>
      <c r="AB564" s="334" t="s">
        <v>1739</v>
      </c>
      <c r="AC564" s="334" t="s">
        <v>1702</v>
      </c>
      <c r="AQ564" s="326">
        <v>0.5</v>
      </c>
      <c r="AR564" s="326" t="s">
        <v>162</v>
      </c>
      <c r="AX564" s="334"/>
    </row>
    <row r="565" spans="1:50">
      <c r="A565" s="277" t="s">
        <v>231</v>
      </c>
      <c r="B565" s="334" t="s">
        <v>234</v>
      </c>
      <c r="C565" s="334">
        <f>'Musat 2006'!E68</f>
        <v>6.5000000000000002E-2</v>
      </c>
      <c r="D565" s="301">
        <f>'Musat 2006'!F68</f>
        <v>1100000000</v>
      </c>
      <c r="E565" s="301">
        <f>'Musat 2006'!G68</f>
        <v>880000000</v>
      </c>
      <c r="G565" s="301">
        <f>E565</f>
        <v>880000000</v>
      </c>
      <c r="H565" s="336">
        <f>G565/D565</f>
        <v>0.8</v>
      </c>
      <c r="I565" s="334"/>
      <c r="M565" s="27">
        <f>F565/G565</f>
        <v>0</v>
      </c>
      <c r="O565" s="304" t="s">
        <v>943</v>
      </c>
      <c r="P565" s="303"/>
      <c r="Q565" s="301" t="b">
        <v>1</v>
      </c>
      <c r="R565" s="304" t="s">
        <v>460</v>
      </c>
      <c r="S565" s="304" t="s">
        <v>141</v>
      </c>
      <c r="T565" s="304" t="s">
        <v>47</v>
      </c>
      <c r="U565" s="304" t="s">
        <v>47</v>
      </c>
      <c r="V565" s="334"/>
      <c r="W565" s="334"/>
      <c r="X565" s="334"/>
      <c r="Y565" s="328"/>
      <c r="Z565" s="334"/>
      <c r="AB565" s="334" t="s">
        <v>1739</v>
      </c>
      <c r="AC565" s="334" t="s">
        <v>1702</v>
      </c>
      <c r="AQ565" s="322">
        <v>0.5</v>
      </c>
      <c r="AR565" s="327" t="s">
        <v>162</v>
      </c>
      <c r="AX565" s="334"/>
    </row>
    <row r="566" spans="1:50">
      <c r="A566" s="277" t="s">
        <v>231</v>
      </c>
      <c r="B566" s="334" t="s">
        <v>234</v>
      </c>
      <c r="C566" s="334">
        <f>'Musat 2006'!E34</f>
        <v>7.4999999999999997E-2</v>
      </c>
      <c r="D566" s="301">
        <f>'Musat 2006'!F34</f>
        <v>400000000</v>
      </c>
      <c r="E566" s="301">
        <f>'Musat 2006'!G34</f>
        <v>252000000</v>
      </c>
      <c r="G566" s="301">
        <f>E566</f>
        <v>252000000</v>
      </c>
      <c r="H566" s="336">
        <f>G566/D566</f>
        <v>0.63</v>
      </c>
      <c r="I566" s="334"/>
      <c r="M566" s="27">
        <f>F566/G566</f>
        <v>0</v>
      </c>
      <c r="O566" s="304" t="s">
        <v>943</v>
      </c>
      <c r="P566" s="303"/>
      <c r="Q566" s="301" t="b">
        <v>1</v>
      </c>
      <c r="R566" s="304" t="s">
        <v>460</v>
      </c>
      <c r="S566" s="304" t="s">
        <v>141</v>
      </c>
      <c r="T566" s="304" t="s">
        <v>47</v>
      </c>
      <c r="U566" s="304" t="s">
        <v>47</v>
      </c>
      <c r="V566" s="334"/>
      <c r="W566" s="334"/>
      <c r="X566" s="334"/>
      <c r="Y566" s="328"/>
      <c r="Z566" s="334"/>
      <c r="AB566" s="334" t="s">
        <v>1739</v>
      </c>
      <c r="AC566" s="334" t="s">
        <v>1702</v>
      </c>
      <c r="AQ566" s="322">
        <v>0.5</v>
      </c>
      <c r="AR566" s="327" t="s">
        <v>162</v>
      </c>
      <c r="AX566" s="334"/>
    </row>
    <row r="567" spans="1:50">
      <c r="A567" s="277" t="s">
        <v>231</v>
      </c>
      <c r="B567" s="334" t="s">
        <v>234</v>
      </c>
      <c r="C567" s="334">
        <f>'Musat 2006'!E46</f>
        <v>7.4999999999999997E-2</v>
      </c>
      <c r="D567" s="301">
        <f>'Musat 2006'!F46</f>
        <v>500000000</v>
      </c>
      <c r="E567" s="301">
        <f>'Musat 2006'!G46</f>
        <v>245000000</v>
      </c>
      <c r="G567" s="301">
        <f>E567</f>
        <v>245000000</v>
      </c>
      <c r="H567" s="27">
        <f>G567/D567</f>
        <v>0.49</v>
      </c>
      <c r="I567" s="334"/>
      <c r="M567" s="27">
        <f>F567/G567</f>
        <v>0</v>
      </c>
      <c r="O567" s="304" t="s">
        <v>943</v>
      </c>
      <c r="P567" s="293"/>
      <c r="Q567" s="301" t="b">
        <v>1</v>
      </c>
      <c r="R567" s="304" t="s">
        <v>460</v>
      </c>
      <c r="S567" s="304" t="s">
        <v>141</v>
      </c>
      <c r="T567" s="304" t="s">
        <v>47</v>
      </c>
      <c r="U567" s="304" t="s">
        <v>47</v>
      </c>
      <c r="V567" s="334"/>
      <c r="W567" s="334"/>
      <c r="X567" s="334"/>
      <c r="Y567" s="328"/>
      <c r="Z567" s="334"/>
      <c r="AB567" s="334" t="s">
        <v>1739</v>
      </c>
      <c r="AC567" s="334" t="s">
        <v>1702</v>
      </c>
      <c r="AQ567">
        <v>0.5</v>
      </c>
      <c r="AR567" s="327" t="s">
        <v>162</v>
      </c>
      <c r="AX567" s="334"/>
    </row>
    <row r="568" spans="1:50">
      <c r="A568" s="277" t="s">
        <v>231</v>
      </c>
      <c r="B568" s="328" t="s">
        <v>234</v>
      </c>
      <c r="C568" s="334">
        <f>'Musat 2006'!E69</f>
        <v>7.4999999999999997E-2</v>
      </c>
      <c r="D568" s="301">
        <f>'Musat 2006'!F69</f>
        <v>900000000</v>
      </c>
      <c r="E568" s="301">
        <f>'Musat 2006'!G69</f>
        <v>521999999.99999994</v>
      </c>
      <c r="G568" s="301">
        <f>E568</f>
        <v>521999999.99999994</v>
      </c>
      <c r="H568" s="27">
        <f>G568/D568</f>
        <v>0.57999999999999996</v>
      </c>
      <c r="I568" s="334"/>
      <c r="M568" s="27">
        <f>F568/G568</f>
        <v>0</v>
      </c>
      <c r="O568" s="304" t="s">
        <v>943</v>
      </c>
      <c r="Q568" s="301" t="b">
        <v>1</v>
      </c>
      <c r="R568" s="304" t="s">
        <v>460</v>
      </c>
      <c r="S568" s="304" t="s">
        <v>141</v>
      </c>
      <c r="T568" s="304" t="s">
        <v>47</v>
      </c>
      <c r="U568" s="304" t="s">
        <v>47</v>
      </c>
      <c r="V568" s="334"/>
      <c r="W568" s="334"/>
      <c r="X568" s="334"/>
      <c r="Y568" s="326"/>
      <c r="Z568" s="334"/>
      <c r="AB568" s="334" t="s">
        <v>1739</v>
      </c>
      <c r="AC568" s="334" t="s">
        <v>1702</v>
      </c>
      <c r="AQ568" s="322">
        <v>0.5</v>
      </c>
      <c r="AR568" s="327" t="s">
        <v>162</v>
      </c>
      <c r="AX568" s="334"/>
    </row>
    <row r="569" spans="1:50">
      <c r="A569" s="277" t="s">
        <v>231</v>
      </c>
      <c r="B569" s="328" t="s">
        <v>234</v>
      </c>
      <c r="C569" s="334">
        <f>'Musat 2006'!E57</f>
        <v>7.4999999999999997E-2</v>
      </c>
      <c r="D569" s="301">
        <f>'Musat 2006'!F57</f>
        <v>1000000000</v>
      </c>
      <c r="E569" s="301">
        <f>'Musat 2006'!G57</f>
        <v>620000000</v>
      </c>
      <c r="G569" s="301">
        <f>E569</f>
        <v>620000000</v>
      </c>
      <c r="H569" s="336">
        <f>G569/D569</f>
        <v>0.62</v>
      </c>
      <c r="I569" s="334"/>
      <c r="M569" s="27">
        <f>F569/G569</f>
        <v>0</v>
      </c>
      <c r="O569" s="304" t="s">
        <v>943</v>
      </c>
      <c r="P569" s="304"/>
      <c r="Q569" s="301" t="b">
        <v>1</v>
      </c>
      <c r="R569" s="304" t="s">
        <v>460</v>
      </c>
      <c r="S569" s="304" t="s">
        <v>141</v>
      </c>
      <c r="T569" s="304" t="s">
        <v>47</v>
      </c>
      <c r="U569" s="304" t="s">
        <v>47</v>
      </c>
      <c r="V569" s="334"/>
      <c r="W569" s="334"/>
      <c r="X569" s="334"/>
      <c r="Y569" s="326"/>
      <c r="Z569" s="334"/>
      <c r="AB569" s="334" t="s">
        <v>1739</v>
      </c>
      <c r="AC569" s="334" t="s">
        <v>1702</v>
      </c>
      <c r="AQ569" s="322">
        <v>0.5</v>
      </c>
      <c r="AR569" s="327" t="s">
        <v>162</v>
      </c>
      <c r="AX569" s="334"/>
    </row>
    <row r="570" spans="1:50">
      <c r="A570" s="277" t="s">
        <v>231</v>
      </c>
      <c r="B570" s="334" t="s">
        <v>234</v>
      </c>
      <c r="C570" s="334">
        <f>'Musat 2006'!E22</f>
        <v>7.4999999999999997E-2</v>
      </c>
      <c r="D570" s="301">
        <f>'Musat 2006'!F22</f>
        <v>1200000000</v>
      </c>
      <c r="E570" s="301">
        <f>'Musat 2006'!G22</f>
        <v>288000000</v>
      </c>
      <c r="G570" s="301">
        <f>E570</f>
        <v>288000000</v>
      </c>
      <c r="H570" s="27">
        <f>G570/D570</f>
        <v>0.24</v>
      </c>
      <c r="I570" s="334"/>
      <c r="M570" s="27">
        <f>F570/G570</f>
        <v>0</v>
      </c>
      <c r="O570" s="304" t="s">
        <v>943</v>
      </c>
      <c r="Q570" s="301" t="b">
        <v>1</v>
      </c>
      <c r="R570" s="304" t="s">
        <v>460</v>
      </c>
      <c r="S570" s="304" t="s">
        <v>141</v>
      </c>
      <c r="T570" s="304" t="s">
        <v>47</v>
      </c>
      <c r="U570" s="304" t="s">
        <v>47</v>
      </c>
      <c r="V570" s="334"/>
      <c r="W570" s="334"/>
      <c r="X570" s="334"/>
      <c r="Y570" s="334"/>
      <c r="Z570" s="334"/>
      <c r="AB570" s="334" t="s">
        <v>1739</v>
      </c>
      <c r="AC570" s="334" t="s">
        <v>1702</v>
      </c>
      <c r="AQ570" s="322">
        <v>0.5</v>
      </c>
      <c r="AR570" s="327" t="s">
        <v>162</v>
      </c>
      <c r="AX570" s="334"/>
    </row>
    <row r="571" spans="1:50">
      <c r="A571" s="277" t="s">
        <v>231</v>
      </c>
      <c r="B571" s="334" t="s">
        <v>234</v>
      </c>
      <c r="C571" s="334">
        <f>'Musat 2006'!E11</f>
        <v>7.4999999999999997E-2</v>
      </c>
      <c r="D571" s="301">
        <f>'Musat 2006'!F11</f>
        <v>1200000000</v>
      </c>
      <c r="E571" s="301">
        <f>'Musat 2006'!G11</f>
        <v>360000000</v>
      </c>
      <c r="G571" s="301">
        <f>E571</f>
        <v>360000000</v>
      </c>
      <c r="H571" s="336">
        <f>G571/D571</f>
        <v>0.3</v>
      </c>
      <c r="I571" s="334"/>
      <c r="M571" s="27">
        <f>F571/G571</f>
        <v>0</v>
      </c>
      <c r="O571" s="304" t="s">
        <v>943</v>
      </c>
      <c r="Q571" s="301" t="b">
        <v>1</v>
      </c>
      <c r="R571" s="304" t="s">
        <v>460</v>
      </c>
      <c r="S571" s="304" t="s">
        <v>141</v>
      </c>
      <c r="T571" s="304" t="s">
        <v>47</v>
      </c>
      <c r="U571" s="304" t="s">
        <v>47</v>
      </c>
      <c r="V571" s="334"/>
      <c r="W571" s="334"/>
      <c r="X571" s="334"/>
      <c r="Y571" s="326"/>
      <c r="Z571" s="334"/>
      <c r="AB571" s="334" t="s">
        <v>1739</v>
      </c>
      <c r="AC571" s="334" t="s">
        <v>1702</v>
      </c>
      <c r="AQ571" s="322">
        <v>0.5</v>
      </c>
      <c r="AR571" s="327" t="s">
        <v>162</v>
      </c>
      <c r="AX571" s="334"/>
    </row>
    <row r="572" spans="1:50">
      <c r="A572" s="277" t="s">
        <v>231</v>
      </c>
      <c r="B572" s="334" t="s">
        <v>234</v>
      </c>
      <c r="C572" s="334">
        <f>'Musat 2006'!E35</f>
        <v>8.5000000000000006E-2</v>
      </c>
      <c r="D572" s="301">
        <f>'Musat 2006'!F35</f>
        <v>400000000</v>
      </c>
      <c r="E572" s="301">
        <f>'Musat 2006'!G35</f>
        <v>96000000</v>
      </c>
      <c r="G572" s="301">
        <f>E572</f>
        <v>96000000</v>
      </c>
      <c r="H572" s="27">
        <f>G572/D572</f>
        <v>0.24</v>
      </c>
      <c r="I572" s="334"/>
      <c r="M572" s="27">
        <f>F572/G572</f>
        <v>0</v>
      </c>
      <c r="O572" s="304" t="s">
        <v>943</v>
      </c>
      <c r="P572" s="326"/>
      <c r="Q572" s="301" t="b">
        <v>1</v>
      </c>
      <c r="R572" s="304" t="s">
        <v>460</v>
      </c>
      <c r="S572" s="304" t="s">
        <v>141</v>
      </c>
      <c r="T572" s="304" t="s">
        <v>47</v>
      </c>
      <c r="U572" s="304" t="s">
        <v>47</v>
      </c>
      <c r="V572" s="334"/>
      <c r="W572" s="334"/>
      <c r="X572" s="334"/>
      <c r="Y572" s="322"/>
      <c r="Z572" s="334"/>
      <c r="AB572" s="334" t="s">
        <v>1739</v>
      </c>
      <c r="AC572" s="334" t="s">
        <v>1702</v>
      </c>
      <c r="AQ572" s="322">
        <v>0.5</v>
      </c>
      <c r="AR572" s="327" t="s">
        <v>162</v>
      </c>
      <c r="AX572" s="334"/>
    </row>
    <row r="573" spans="1:50">
      <c r="A573" s="277" t="s">
        <v>231</v>
      </c>
      <c r="B573" s="334" t="s">
        <v>234</v>
      </c>
      <c r="C573" s="334">
        <f>'Musat 2006'!E47</f>
        <v>8.5000000000000006E-2</v>
      </c>
      <c r="D573" s="301">
        <f>'Musat 2006'!F47</f>
        <v>600000000</v>
      </c>
      <c r="E573" s="301">
        <f>'Musat 2006'!G47</f>
        <v>348000000</v>
      </c>
      <c r="G573" s="301">
        <f>E573</f>
        <v>348000000</v>
      </c>
      <c r="H573" s="27">
        <f>G573/D573</f>
        <v>0.57999999999999996</v>
      </c>
      <c r="I573" s="334"/>
      <c r="M573" s="27">
        <f>F573/G573</f>
        <v>0</v>
      </c>
      <c r="O573" s="304" t="s">
        <v>943</v>
      </c>
      <c r="P573" s="326"/>
      <c r="Q573" s="301" t="b">
        <v>1</v>
      </c>
      <c r="R573" s="304" t="s">
        <v>460</v>
      </c>
      <c r="S573" s="304" t="s">
        <v>141</v>
      </c>
      <c r="T573" s="304" t="s">
        <v>47</v>
      </c>
      <c r="U573" s="304" t="s">
        <v>47</v>
      </c>
      <c r="V573" s="334"/>
      <c r="W573" s="334"/>
      <c r="X573" s="334"/>
      <c r="Y573" s="334"/>
      <c r="Z573" s="334"/>
      <c r="AB573" s="334" t="s">
        <v>1739</v>
      </c>
      <c r="AC573" s="334" t="s">
        <v>1702</v>
      </c>
      <c r="AQ573" s="322">
        <v>0.5</v>
      </c>
      <c r="AR573" s="327" t="s">
        <v>162</v>
      </c>
      <c r="AX573" s="334"/>
    </row>
    <row r="574" spans="1:50">
      <c r="A574" s="277" t="s">
        <v>231</v>
      </c>
      <c r="B574" s="334" t="s">
        <v>234</v>
      </c>
      <c r="C574" s="334">
        <f>'Musat 2006'!E23</f>
        <v>8.5000000000000006E-2</v>
      </c>
      <c r="D574" s="301">
        <f>'Musat 2006'!F23</f>
        <v>1200000000</v>
      </c>
      <c r="E574" s="301">
        <f>'Musat 2006'!G23</f>
        <v>324000000</v>
      </c>
      <c r="G574" s="301">
        <f>E574</f>
        <v>324000000</v>
      </c>
      <c r="H574" s="336">
        <f>G574/D574</f>
        <v>0.27</v>
      </c>
      <c r="I574" s="334"/>
      <c r="M574" s="27">
        <f>F574/G574</f>
        <v>0</v>
      </c>
      <c r="O574" s="304" t="s">
        <v>943</v>
      </c>
      <c r="P574" s="326"/>
      <c r="Q574" s="301" t="b">
        <v>1</v>
      </c>
      <c r="R574" s="304" t="s">
        <v>460</v>
      </c>
      <c r="S574" s="304" t="s">
        <v>141</v>
      </c>
      <c r="T574" s="304" t="s">
        <v>47</v>
      </c>
      <c r="U574" s="304" t="s">
        <v>47</v>
      </c>
      <c r="V574" s="334"/>
      <c r="W574" s="334"/>
      <c r="X574" s="334"/>
      <c r="Y574" s="322"/>
      <c r="Z574" s="334"/>
      <c r="AB574" s="334" t="s">
        <v>1739</v>
      </c>
      <c r="AC574" s="334" t="s">
        <v>1702</v>
      </c>
      <c r="AQ574" s="322">
        <v>0.5</v>
      </c>
      <c r="AR574" s="327" t="s">
        <v>162</v>
      </c>
      <c r="AX574" s="334"/>
    </row>
    <row r="575" spans="1:50">
      <c r="A575" s="277" t="s">
        <v>231</v>
      </c>
      <c r="B575" s="328" t="s">
        <v>234</v>
      </c>
      <c r="C575" s="334">
        <f>'Musat 2006'!E58</f>
        <v>8.5000000000000006E-2</v>
      </c>
      <c r="D575" s="301">
        <f>'Musat 2006'!F58</f>
        <v>1200000000</v>
      </c>
      <c r="E575" s="301">
        <f>'Musat 2006'!G58</f>
        <v>780000000</v>
      </c>
      <c r="G575" s="301">
        <f>E575</f>
        <v>780000000</v>
      </c>
      <c r="H575" s="336">
        <f>G575/D575</f>
        <v>0.65</v>
      </c>
      <c r="I575" s="334"/>
      <c r="M575" s="27">
        <f>F575/G575</f>
        <v>0</v>
      </c>
      <c r="O575" s="304" t="s">
        <v>943</v>
      </c>
      <c r="P575" s="326"/>
      <c r="Q575" s="301" t="b">
        <v>1</v>
      </c>
      <c r="R575" s="304" t="s">
        <v>460</v>
      </c>
      <c r="S575" s="304" t="s">
        <v>141</v>
      </c>
      <c r="T575" s="304" t="s">
        <v>47</v>
      </c>
      <c r="U575" s="304" t="s">
        <v>47</v>
      </c>
      <c r="V575" s="334"/>
      <c r="W575" s="334"/>
      <c r="X575" s="334"/>
      <c r="Y575" s="322"/>
      <c r="Z575" s="334"/>
      <c r="AB575" s="334" t="s">
        <v>1739</v>
      </c>
      <c r="AC575" s="334" t="s">
        <v>1702</v>
      </c>
      <c r="AQ575" s="322">
        <v>0.5</v>
      </c>
      <c r="AR575" s="327" t="s">
        <v>162</v>
      </c>
      <c r="AX575" s="334"/>
    </row>
    <row r="576" spans="1:50">
      <c r="A576" s="277" t="s">
        <v>231</v>
      </c>
      <c r="B576" s="328" t="s">
        <v>234</v>
      </c>
      <c r="C576" s="334">
        <f>'Musat 2006'!E70</f>
        <v>8.5000000000000006E-2</v>
      </c>
      <c r="D576" s="301">
        <f>'Musat 2006'!F70</f>
        <v>1200000000</v>
      </c>
      <c r="E576" s="301">
        <f>'Musat 2006'!G70</f>
        <v>912000000</v>
      </c>
      <c r="G576" s="301">
        <f>E576</f>
        <v>912000000</v>
      </c>
      <c r="H576" s="27">
        <f>G576/D576</f>
        <v>0.76</v>
      </c>
      <c r="I576" s="334"/>
      <c r="M576" s="27">
        <f>F576/G576</f>
        <v>0</v>
      </c>
      <c r="O576" s="304" t="s">
        <v>943</v>
      </c>
      <c r="P576" s="326"/>
      <c r="Q576" s="301" t="b">
        <v>1</v>
      </c>
      <c r="R576" s="304" t="s">
        <v>460</v>
      </c>
      <c r="S576" s="304" t="s">
        <v>141</v>
      </c>
      <c r="T576" s="304" t="s">
        <v>47</v>
      </c>
      <c r="U576" s="304" t="s">
        <v>47</v>
      </c>
      <c r="V576" s="334"/>
      <c r="W576" s="334"/>
      <c r="X576" s="334"/>
      <c r="Y576" s="334"/>
      <c r="Z576" s="334"/>
      <c r="AB576" s="334" t="s">
        <v>1739</v>
      </c>
      <c r="AC576" s="334" t="s">
        <v>1702</v>
      </c>
      <c r="AQ576" s="322">
        <v>0.5</v>
      </c>
      <c r="AR576" s="327" t="s">
        <v>162</v>
      </c>
      <c r="AX576" s="334"/>
    </row>
    <row r="577" spans="1:50">
      <c r="A577" s="277" t="s">
        <v>231</v>
      </c>
      <c r="B577" s="328" t="s">
        <v>234</v>
      </c>
      <c r="C577" s="334">
        <f>'Musat 2006'!E48</f>
        <v>9.5000000000000001E-2</v>
      </c>
      <c r="D577" s="301">
        <f>'Musat 2006'!F48</f>
        <v>500000000</v>
      </c>
      <c r="E577" s="301">
        <f>'Musat 2006'!G48</f>
        <v>285000000</v>
      </c>
      <c r="G577" s="301">
        <f>E577</f>
        <v>285000000</v>
      </c>
      <c r="H577" s="27">
        <f>G577/D577</f>
        <v>0.56999999999999995</v>
      </c>
      <c r="I577" s="334"/>
      <c r="M577" s="27">
        <f>F577/G577</f>
        <v>0</v>
      </c>
      <c r="O577" s="304" t="s">
        <v>943</v>
      </c>
      <c r="P577" s="326"/>
      <c r="Q577" s="301" t="b">
        <v>1</v>
      </c>
      <c r="R577" s="304" t="s">
        <v>460</v>
      </c>
      <c r="S577" s="304" t="s">
        <v>141</v>
      </c>
      <c r="T577" s="304" t="s">
        <v>47</v>
      </c>
      <c r="U577" s="304" t="s">
        <v>47</v>
      </c>
      <c r="V577" s="334"/>
      <c r="W577" s="334"/>
      <c r="X577" s="334"/>
      <c r="Z577" s="334"/>
      <c r="AB577" s="334" t="s">
        <v>1739</v>
      </c>
      <c r="AC577" s="334" t="s">
        <v>1702</v>
      </c>
      <c r="AQ577" s="322">
        <v>0.5</v>
      </c>
      <c r="AR577" s="327" t="s">
        <v>162</v>
      </c>
      <c r="AX577" s="334"/>
    </row>
    <row r="578" spans="1:50">
      <c r="A578" s="277" t="s">
        <v>231</v>
      </c>
      <c r="B578" s="328" t="s">
        <v>234</v>
      </c>
      <c r="C578" s="334">
        <f>'Musat 2006'!E36</f>
        <v>9.5000000000000001E-2</v>
      </c>
      <c r="D578" s="301">
        <f>'Musat 2006'!F36</f>
        <v>600000000</v>
      </c>
      <c r="E578" s="301">
        <f>'Musat 2006'!G36</f>
        <v>84000000.000000015</v>
      </c>
      <c r="G578" s="301">
        <f>E578</f>
        <v>84000000.000000015</v>
      </c>
      <c r="H578" s="336">
        <f>G578/D578</f>
        <v>0.14000000000000001</v>
      </c>
      <c r="I578" s="334"/>
      <c r="M578" s="27">
        <f>F578/G578</f>
        <v>0</v>
      </c>
      <c r="O578" s="304" t="s">
        <v>943</v>
      </c>
      <c r="P578" s="326"/>
      <c r="Q578" s="301" t="b">
        <v>1</v>
      </c>
      <c r="R578" s="304" t="s">
        <v>460</v>
      </c>
      <c r="S578" s="304" t="s">
        <v>141</v>
      </c>
      <c r="T578" s="304" t="s">
        <v>47</v>
      </c>
      <c r="U578" s="304" t="s">
        <v>47</v>
      </c>
      <c r="V578" s="334"/>
      <c r="W578" s="334"/>
      <c r="X578" s="334"/>
      <c r="Y578" s="328"/>
      <c r="Z578" s="334"/>
      <c r="AB578" s="334" t="s">
        <v>1739</v>
      </c>
      <c r="AC578" s="334" t="s">
        <v>1702</v>
      </c>
      <c r="AQ578">
        <v>0.5</v>
      </c>
      <c r="AR578" s="327" t="s">
        <v>162</v>
      </c>
      <c r="AX578" s="334"/>
    </row>
    <row r="579" spans="1:50">
      <c r="A579" s="277" t="s">
        <v>231</v>
      </c>
      <c r="B579" s="334" t="s">
        <v>234</v>
      </c>
      <c r="C579" s="334">
        <f>'Musat 2006'!E12</f>
        <v>9.5000000000000001E-2</v>
      </c>
      <c r="D579" s="301">
        <f>'Musat 2006'!F12</f>
        <v>1100000000</v>
      </c>
      <c r="E579" s="301">
        <f>'Musat 2006'!G12</f>
        <v>352000000</v>
      </c>
      <c r="G579" s="301">
        <f>E579</f>
        <v>352000000</v>
      </c>
      <c r="H579" s="27">
        <f>G579/D579</f>
        <v>0.32</v>
      </c>
      <c r="I579" s="334"/>
      <c r="M579" s="27">
        <f>F579/G579</f>
        <v>0</v>
      </c>
      <c r="O579" s="304" t="s">
        <v>943</v>
      </c>
      <c r="P579" s="326"/>
      <c r="Q579" s="301" t="b">
        <v>1</v>
      </c>
      <c r="R579" s="304" t="s">
        <v>460</v>
      </c>
      <c r="S579" s="304" t="s">
        <v>141</v>
      </c>
      <c r="T579" s="304" t="s">
        <v>47</v>
      </c>
      <c r="U579" s="304" t="s">
        <v>47</v>
      </c>
      <c r="V579" s="334"/>
      <c r="W579" s="334"/>
      <c r="X579" s="334"/>
      <c r="Z579" s="334"/>
      <c r="AB579" s="334" t="s">
        <v>1739</v>
      </c>
      <c r="AC579" s="334" t="s">
        <v>1702</v>
      </c>
      <c r="AQ579" s="322">
        <v>0.5</v>
      </c>
      <c r="AR579" s="327" t="s">
        <v>162</v>
      </c>
      <c r="AX579" s="334"/>
    </row>
    <row r="580" spans="1:50">
      <c r="A580" s="277" t="s">
        <v>231</v>
      </c>
      <c r="B580" s="334" t="s">
        <v>234</v>
      </c>
      <c r="C580" s="334">
        <f>'Musat 2006'!E24</f>
        <v>9.5000000000000001E-2</v>
      </c>
      <c r="D580" s="301">
        <f>'Musat 2006'!F24</f>
        <v>1200000000</v>
      </c>
      <c r="E580" s="301">
        <f>'Musat 2006'!G24</f>
        <v>264000000</v>
      </c>
      <c r="G580" s="301">
        <f>E580</f>
        <v>264000000</v>
      </c>
      <c r="H580" s="27">
        <f>G580/D580</f>
        <v>0.22</v>
      </c>
      <c r="I580" s="334"/>
      <c r="M580" s="27">
        <f>F580/G580</f>
        <v>0</v>
      </c>
      <c r="O580" s="304" t="s">
        <v>943</v>
      </c>
      <c r="P580" s="326"/>
      <c r="Q580" s="301" t="b">
        <v>1</v>
      </c>
      <c r="R580" s="304" t="s">
        <v>460</v>
      </c>
      <c r="S580" s="304" t="s">
        <v>141</v>
      </c>
      <c r="T580" s="304" t="s">
        <v>47</v>
      </c>
      <c r="U580" s="304" t="s">
        <v>47</v>
      </c>
      <c r="V580" s="334"/>
      <c r="W580" s="334"/>
      <c r="X580" s="334"/>
      <c r="Y580" s="327"/>
      <c r="Z580" s="334"/>
      <c r="AB580" s="334" t="s">
        <v>1739</v>
      </c>
      <c r="AC580" s="334" t="s">
        <v>1702</v>
      </c>
      <c r="AQ580" s="322">
        <v>0.5</v>
      </c>
      <c r="AR580" s="327" t="s">
        <v>162</v>
      </c>
    </row>
    <row r="581" spans="1:50">
      <c r="A581" s="277" t="s">
        <v>231</v>
      </c>
      <c r="B581" s="328" t="s">
        <v>234</v>
      </c>
      <c r="C581" s="334">
        <f>'Musat 2006'!E59</f>
        <v>9.5000000000000001E-2</v>
      </c>
      <c r="D581" s="301">
        <f>'Musat 2006'!F59</f>
        <v>1200000000</v>
      </c>
      <c r="E581" s="301">
        <f>'Musat 2006'!G59</f>
        <v>888000000</v>
      </c>
      <c r="G581" s="301">
        <f>E581</f>
        <v>888000000</v>
      </c>
      <c r="H581" s="336">
        <f>G581/D581</f>
        <v>0.74</v>
      </c>
      <c r="I581" s="334"/>
      <c r="M581" s="27">
        <f>F581/G581</f>
        <v>0</v>
      </c>
      <c r="O581" s="304" t="s">
        <v>943</v>
      </c>
      <c r="P581" s="326"/>
      <c r="Q581" s="301" t="b">
        <v>1</v>
      </c>
      <c r="R581" s="304" t="s">
        <v>460</v>
      </c>
      <c r="S581" s="304" t="s">
        <v>141</v>
      </c>
      <c r="T581" s="304" t="s">
        <v>47</v>
      </c>
      <c r="U581" s="304" t="s">
        <v>47</v>
      </c>
      <c r="V581" s="334"/>
      <c r="W581" s="334"/>
      <c r="X581" s="334"/>
      <c r="Z581" s="334"/>
      <c r="AB581" s="334" t="s">
        <v>1739</v>
      </c>
      <c r="AC581" s="334" t="s">
        <v>1702</v>
      </c>
      <c r="AQ581" s="322">
        <v>0.5</v>
      </c>
      <c r="AR581" s="327" t="s">
        <v>162</v>
      </c>
    </row>
    <row r="582" spans="1:50">
      <c r="A582" s="277" t="s">
        <v>231</v>
      </c>
      <c r="B582" s="328" t="s">
        <v>234</v>
      </c>
      <c r="C582" s="334">
        <f>'Musat 2006'!E71</f>
        <v>9.5000000000000001E-2</v>
      </c>
      <c r="D582" s="301">
        <f>'Musat 2006'!F71</f>
        <v>1300000000</v>
      </c>
      <c r="E582" s="301">
        <f>'Musat 2006'!G71</f>
        <v>858000000</v>
      </c>
      <c r="G582" s="301">
        <f>E582</f>
        <v>858000000</v>
      </c>
      <c r="H582" s="336">
        <f>G582/D582</f>
        <v>0.66</v>
      </c>
      <c r="I582" s="334"/>
      <c r="M582" s="27">
        <f>F582/G582</f>
        <v>0</v>
      </c>
      <c r="O582" s="304" t="s">
        <v>943</v>
      </c>
      <c r="P582" s="326"/>
      <c r="Q582" s="301" t="b">
        <v>1</v>
      </c>
      <c r="R582" s="304" t="s">
        <v>460</v>
      </c>
      <c r="S582" s="304" t="s">
        <v>141</v>
      </c>
      <c r="T582" s="304" t="s">
        <v>47</v>
      </c>
      <c r="U582" s="304" t="s">
        <v>47</v>
      </c>
      <c r="V582" s="334"/>
      <c r="W582" s="334"/>
      <c r="X582" s="334"/>
      <c r="Y582" s="328"/>
      <c r="Z582" s="334"/>
      <c r="AB582" s="334" t="s">
        <v>1739</v>
      </c>
      <c r="AC582" s="334" t="s">
        <v>1702</v>
      </c>
      <c r="AQ582" s="322">
        <v>0.5</v>
      </c>
      <c r="AR582" s="327" t="s">
        <v>162</v>
      </c>
    </row>
    <row r="583" spans="1:50">
      <c r="A583" s="277" t="s">
        <v>231</v>
      </c>
      <c r="B583" s="328" t="s">
        <v>234</v>
      </c>
      <c r="C583" s="334">
        <f>'Musat 2006'!E49</f>
        <v>0.105</v>
      </c>
      <c r="D583" s="301">
        <f>'Musat 2006'!F49</f>
        <v>500000000</v>
      </c>
      <c r="E583" s="301">
        <f>'Musat 2006'!G49</f>
        <v>225000000</v>
      </c>
      <c r="G583" s="301">
        <f>E583</f>
        <v>225000000</v>
      </c>
      <c r="H583" s="336">
        <f>G583/D583</f>
        <v>0.45</v>
      </c>
      <c r="I583" s="334"/>
      <c r="M583" s="27">
        <f>F583/G583</f>
        <v>0</v>
      </c>
      <c r="O583" s="304" t="s">
        <v>943</v>
      </c>
      <c r="P583" s="326"/>
      <c r="Q583" s="301" t="b">
        <v>1</v>
      </c>
      <c r="R583" s="304" t="s">
        <v>460</v>
      </c>
      <c r="S583" s="304" t="s">
        <v>141</v>
      </c>
      <c r="T583" s="304" t="s">
        <v>47</v>
      </c>
      <c r="U583" s="304" t="s">
        <v>47</v>
      </c>
      <c r="V583" s="334"/>
      <c r="W583" s="334"/>
      <c r="X583" s="334"/>
      <c r="Y583" s="323"/>
      <c r="Z583" s="334"/>
      <c r="AA583" s="328"/>
      <c r="AB583" s="334" t="s">
        <v>1739</v>
      </c>
      <c r="AC583" s="334" t="s">
        <v>1702</v>
      </c>
      <c r="AE583" s="328"/>
      <c r="AQ583" s="322">
        <v>0.5</v>
      </c>
      <c r="AR583" s="327" t="s">
        <v>162</v>
      </c>
    </row>
    <row r="584" spans="1:50">
      <c r="A584" s="277" t="s">
        <v>231</v>
      </c>
      <c r="B584" s="328" t="s">
        <v>234</v>
      </c>
      <c r="C584" s="334">
        <f>'Musat 2006'!E37</f>
        <v>0.105</v>
      </c>
      <c r="D584" s="301">
        <f>'Musat 2006'!F37</f>
        <v>600000000</v>
      </c>
      <c r="E584" s="301">
        <f>'Musat 2006'!G37</f>
        <v>84000000.000000015</v>
      </c>
      <c r="G584" s="301">
        <f>E584</f>
        <v>84000000.000000015</v>
      </c>
      <c r="H584" s="27">
        <f>G584/D584</f>
        <v>0.14000000000000001</v>
      </c>
      <c r="I584" s="334"/>
      <c r="M584" s="27">
        <f>F584/G584</f>
        <v>0</v>
      </c>
      <c r="O584" s="304" t="s">
        <v>943</v>
      </c>
      <c r="P584" s="326"/>
      <c r="Q584" s="301" t="b">
        <v>1</v>
      </c>
      <c r="R584" s="304" t="s">
        <v>460</v>
      </c>
      <c r="S584" s="304" t="s">
        <v>141</v>
      </c>
      <c r="T584" s="304" t="s">
        <v>47</v>
      </c>
      <c r="U584" s="304" t="s">
        <v>47</v>
      </c>
      <c r="V584" s="334"/>
      <c r="W584" s="334"/>
      <c r="X584" s="334"/>
      <c r="Y584" s="334"/>
      <c r="Z584" s="334"/>
      <c r="AB584" s="334" t="s">
        <v>1739</v>
      </c>
      <c r="AC584" s="334" t="s">
        <v>1702</v>
      </c>
      <c r="AQ584" s="322">
        <v>0.5</v>
      </c>
      <c r="AR584" s="327" t="s">
        <v>162</v>
      </c>
    </row>
    <row r="585" spans="1:50">
      <c r="A585" s="277" t="s">
        <v>231</v>
      </c>
      <c r="B585" s="334" t="s">
        <v>234</v>
      </c>
      <c r="C585" s="334">
        <f>'Musat 2006'!E25</f>
        <v>0.105</v>
      </c>
      <c r="D585" s="301">
        <f>'Musat 2006'!F25</f>
        <v>1100000000</v>
      </c>
      <c r="E585" s="301">
        <f>'Musat 2006'!G25</f>
        <v>187000000</v>
      </c>
      <c r="G585" s="301">
        <f>E585</f>
        <v>187000000</v>
      </c>
      <c r="H585" s="27">
        <f>G585/D585</f>
        <v>0.17</v>
      </c>
      <c r="I585" s="334"/>
      <c r="M585" s="27">
        <f>F585/G585</f>
        <v>0</v>
      </c>
      <c r="O585" s="304" t="s">
        <v>943</v>
      </c>
      <c r="P585" s="326"/>
      <c r="Q585" s="301" t="b">
        <v>1</v>
      </c>
      <c r="R585" s="304" t="s">
        <v>460</v>
      </c>
      <c r="S585" s="304" t="s">
        <v>141</v>
      </c>
      <c r="T585" s="304" t="s">
        <v>47</v>
      </c>
      <c r="U585" s="304" t="s">
        <v>47</v>
      </c>
      <c r="V585" s="334"/>
      <c r="W585" s="334"/>
      <c r="X585" s="334"/>
      <c r="Y585" s="328"/>
      <c r="Z585" s="334"/>
      <c r="AB585" s="334" t="s">
        <v>1739</v>
      </c>
      <c r="AC585" s="334" t="s">
        <v>1702</v>
      </c>
      <c r="AQ585" s="322">
        <v>0.5</v>
      </c>
      <c r="AR585" s="327" t="s">
        <v>162</v>
      </c>
    </row>
    <row r="586" spans="1:50">
      <c r="A586" s="277" t="s">
        <v>231</v>
      </c>
      <c r="B586" s="328" t="s">
        <v>234</v>
      </c>
      <c r="C586" s="334">
        <f>'Musat 2006'!E13</f>
        <v>0.105</v>
      </c>
      <c r="D586" s="301">
        <f>'Musat 2006'!F13</f>
        <v>1100000000</v>
      </c>
      <c r="E586" s="301">
        <f>'Musat 2006'!G13</f>
        <v>286000000</v>
      </c>
      <c r="G586" s="301">
        <f>E586</f>
        <v>286000000</v>
      </c>
      <c r="H586" s="27">
        <f>G586/D586</f>
        <v>0.26</v>
      </c>
      <c r="I586" s="334"/>
      <c r="M586" s="27">
        <f>F586/G586</f>
        <v>0</v>
      </c>
      <c r="O586" s="304" t="s">
        <v>943</v>
      </c>
      <c r="P586" s="326"/>
      <c r="Q586" s="301" t="b">
        <v>1</v>
      </c>
      <c r="R586" s="304" t="s">
        <v>460</v>
      </c>
      <c r="S586" s="304" t="s">
        <v>141</v>
      </c>
      <c r="T586" s="304" t="s">
        <v>47</v>
      </c>
      <c r="U586" s="304" t="s">
        <v>47</v>
      </c>
      <c r="V586" s="334"/>
      <c r="W586" s="334"/>
      <c r="X586" s="334"/>
      <c r="Y586" s="328"/>
      <c r="Z586" s="334"/>
      <c r="AB586" s="334" t="s">
        <v>1739</v>
      </c>
      <c r="AC586" s="334" t="s">
        <v>1702</v>
      </c>
      <c r="AQ586" s="322">
        <v>0.5</v>
      </c>
      <c r="AR586" s="327" t="s">
        <v>162</v>
      </c>
    </row>
    <row r="587" spans="1:50">
      <c r="A587" s="277" t="s">
        <v>231</v>
      </c>
      <c r="B587" s="334" t="s">
        <v>234</v>
      </c>
      <c r="C587" s="334">
        <f>'Musat 2006'!E72</f>
        <v>0.105</v>
      </c>
      <c r="D587" s="301">
        <f>'Musat 2006'!F72</f>
        <v>1500000000</v>
      </c>
      <c r="E587" s="301">
        <f>'Musat 2006'!G72</f>
        <v>1080000000</v>
      </c>
      <c r="G587" s="301">
        <f>E587</f>
        <v>1080000000</v>
      </c>
      <c r="H587" s="27">
        <f>G587/D587</f>
        <v>0.72</v>
      </c>
      <c r="I587" s="334"/>
      <c r="M587" s="27">
        <f>F587/G587</f>
        <v>0</v>
      </c>
      <c r="O587" s="304" t="s">
        <v>943</v>
      </c>
      <c r="P587" s="326"/>
      <c r="Q587" s="301" t="b">
        <v>1</v>
      </c>
      <c r="R587" s="304" t="s">
        <v>460</v>
      </c>
      <c r="S587" s="304" t="s">
        <v>141</v>
      </c>
      <c r="T587" s="304" t="s">
        <v>47</v>
      </c>
      <c r="U587" s="304" t="s">
        <v>47</v>
      </c>
      <c r="V587" s="334"/>
      <c r="W587" s="334"/>
      <c r="X587" s="334"/>
      <c r="Y587" s="323"/>
      <c r="Z587" s="334"/>
      <c r="AB587" s="334" t="s">
        <v>1739</v>
      </c>
      <c r="AC587" s="334" t="s">
        <v>1702</v>
      </c>
      <c r="AQ587" s="322">
        <v>0.5</v>
      </c>
      <c r="AR587" s="327" t="s">
        <v>162</v>
      </c>
    </row>
    <row r="588" spans="1:50">
      <c r="A588" s="277" t="s">
        <v>231</v>
      </c>
      <c r="B588" s="328" t="s">
        <v>234</v>
      </c>
      <c r="C588" s="334">
        <f>'Musat 2006'!E60</f>
        <v>0.105</v>
      </c>
      <c r="D588" s="301">
        <f>'Musat 2006'!F60</f>
        <v>1600000000</v>
      </c>
      <c r="E588" s="301">
        <f>'Musat 2006'!G60</f>
        <v>1216000000</v>
      </c>
      <c r="G588" s="301">
        <f>E588</f>
        <v>1216000000</v>
      </c>
      <c r="H588" s="336">
        <f>G588/D588</f>
        <v>0.76</v>
      </c>
      <c r="I588" s="334"/>
      <c r="M588" s="27">
        <f>F588/G588</f>
        <v>0</v>
      </c>
      <c r="O588" s="304" t="s">
        <v>943</v>
      </c>
      <c r="P588" s="326"/>
      <c r="Q588" s="301" t="b">
        <v>1</v>
      </c>
      <c r="R588" s="304" t="s">
        <v>460</v>
      </c>
      <c r="S588" t="s">
        <v>141</v>
      </c>
      <c r="T588" s="304" t="s">
        <v>47</v>
      </c>
      <c r="U588" s="304" t="s">
        <v>47</v>
      </c>
      <c r="V588" s="334"/>
      <c r="W588" s="334"/>
      <c r="X588" s="334"/>
      <c r="Y588" s="334"/>
      <c r="Z588" s="334"/>
      <c r="AB588" s="334" t="s">
        <v>1739</v>
      </c>
      <c r="AC588" s="334" t="s">
        <v>1702</v>
      </c>
      <c r="AQ588" s="322">
        <v>0.5</v>
      </c>
      <c r="AR588" s="327" t="s">
        <v>162</v>
      </c>
    </row>
    <row r="589" spans="1:50">
      <c r="A589" s="277" t="s">
        <v>231</v>
      </c>
      <c r="B589" s="334" t="s">
        <v>234</v>
      </c>
      <c r="C589" s="334">
        <f>'Musat 2006'!E50</f>
        <v>0.115</v>
      </c>
      <c r="D589" s="301">
        <f>'Musat 2006'!F50</f>
        <v>500000000</v>
      </c>
      <c r="E589" s="301">
        <f>'Musat 2006'!G50</f>
        <v>280000000</v>
      </c>
      <c r="G589" s="301">
        <f>E589</f>
        <v>280000000</v>
      </c>
      <c r="H589" s="336">
        <f>G589/D589</f>
        <v>0.56000000000000005</v>
      </c>
      <c r="I589" s="334"/>
      <c r="M589" s="27">
        <f>F589/G589</f>
        <v>0</v>
      </c>
      <c r="O589" s="304" t="s">
        <v>943</v>
      </c>
      <c r="P589" s="326"/>
      <c r="Q589" s="301" t="b">
        <v>1</v>
      </c>
      <c r="R589" s="304" t="s">
        <v>460</v>
      </c>
      <c r="S589" s="304" t="s">
        <v>141</v>
      </c>
      <c r="T589" s="304" t="s">
        <v>47</v>
      </c>
      <c r="U589" s="304" t="s">
        <v>47</v>
      </c>
      <c r="V589" s="334"/>
      <c r="W589" s="334"/>
      <c r="X589" s="334"/>
      <c r="Y589" s="328"/>
      <c r="Z589" s="334"/>
      <c r="AB589" s="334" t="s">
        <v>1739</v>
      </c>
      <c r="AC589" s="334" t="s">
        <v>1702</v>
      </c>
      <c r="AQ589" s="322">
        <v>0.5</v>
      </c>
      <c r="AR589" s="323" t="s">
        <v>162</v>
      </c>
    </row>
    <row r="590" spans="1:50">
      <c r="A590" s="277" t="s">
        <v>231</v>
      </c>
      <c r="B590" s="328" t="s">
        <v>234</v>
      </c>
      <c r="C590" s="334">
        <f>'Musat 2006'!E38</f>
        <v>0.115</v>
      </c>
      <c r="D590" s="301">
        <f>'Musat 2006'!F38</f>
        <v>600000000</v>
      </c>
      <c r="E590" s="301">
        <f>'Musat 2006'!G38</f>
        <v>66000000</v>
      </c>
      <c r="G590" s="301">
        <f>E590</f>
        <v>66000000</v>
      </c>
      <c r="H590" s="336">
        <f>G590/D590</f>
        <v>0.11</v>
      </c>
      <c r="I590" s="334"/>
      <c r="M590" s="27">
        <f>F590/G590</f>
        <v>0</v>
      </c>
      <c r="O590" s="304" t="s">
        <v>943</v>
      </c>
      <c r="P590" s="326"/>
      <c r="Q590" s="301" t="b">
        <v>1</v>
      </c>
      <c r="R590" s="304" t="s">
        <v>460</v>
      </c>
      <c r="S590" s="304" t="s">
        <v>141</v>
      </c>
      <c r="T590" s="304" t="s">
        <v>47</v>
      </c>
      <c r="U590" s="304" t="s">
        <v>47</v>
      </c>
      <c r="V590" s="334"/>
      <c r="W590" s="334"/>
      <c r="X590" s="334"/>
      <c r="Y590" s="326"/>
      <c r="Z590" s="334"/>
      <c r="AB590" s="334" t="s">
        <v>1739</v>
      </c>
      <c r="AC590" s="334" t="s">
        <v>1702</v>
      </c>
      <c r="AQ590" s="322">
        <v>0.5</v>
      </c>
      <c r="AR590" s="326" t="s">
        <v>162</v>
      </c>
    </row>
    <row r="591" spans="1:50">
      <c r="A591" s="277" t="s">
        <v>231</v>
      </c>
      <c r="B591" s="327" t="s">
        <v>234</v>
      </c>
      <c r="C591" s="334">
        <f>'Musat 2006'!E61</f>
        <v>0.115</v>
      </c>
      <c r="D591" s="301">
        <f>'Musat 2006'!F61</f>
        <v>700000000</v>
      </c>
      <c r="E591" s="301">
        <f>'Musat 2006'!G61</f>
        <v>511000000</v>
      </c>
      <c r="G591" s="301">
        <f>E591</f>
        <v>511000000</v>
      </c>
      <c r="H591" s="336">
        <f>G591/D591</f>
        <v>0.73</v>
      </c>
      <c r="I591" s="334"/>
      <c r="M591" s="27">
        <f>F591/G591</f>
        <v>0</v>
      </c>
      <c r="O591" s="304" t="s">
        <v>943</v>
      </c>
      <c r="P591" s="326"/>
      <c r="Q591" s="301" t="b">
        <v>1</v>
      </c>
      <c r="R591" s="304" t="s">
        <v>460</v>
      </c>
      <c r="S591" s="304" t="s">
        <v>141</v>
      </c>
      <c r="T591" s="304" t="s">
        <v>47</v>
      </c>
      <c r="U591" s="304" t="s">
        <v>47</v>
      </c>
      <c r="V591" s="334"/>
      <c r="W591" s="334"/>
      <c r="X591" s="334"/>
      <c r="Y591" s="323"/>
      <c r="Z591" s="334"/>
      <c r="AB591" s="334" t="s">
        <v>1739</v>
      </c>
      <c r="AC591" s="334" t="s">
        <v>1702</v>
      </c>
      <c r="AQ591" s="322">
        <v>0.5</v>
      </c>
      <c r="AR591" s="326" t="s">
        <v>162</v>
      </c>
    </row>
    <row r="592" spans="1:50">
      <c r="A592" s="277" t="s">
        <v>231</v>
      </c>
      <c r="B592" s="334" t="s">
        <v>234</v>
      </c>
      <c r="C592" s="334">
        <f>'Musat 2006'!E14</f>
        <v>0.115</v>
      </c>
      <c r="D592" s="301">
        <f>'Musat 2006'!F14</f>
        <v>1200000000</v>
      </c>
      <c r="E592" s="301">
        <f>'Musat 2006'!G14</f>
        <v>192000000</v>
      </c>
      <c r="G592" s="301">
        <f>E592</f>
        <v>192000000</v>
      </c>
      <c r="H592" s="336">
        <f>G592/D592</f>
        <v>0.16</v>
      </c>
      <c r="I592" s="334"/>
      <c r="M592" s="27">
        <f>F592/G592</f>
        <v>0</v>
      </c>
      <c r="O592" s="304" t="s">
        <v>943</v>
      </c>
      <c r="P592" s="326"/>
      <c r="Q592" s="301" t="b">
        <v>1</v>
      </c>
      <c r="R592" s="304" t="s">
        <v>460</v>
      </c>
      <c r="S592" s="304" t="s">
        <v>141</v>
      </c>
      <c r="T592" s="304" t="s">
        <v>47</v>
      </c>
      <c r="U592" s="304" t="s">
        <v>47</v>
      </c>
      <c r="V592" s="334"/>
      <c r="W592" s="334"/>
      <c r="X592" s="334"/>
      <c r="Y592" s="328"/>
      <c r="Z592" s="334"/>
      <c r="AB592" s="334" t="s">
        <v>1739</v>
      </c>
      <c r="AC592" s="334" t="s">
        <v>1702</v>
      </c>
      <c r="AQ592" s="322">
        <v>0.5</v>
      </c>
      <c r="AR592" s="326" t="s">
        <v>162</v>
      </c>
    </row>
    <row r="593" spans="1:50">
      <c r="A593" s="277" t="s">
        <v>231</v>
      </c>
      <c r="B593" s="327" t="s">
        <v>234</v>
      </c>
      <c r="C593" s="334">
        <f>'Musat 2006'!E26</f>
        <v>0.115</v>
      </c>
      <c r="D593" s="301">
        <f>'Musat 2006'!F26</f>
        <v>1200000000</v>
      </c>
      <c r="E593" s="301">
        <f>'Musat 2006'!G26</f>
        <v>300000000</v>
      </c>
      <c r="G593" s="301">
        <f>E593</f>
        <v>300000000</v>
      </c>
      <c r="H593" s="336">
        <f>G593/D593</f>
        <v>0.25</v>
      </c>
      <c r="I593" s="334"/>
      <c r="M593" s="27">
        <f>F593/G593</f>
        <v>0</v>
      </c>
      <c r="O593" s="304" t="s">
        <v>943</v>
      </c>
      <c r="P593" s="326"/>
      <c r="Q593" s="301" t="b">
        <v>1</v>
      </c>
      <c r="R593" s="304" t="s">
        <v>460</v>
      </c>
      <c r="S593" s="304" t="s">
        <v>141</v>
      </c>
      <c r="T593" s="304" t="s">
        <v>47</v>
      </c>
      <c r="U593" s="304" t="s">
        <v>47</v>
      </c>
      <c r="V593" s="334"/>
      <c r="W593" s="334"/>
      <c r="X593" s="334"/>
      <c r="Y593" s="328"/>
      <c r="Z593" s="334"/>
      <c r="AB593" s="334" t="s">
        <v>1739</v>
      </c>
      <c r="AC593" s="334" t="s">
        <v>1702</v>
      </c>
      <c r="AQ593">
        <v>0.5</v>
      </c>
      <c r="AR593" s="326" t="s">
        <v>162</v>
      </c>
    </row>
    <row r="594" spans="1:50">
      <c r="A594" s="277" t="s">
        <v>231</v>
      </c>
      <c r="B594" s="327" t="s">
        <v>234</v>
      </c>
      <c r="C594" s="334">
        <f>'Musat 2006'!E73</f>
        <v>0.115</v>
      </c>
      <c r="D594" s="301">
        <f>'Musat 2006'!F73</f>
        <v>1600000000</v>
      </c>
      <c r="E594" s="301">
        <f>'Musat 2006'!G73</f>
        <v>1248000000</v>
      </c>
      <c r="G594" s="301">
        <f>E594</f>
        <v>1248000000</v>
      </c>
      <c r="H594" s="336">
        <f>G594/D594</f>
        <v>0.78</v>
      </c>
      <c r="I594" s="334"/>
      <c r="M594" s="27">
        <f>F594/G594</f>
        <v>0</v>
      </c>
      <c r="O594" s="304" t="s">
        <v>943</v>
      </c>
      <c r="P594" s="293"/>
      <c r="Q594" s="301" t="b">
        <v>1</v>
      </c>
      <c r="R594" s="304" t="s">
        <v>460</v>
      </c>
      <c r="S594" s="304" t="s">
        <v>141</v>
      </c>
      <c r="T594" s="304" t="s">
        <v>47</v>
      </c>
      <c r="U594" s="304" t="s">
        <v>47</v>
      </c>
      <c r="V594" s="334"/>
      <c r="W594" s="334"/>
      <c r="X594" s="334"/>
      <c r="Y594" s="334"/>
      <c r="Z594" s="334"/>
      <c r="AB594" s="334" t="s">
        <v>1739</v>
      </c>
      <c r="AC594" s="334" t="s">
        <v>1702</v>
      </c>
      <c r="AQ594" s="322">
        <v>0.5</v>
      </c>
      <c r="AR594" s="326" t="s">
        <v>162</v>
      </c>
    </row>
    <row r="595" spans="1:50">
      <c r="A595" s="277" t="s">
        <v>1389</v>
      </c>
      <c r="B595" s="327" t="s">
        <v>1392</v>
      </c>
      <c r="C595" s="181">
        <f>'EXD Nunoura 2006'!D5</f>
        <v>0</v>
      </c>
      <c r="H595" s="336"/>
      <c r="J595" s="301">
        <f>'EXD Nunoura 2006'!G5</f>
        <v>699403043.98588181</v>
      </c>
      <c r="L595" s="301">
        <f>'EXD Nunoura 2006'!J5</f>
        <v>1901583381.7156391</v>
      </c>
      <c r="N595" s="27">
        <f>(J595/L595)</f>
        <v>0.36780035559359442</v>
      </c>
      <c r="O595" s="304"/>
      <c r="P595" s="293">
        <v>28.2</v>
      </c>
      <c r="R595" s="304"/>
      <c r="S595" s="304"/>
      <c r="T595" s="304"/>
      <c r="U595" s="304"/>
      <c r="V595" s="334"/>
      <c r="W595" s="334"/>
      <c r="X595" s="334"/>
      <c r="Y595" s="334"/>
      <c r="Z595" s="334"/>
      <c r="AA595" s="326" t="s">
        <v>1486</v>
      </c>
      <c r="AD595" s="326" t="s">
        <v>1717</v>
      </c>
      <c r="AE595" s="326" t="s">
        <v>1725</v>
      </c>
      <c r="AF595" s="326" t="s">
        <v>1735</v>
      </c>
      <c r="AJ595" s="326" t="s">
        <v>1487</v>
      </c>
      <c r="AK595" s="326" t="s">
        <v>1488</v>
      </c>
      <c r="AL595" s="326" t="s">
        <v>1489</v>
      </c>
      <c r="AQ595" s="322">
        <v>2525</v>
      </c>
      <c r="AR595" s="326" t="s">
        <v>1463</v>
      </c>
      <c r="AV595" s="326" t="b">
        <v>1</v>
      </c>
      <c r="AW595" t="b">
        <v>1</v>
      </c>
      <c r="AX595" t="b">
        <v>1</v>
      </c>
    </row>
    <row r="596" spans="1:50">
      <c r="A596" s="277" t="s">
        <v>1389</v>
      </c>
      <c r="B596" s="327" t="s">
        <v>1392</v>
      </c>
      <c r="C596" s="181">
        <f>'EXD Nunoura 2006'!D6</f>
        <v>4.9180327868852458E-2</v>
      </c>
      <c r="H596" s="336"/>
      <c r="J596" s="301">
        <f>'EXD Nunoura 2006'!G6</f>
        <v>876627515.95638514</v>
      </c>
      <c r="L596" s="301">
        <f>'EXD Nunoura 2006'!J6</f>
        <v>3398917157.880959</v>
      </c>
      <c r="N596" s="27">
        <f>(J596/L596)</f>
        <v>0.25791376348310735</v>
      </c>
      <c r="O596" s="304"/>
      <c r="P596" s="293"/>
      <c r="R596" s="304"/>
      <c r="S596" s="304"/>
      <c r="T596" s="304"/>
      <c r="U596" s="304"/>
      <c r="V596" s="334"/>
      <c r="W596" s="334"/>
      <c r="X596" s="334"/>
      <c r="Y596" s="334"/>
      <c r="Z596" s="334"/>
      <c r="AA596" s="326" t="s">
        <v>1486</v>
      </c>
      <c r="AD596" s="326" t="s">
        <v>1717</v>
      </c>
      <c r="AE596" s="326" t="s">
        <v>1725</v>
      </c>
      <c r="AF596" s="326" t="s">
        <v>1735</v>
      </c>
      <c r="AJ596" s="326" t="s">
        <v>1487</v>
      </c>
      <c r="AK596" s="326" t="s">
        <v>1488</v>
      </c>
      <c r="AL596" s="326" t="s">
        <v>1489</v>
      </c>
      <c r="AQ596" s="322">
        <v>2525</v>
      </c>
      <c r="AR596" s="326" t="s">
        <v>1463</v>
      </c>
      <c r="AV596" s="326" t="b">
        <v>1</v>
      </c>
      <c r="AW596" t="b">
        <v>1</v>
      </c>
      <c r="AX596" t="b">
        <v>1</v>
      </c>
    </row>
    <row r="597" spans="1:50">
      <c r="A597" s="277" t="s">
        <v>1388</v>
      </c>
      <c r="B597" s="327" t="s">
        <v>1391</v>
      </c>
      <c r="C597" s="181">
        <f>'EXD Nunoura 2006'!D7</f>
        <v>0.1004098360655738</v>
      </c>
      <c r="H597" s="336"/>
      <c r="J597" s="301">
        <f>'EXD Nunoura 2006'!G7</f>
        <v>997390309.09879589</v>
      </c>
      <c r="L597" s="301">
        <f>'EXD Nunoura 2006'!J7</f>
        <v>3510371589.8182797</v>
      </c>
      <c r="N597" s="27">
        <f>(J597/L597)</f>
        <v>0.28412670384858812</v>
      </c>
      <c r="O597" s="304"/>
      <c r="P597" s="293"/>
      <c r="R597" s="304"/>
      <c r="S597" s="304"/>
      <c r="T597" s="304"/>
      <c r="U597" s="304"/>
      <c r="V597" s="334"/>
      <c r="W597" s="334"/>
      <c r="X597" s="334"/>
      <c r="Y597" s="334"/>
      <c r="Z597" s="334"/>
      <c r="AA597" s="326" t="s">
        <v>1486</v>
      </c>
      <c r="AD597" s="326" t="s">
        <v>1717</v>
      </c>
      <c r="AE597" s="326" t="s">
        <v>1725</v>
      </c>
      <c r="AF597" s="326" t="s">
        <v>1735</v>
      </c>
      <c r="AJ597" s="326" t="s">
        <v>1487</v>
      </c>
      <c r="AK597" s="326" t="s">
        <v>1488</v>
      </c>
      <c r="AL597" s="326" t="s">
        <v>1489</v>
      </c>
      <c r="AQ597" s="322">
        <v>2525</v>
      </c>
      <c r="AR597" s="326" t="s">
        <v>1463</v>
      </c>
      <c r="AV597" s="326" t="b">
        <v>1</v>
      </c>
      <c r="AW597" t="b">
        <v>1</v>
      </c>
      <c r="AX597" t="b">
        <v>1</v>
      </c>
    </row>
    <row r="598" spans="1:50">
      <c r="A598" s="277" t="s">
        <v>1388</v>
      </c>
      <c r="B598" s="334" t="s">
        <v>1391</v>
      </c>
      <c r="C598" s="181">
        <f>'EXD Nunoura 2006'!D8</f>
        <v>0.14959016393442626</v>
      </c>
      <c r="H598" s="336"/>
      <c r="J598" s="301">
        <f>'EXD Nunoura 2006'!G8</f>
        <v>1291115919.0008159</v>
      </c>
      <c r="L598" s="301">
        <f>'EXD Nunoura 2006'!J8</f>
        <v>5005998522.7790403</v>
      </c>
      <c r="N598" s="27">
        <f>(J598/L598)</f>
        <v>0.25791376348310691</v>
      </c>
      <c r="O598" s="304"/>
      <c r="P598" s="293"/>
      <c r="R598" s="304"/>
      <c r="S598" s="304"/>
      <c r="T598" s="304"/>
      <c r="U598" s="304"/>
      <c r="V598" s="334"/>
      <c r="W598" s="334"/>
      <c r="X598" s="334"/>
      <c r="Y598" s="334"/>
      <c r="Z598" s="334"/>
      <c r="AA598" s="326" t="s">
        <v>1486</v>
      </c>
      <c r="AD598" s="326" t="s">
        <v>1717</v>
      </c>
      <c r="AE598" s="326" t="s">
        <v>1725</v>
      </c>
      <c r="AF598" s="326" t="s">
        <v>1735</v>
      </c>
      <c r="AJ598" s="326" t="s">
        <v>1487</v>
      </c>
      <c r="AK598" s="326" t="s">
        <v>1488</v>
      </c>
      <c r="AL598" s="326" t="s">
        <v>1489</v>
      </c>
      <c r="AQ598" s="322">
        <v>2525</v>
      </c>
      <c r="AR598" s="326" t="s">
        <v>1463</v>
      </c>
      <c r="AV598" s="326" t="b">
        <v>1</v>
      </c>
      <c r="AW598" t="b">
        <v>1</v>
      </c>
      <c r="AX598" t="b">
        <v>1</v>
      </c>
    </row>
    <row r="599" spans="1:50">
      <c r="A599" s="277" t="s">
        <v>1388</v>
      </c>
      <c r="B599" s="327" t="s">
        <v>1391</v>
      </c>
      <c r="C599" s="181">
        <f>'EXD Nunoura 2006'!D9</f>
        <v>0.19877049180327866</v>
      </c>
      <c r="H599" s="336"/>
      <c r="J599" s="301">
        <f>'EXD Nunoura 2006'!G9</f>
        <v>4124921123.0519786</v>
      </c>
      <c r="L599" s="301">
        <f>'EXD Nunoura 2006'!J9</f>
        <v>10859028979.285723</v>
      </c>
      <c r="N599" s="27">
        <f>(J599/L599)</f>
        <v>0.37986095542433157</v>
      </c>
      <c r="O599" s="304"/>
      <c r="P599" s="293"/>
      <c r="R599" s="304"/>
      <c r="S599" s="304"/>
      <c r="T599" s="304"/>
      <c r="U599" s="304"/>
      <c r="V599" s="334"/>
      <c r="W599" s="334"/>
      <c r="X599" s="334"/>
      <c r="Y599" s="334"/>
      <c r="Z599" s="334"/>
      <c r="AA599" s="326" t="s">
        <v>1486</v>
      </c>
      <c r="AD599" s="326" t="s">
        <v>1717</v>
      </c>
      <c r="AE599" s="326" t="s">
        <v>1725</v>
      </c>
      <c r="AF599" s="326" t="s">
        <v>1735</v>
      </c>
      <c r="AJ599" s="326" t="s">
        <v>1487</v>
      </c>
      <c r="AK599" s="326" t="s">
        <v>1488</v>
      </c>
      <c r="AL599" s="326" t="s">
        <v>1489</v>
      </c>
      <c r="AQ599" s="322">
        <v>2525</v>
      </c>
      <c r="AR599" s="326" t="s">
        <v>1463</v>
      </c>
      <c r="AV599" s="326" t="b">
        <v>1</v>
      </c>
      <c r="AW599" t="b">
        <v>1</v>
      </c>
      <c r="AX599" t="b">
        <v>1</v>
      </c>
    </row>
    <row r="600" spans="1:50">
      <c r="A600" s="277" t="s">
        <v>1388</v>
      </c>
      <c r="B600" s="326" t="s">
        <v>1391</v>
      </c>
      <c r="C600" s="181">
        <f>'EXD Nunoura 2006'!D10</f>
        <v>0.24897540983606559</v>
      </c>
      <c r="H600" s="336"/>
      <c r="J600" s="301">
        <f>'EXD Nunoura 2006'!G10</f>
        <v>3744364456.0922441</v>
      </c>
      <c r="L600" s="301">
        <f>'EXD Nunoura 2006'!J10</f>
        <v>11582865544.96015</v>
      </c>
      <c r="N600" s="27">
        <f>(J600/L600)</f>
        <v>0.32326754045085709</v>
      </c>
      <c r="O600" s="304"/>
      <c r="P600" s="293">
        <v>20.2</v>
      </c>
      <c r="R600" s="304"/>
      <c r="S600" s="304"/>
      <c r="T600" s="304"/>
      <c r="U600" s="304"/>
      <c r="V600" s="334"/>
      <c r="W600" s="334"/>
      <c r="X600" s="334"/>
      <c r="Y600" s="334"/>
      <c r="Z600" s="334"/>
      <c r="AA600" s="326" t="s">
        <v>1486</v>
      </c>
      <c r="AD600" s="326" t="s">
        <v>1717</v>
      </c>
      <c r="AE600" s="326" t="s">
        <v>1725</v>
      </c>
      <c r="AF600" s="326" t="s">
        <v>1735</v>
      </c>
      <c r="AJ600" s="326" t="s">
        <v>1487</v>
      </c>
      <c r="AK600" s="326" t="s">
        <v>1488</v>
      </c>
      <c r="AL600" s="326" t="s">
        <v>1489</v>
      </c>
      <c r="AQ600" s="322">
        <v>2525</v>
      </c>
      <c r="AR600" s="326" t="s">
        <v>1463</v>
      </c>
      <c r="AV600" s="326" t="b">
        <v>1</v>
      </c>
      <c r="AW600" t="b">
        <v>1</v>
      </c>
      <c r="AX600" t="b">
        <v>1</v>
      </c>
    </row>
    <row r="601" spans="1:50">
      <c r="A601" s="277" t="s">
        <v>1371</v>
      </c>
      <c r="B601" s="334" t="s">
        <v>1608</v>
      </c>
      <c r="C601" s="334">
        <f>'EXD Nunoura 2008'!L6</f>
        <v>0</v>
      </c>
      <c r="H601" s="336"/>
      <c r="J601" s="301">
        <f>'EXD Nunoura 2008'!N6</f>
        <v>35382.18675719975</v>
      </c>
      <c r="L601" s="301">
        <f>'EXD Nunoura 2008'!R6</f>
        <v>22986049.306914102</v>
      </c>
      <c r="N601" s="27">
        <f>(J601/L601)</f>
        <v>1.5392896049586454E-3</v>
      </c>
      <c r="O601" s="304"/>
      <c r="P601" s="326">
        <f>'EXD Nunoura 2008'!T6</f>
        <v>30.5</v>
      </c>
      <c r="R601" s="304"/>
      <c r="S601" s="304"/>
      <c r="T601" s="304"/>
      <c r="U601" s="304"/>
      <c r="V601" s="334"/>
      <c r="W601" s="334"/>
      <c r="X601" s="334"/>
      <c r="Y601" s="334"/>
      <c r="Z601" s="334"/>
      <c r="AA601" s="326" t="s">
        <v>1486</v>
      </c>
      <c r="AD601" s="326" t="s">
        <v>1717</v>
      </c>
      <c r="AE601" s="326" t="s">
        <v>1725</v>
      </c>
      <c r="AF601" s="326" t="s">
        <v>1735</v>
      </c>
      <c r="AJ601" s="326" t="s">
        <v>1487</v>
      </c>
      <c r="AK601" s="326" t="s">
        <v>1488</v>
      </c>
      <c r="AL601" s="326" t="s">
        <v>1489</v>
      </c>
      <c r="AQ601" s="322">
        <v>890</v>
      </c>
      <c r="AR601" s="326" t="s">
        <v>1463</v>
      </c>
      <c r="AV601" s="326" t="b">
        <v>1</v>
      </c>
      <c r="AW601" t="b">
        <v>1</v>
      </c>
      <c r="AX601" t="b">
        <v>1</v>
      </c>
    </row>
    <row r="602" spans="1:50">
      <c r="A602" s="277" t="s">
        <v>1371</v>
      </c>
      <c r="B602" s="334" t="s">
        <v>1608</v>
      </c>
      <c r="C602" s="334">
        <f>'EXD Nunoura 2008'!L7</f>
        <v>8.2191780821917817</v>
      </c>
      <c r="H602" s="336"/>
      <c r="J602" s="301">
        <f>'EXD Nunoura 2008'!N7</f>
        <v>8499.6798199318309</v>
      </c>
      <c r="L602" s="301">
        <f>'EXD Nunoura 2008'!R7</f>
        <v>20759780.39630032</v>
      </c>
      <c r="N602" s="27">
        <f>(J602/L602)</f>
        <v>4.0943014124786173E-4</v>
      </c>
      <c r="O602" s="304"/>
      <c r="P602" s="326">
        <f>'EXD Nunoura 2008'!T7</f>
        <v>0</v>
      </c>
      <c r="R602" s="304"/>
      <c r="S602" s="304"/>
      <c r="T602" s="304"/>
      <c r="U602" s="304"/>
      <c r="V602" s="334"/>
      <c r="W602" s="334"/>
      <c r="X602" s="334"/>
      <c r="Y602" s="334"/>
      <c r="Z602" s="334"/>
      <c r="AA602" s="326" t="s">
        <v>1486</v>
      </c>
      <c r="AD602" s="326" t="s">
        <v>1717</v>
      </c>
      <c r="AE602" s="326" t="s">
        <v>1725</v>
      </c>
      <c r="AF602" s="326" t="s">
        <v>1735</v>
      </c>
      <c r="AJ602" s="326" t="s">
        <v>1487</v>
      </c>
      <c r="AK602" s="326" t="s">
        <v>1488</v>
      </c>
      <c r="AL602" s="326" t="s">
        <v>1489</v>
      </c>
      <c r="AQ602" s="322">
        <v>890</v>
      </c>
      <c r="AR602" s="326" t="s">
        <v>1463</v>
      </c>
      <c r="AV602" s="326" t="b">
        <v>1</v>
      </c>
      <c r="AW602" t="b">
        <v>1</v>
      </c>
      <c r="AX602" t="b">
        <v>1</v>
      </c>
    </row>
    <row r="603" spans="1:50">
      <c r="A603" s="277" t="s">
        <v>1371</v>
      </c>
      <c r="B603" s="334" t="s">
        <v>1607</v>
      </c>
      <c r="C603" s="334">
        <f>'EXD Nunoura 2008'!L8</f>
        <v>16.438356164383563</v>
      </c>
      <c r="H603" s="336"/>
      <c r="J603" s="301">
        <f>'EXD Nunoura 2008'!N8</f>
        <v>3068.9285511538874</v>
      </c>
      <c r="L603" s="301">
        <f>'EXD Nunoura 2008'!R8</f>
        <v>11266091.700614709</v>
      </c>
      <c r="N603" s="27">
        <f>(J603/L603)</f>
        <v>2.7240400954542539E-4</v>
      </c>
      <c r="O603" s="304"/>
      <c r="P603" s="303">
        <f>'EXD Nunoura 2008'!T8</f>
        <v>0</v>
      </c>
      <c r="R603" s="304"/>
      <c r="S603" s="304"/>
      <c r="T603" s="304"/>
      <c r="U603" s="304"/>
      <c r="V603" s="334"/>
      <c r="W603" s="334"/>
      <c r="X603" s="334"/>
      <c r="Y603" s="334"/>
      <c r="Z603" s="334"/>
      <c r="AA603" s="326" t="s">
        <v>1486</v>
      </c>
      <c r="AD603" s="326" t="s">
        <v>1717</v>
      </c>
      <c r="AE603" s="326" t="s">
        <v>1725</v>
      </c>
      <c r="AF603" s="326" t="s">
        <v>1735</v>
      </c>
      <c r="AJ603" s="326" t="s">
        <v>1487</v>
      </c>
      <c r="AK603" s="326" t="s">
        <v>1488</v>
      </c>
      <c r="AL603" s="326" t="s">
        <v>1489</v>
      </c>
      <c r="AQ603" s="322">
        <v>890</v>
      </c>
      <c r="AR603" s="326" t="s">
        <v>1463</v>
      </c>
      <c r="AV603" s="326" t="b">
        <v>1</v>
      </c>
      <c r="AW603" t="b">
        <v>1</v>
      </c>
      <c r="AX603" t="b">
        <v>1</v>
      </c>
    </row>
    <row r="604" spans="1:50">
      <c r="A604" s="277" t="s">
        <v>1371</v>
      </c>
      <c r="B604" s="334" t="s">
        <v>1607</v>
      </c>
      <c r="C604" s="334">
        <f>'EXD Nunoura 2008'!L9</f>
        <v>28.767123287671232</v>
      </c>
      <c r="H604" s="336"/>
      <c r="L604" s="301">
        <f>'EXD Nunoura 2008'!R9</f>
        <v>977181.84342857054</v>
      </c>
      <c r="N604" s="27">
        <f>(J604/L604)</f>
        <v>0</v>
      </c>
      <c r="O604" s="304"/>
      <c r="P604" s="303">
        <f>'EXD Nunoura 2008'!T9</f>
        <v>0</v>
      </c>
      <c r="R604" s="304"/>
      <c r="S604" s="304"/>
      <c r="T604" s="304"/>
      <c r="U604" s="304"/>
      <c r="V604" s="334"/>
      <c r="W604" s="334"/>
      <c r="X604" s="334"/>
      <c r="Y604" s="334"/>
      <c r="Z604" s="334"/>
      <c r="AA604" s="326" t="s">
        <v>1486</v>
      </c>
      <c r="AD604" s="326" t="s">
        <v>1717</v>
      </c>
      <c r="AE604" s="326" t="s">
        <v>1725</v>
      </c>
      <c r="AF604" s="326" t="s">
        <v>1735</v>
      </c>
      <c r="AJ604" s="326" t="s">
        <v>1487</v>
      </c>
      <c r="AK604" s="326" t="s">
        <v>1488</v>
      </c>
      <c r="AL604" s="326" t="s">
        <v>1489</v>
      </c>
      <c r="AQ604" s="322">
        <v>890</v>
      </c>
      <c r="AR604" s="326" t="s">
        <v>1463</v>
      </c>
      <c r="AV604" s="326" t="b">
        <v>1</v>
      </c>
      <c r="AW604" t="b">
        <v>1</v>
      </c>
      <c r="AX604" t="b">
        <v>1</v>
      </c>
    </row>
    <row r="605" spans="1:50">
      <c r="A605" s="277" t="s">
        <v>1371</v>
      </c>
      <c r="B605" s="327" t="s">
        <v>1607</v>
      </c>
      <c r="C605" s="334">
        <f>'EXD Nunoura 2008'!L10</f>
        <v>119.17808219178083</v>
      </c>
      <c r="H605" s="336"/>
      <c r="L605" s="301">
        <f>'EXD Nunoura 2008'!R10</f>
        <v>587174.91635627847</v>
      </c>
      <c r="N605" s="27">
        <f>(J605/L605)</f>
        <v>0</v>
      </c>
      <c r="O605" s="304"/>
      <c r="P605" s="328">
        <f>'EXD Nunoura 2008'!T10</f>
        <v>0</v>
      </c>
      <c r="R605" s="304"/>
      <c r="S605" s="304"/>
      <c r="T605" s="304"/>
      <c r="U605" s="304"/>
      <c r="V605" s="334"/>
      <c r="W605" s="334"/>
      <c r="X605" s="334"/>
      <c r="Y605" s="334"/>
      <c r="Z605" s="334"/>
      <c r="AA605" s="326" t="s">
        <v>1486</v>
      </c>
      <c r="AD605" s="326" t="s">
        <v>1717</v>
      </c>
      <c r="AE605" s="326" t="s">
        <v>1725</v>
      </c>
      <c r="AF605" s="326" t="s">
        <v>1735</v>
      </c>
      <c r="AJ605" s="326" t="s">
        <v>1487</v>
      </c>
      <c r="AK605" s="326" t="s">
        <v>1488</v>
      </c>
      <c r="AL605" s="326" t="s">
        <v>1489</v>
      </c>
      <c r="AQ605" s="322">
        <v>890</v>
      </c>
      <c r="AR605" s="326" t="s">
        <v>1463</v>
      </c>
      <c r="AV605" s="326" t="b">
        <v>1</v>
      </c>
      <c r="AW605" t="b">
        <v>1</v>
      </c>
      <c r="AX605" t="b">
        <v>1</v>
      </c>
    </row>
    <row r="606" spans="1:50">
      <c r="A606" s="277" t="s">
        <v>1384</v>
      </c>
      <c r="B606" s="334" t="s">
        <v>1610</v>
      </c>
      <c r="C606" s="334">
        <f>'EXD Nunoura 2008'!B6</f>
        <v>3.6697247706422016</v>
      </c>
      <c r="H606" s="336"/>
      <c r="J606" s="301">
        <f>'EXD Nunoura 2008'!E6</f>
        <v>18665976.636594739</v>
      </c>
      <c r="L606" s="301">
        <f>'EXD Nunoura 2008'!G6</f>
        <v>43542748.123105288</v>
      </c>
      <c r="N606" s="27">
        <f>(J606/L606)</f>
        <v>0.42868163910605189</v>
      </c>
      <c r="O606" s="304"/>
      <c r="P606" s="328">
        <f>'EXD Nunoura 2008'!I6</f>
        <v>6.2</v>
      </c>
      <c r="R606" s="304"/>
      <c r="S606" s="304"/>
      <c r="T606" s="304"/>
      <c r="U606" s="304"/>
      <c r="V606" s="334"/>
      <c r="W606" s="334"/>
      <c r="X606" s="334"/>
      <c r="Y606" s="334"/>
      <c r="Z606" s="334"/>
      <c r="AA606" s="326" t="s">
        <v>1486</v>
      </c>
      <c r="AD606" s="326" t="s">
        <v>1717</v>
      </c>
      <c r="AE606" s="326" t="s">
        <v>1725</v>
      </c>
      <c r="AF606" s="326" t="s">
        <v>1735</v>
      </c>
      <c r="AJ606" s="326" t="s">
        <v>1487</v>
      </c>
      <c r="AK606" s="326" t="s">
        <v>1488</v>
      </c>
      <c r="AL606" s="326" t="s">
        <v>1489</v>
      </c>
      <c r="AQ606" s="322">
        <v>890</v>
      </c>
      <c r="AR606" s="326" t="s">
        <v>1463</v>
      </c>
      <c r="AV606" s="326" t="b">
        <v>1</v>
      </c>
      <c r="AW606" t="b">
        <v>1</v>
      </c>
      <c r="AX606" t="b">
        <v>1</v>
      </c>
    </row>
    <row r="607" spans="1:50">
      <c r="A607" s="277" t="s">
        <v>1384</v>
      </c>
      <c r="B607" s="334" t="s">
        <v>1610</v>
      </c>
      <c r="C607" s="334">
        <f>'EXD Nunoura 2008'!B7</f>
        <v>18.348623853211009</v>
      </c>
      <c r="H607" s="336"/>
      <c r="J607" s="301">
        <f>'EXD Nunoura 2008'!E7</f>
        <v>13792671.984204592</v>
      </c>
      <c r="L607" s="301">
        <f>'EXD Nunoura 2008'!G7</f>
        <v>35588877.918284237</v>
      </c>
      <c r="N607" s="27">
        <f>(J607/L607)</f>
        <v>0.38755568568005994</v>
      </c>
      <c r="O607" s="304"/>
      <c r="P607" s="299">
        <f>'EXD Nunoura 2008'!I7</f>
        <v>0</v>
      </c>
      <c r="V607" s="334"/>
      <c r="W607" s="334"/>
      <c r="X607" s="334"/>
      <c r="Y607" s="334"/>
      <c r="Z607" s="334"/>
      <c r="AA607" s="326" t="s">
        <v>1486</v>
      </c>
      <c r="AD607" s="326" t="s">
        <v>1717</v>
      </c>
      <c r="AE607" s="326" t="s">
        <v>1725</v>
      </c>
      <c r="AF607" s="326" t="s">
        <v>1735</v>
      </c>
      <c r="AJ607" s="326" t="s">
        <v>1487</v>
      </c>
      <c r="AK607" s="326" t="s">
        <v>1488</v>
      </c>
      <c r="AL607" s="326" t="s">
        <v>1489</v>
      </c>
      <c r="AQ607" s="322">
        <v>890</v>
      </c>
      <c r="AR607" s="326" t="s">
        <v>1463</v>
      </c>
      <c r="AV607" s="326" t="b">
        <v>1</v>
      </c>
      <c r="AW607" t="b">
        <v>1</v>
      </c>
      <c r="AX607" t="b">
        <v>1</v>
      </c>
    </row>
    <row r="608" spans="1:50">
      <c r="A608" s="277" t="s">
        <v>1371</v>
      </c>
      <c r="B608" s="328" t="s">
        <v>1609</v>
      </c>
      <c r="C608" s="334">
        <f>'EXD Nunoura 2008'!B8</f>
        <v>36.697247706422019</v>
      </c>
      <c r="H608" s="336"/>
      <c r="J608" s="301">
        <f>'EXD Nunoura 2008'!E8</f>
        <v>7530846.3719373392</v>
      </c>
      <c r="L608" s="301">
        <f>'EXD Nunoura 2008'!G8</f>
        <v>23774490.330995761</v>
      </c>
      <c r="N608" s="27">
        <f>(J608/L608)</f>
        <v>0.31676163261927309</v>
      </c>
      <c r="O608" s="304"/>
      <c r="P608" s="299">
        <f>'EXD Nunoura 2008'!I8</f>
        <v>0</v>
      </c>
      <c r="R608" s="304"/>
      <c r="V608" s="334"/>
      <c r="W608" s="334"/>
      <c r="X608" s="334"/>
      <c r="Y608" s="334"/>
      <c r="Z608" s="334"/>
      <c r="AA608" s="326" t="s">
        <v>1486</v>
      </c>
      <c r="AD608" s="326" t="s">
        <v>1717</v>
      </c>
      <c r="AE608" s="326" t="s">
        <v>1725</v>
      </c>
      <c r="AF608" s="326" t="s">
        <v>1735</v>
      </c>
      <c r="AJ608" s="326" t="s">
        <v>1487</v>
      </c>
      <c r="AK608" s="326" t="s">
        <v>1488</v>
      </c>
      <c r="AL608" s="326" t="s">
        <v>1489</v>
      </c>
      <c r="AQ608">
        <v>890</v>
      </c>
      <c r="AR608" s="326" t="s">
        <v>1463</v>
      </c>
      <c r="AV608" s="326" t="b">
        <v>1</v>
      </c>
      <c r="AW608" t="b">
        <v>1</v>
      </c>
      <c r="AX608" t="b">
        <v>1</v>
      </c>
    </row>
    <row r="609" spans="1:50">
      <c r="A609" s="277" t="s">
        <v>1371</v>
      </c>
      <c r="B609" s="327" t="s">
        <v>1609</v>
      </c>
      <c r="C609" s="334">
        <f>'EXD Nunoura 2008'!B9</f>
        <v>58.715596330275226</v>
      </c>
      <c r="H609" s="336"/>
      <c r="J609" s="301">
        <f>'EXD Nunoura 2008'!E9</f>
        <v>547045.90181566495</v>
      </c>
      <c r="L609" s="301">
        <f>'EXD Nunoura 2008'!G9</f>
        <v>10609747.680157378</v>
      </c>
      <c r="N609" s="27">
        <f>(J609/L609)</f>
        <v>5.1560689123527813E-2</v>
      </c>
      <c r="O609" s="304"/>
      <c r="P609" s="303">
        <f>'EXD Nunoura 2008'!I9</f>
        <v>0</v>
      </c>
      <c r="R609" s="304"/>
      <c r="V609" s="334"/>
      <c r="W609" s="334"/>
      <c r="X609" s="334"/>
      <c r="Y609" s="334"/>
      <c r="Z609" s="334"/>
      <c r="AA609" s="326" t="s">
        <v>1486</v>
      </c>
      <c r="AD609" s="326" t="s">
        <v>1717</v>
      </c>
      <c r="AE609" s="326" t="s">
        <v>1725</v>
      </c>
      <c r="AF609" s="326" t="s">
        <v>1735</v>
      </c>
      <c r="AJ609" s="326" t="s">
        <v>1487</v>
      </c>
      <c r="AK609" s="326" t="s">
        <v>1488</v>
      </c>
      <c r="AL609" s="326" t="s">
        <v>1489</v>
      </c>
      <c r="AQ609" s="322">
        <v>890</v>
      </c>
      <c r="AR609" s="326" t="s">
        <v>1463</v>
      </c>
      <c r="AV609" s="326" t="b">
        <v>1</v>
      </c>
      <c r="AW609" t="b">
        <v>1</v>
      </c>
      <c r="AX609" t="b">
        <v>1</v>
      </c>
    </row>
    <row r="610" spans="1:50">
      <c r="A610" s="277" t="s">
        <v>1371</v>
      </c>
      <c r="B610" s="328" t="s">
        <v>1609</v>
      </c>
      <c r="C610" s="334">
        <f>'EXD Nunoura 2008'!B10</f>
        <v>73.394495412844037</v>
      </c>
      <c r="J610" s="301">
        <f>'EXD Nunoura 2008'!E10</f>
        <v>447118.07716804824</v>
      </c>
      <c r="L610" s="301">
        <f>'EXD Nunoura 2008'!G10</f>
        <v>5792958.7476441069</v>
      </c>
      <c r="N610" s="27">
        <f>(J610/L610)</f>
        <v>7.7183024538174591E-2</v>
      </c>
      <c r="O610" s="304"/>
      <c r="P610" s="303">
        <f>'EXD Nunoura 2008'!I10</f>
        <v>0</v>
      </c>
      <c r="R610" s="304"/>
      <c r="S610" s="304"/>
      <c r="T610" s="304"/>
      <c r="U610" s="304"/>
      <c r="V610" s="334"/>
      <c r="W610" s="334"/>
      <c r="X610" s="334"/>
      <c r="Y610" s="334"/>
      <c r="Z610" s="334"/>
      <c r="AA610" s="326" t="s">
        <v>1486</v>
      </c>
      <c r="AD610" s="326" t="s">
        <v>1717</v>
      </c>
      <c r="AE610" s="326" t="s">
        <v>1725</v>
      </c>
      <c r="AF610" s="326" t="s">
        <v>1735</v>
      </c>
      <c r="AJ610" s="326" t="s">
        <v>1487</v>
      </c>
      <c r="AK610" s="326" t="s">
        <v>1488</v>
      </c>
      <c r="AL610" s="326" t="s">
        <v>1489</v>
      </c>
      <c r="AQ610" s="322">
        <v>890</v>
      </c>
      <c r="AR610" s="326" t="s">
        <v>1463</v>
      </c>
      <c r="AV610" s="326" t="b">
        <v>1</v>
      </c>
      <c r="AW610" t="b">
        <v>1</v>
      </c>
      <c r="AX610" t="b">
        <v>1</v>
      </c>
    </row>
    <row r="611" spans="1:50">
      <c r="A611" s="277" t="s">
        <v>1371</v>
      </c>
      <c r="B611" s="334" t="s">
        <v>1609</v>
      </c>
      <c r="C611" s="334">
        <f>'EXD Nunoura 2008'!B11</f>
        <v>91.743119266055047</v>
      </c>
      <c r="J611" s="301">
        <f>'EXD Nunoura 2008'!E11</f>
        <v>35925.513102624813</v>
      </c>
      <c r="L611" s="301">
        <f>'EXD Nunoura 2008'!G11</f>
        <v>10609747.680157378</v>
      </c>
      <c r="N611" s="27">
        <f>(J611/L611)</f>
        <v>3.3860855305554182E-3</v>
      </c>
      <c r="O611" s="304"/>
      <c r="P611" s="293">
        <f>'EXD Nunoura 2008'!I11</f>
        <v>0</v>
      </c>
      <c r="R611" s="304"/>
      <c r="S611" s="304"/>
      <c r="T611" s="304"/>
      <c r="U611" s="304"/>
      <c r="V611" s="334"/>
      <c r="W611" s="334"/>
      <c r="X611" s="334"/>
      <c r="Y611" s="334"/>
      <c r="Z611" s="334"/>
      <c r="AA611" s="326" t="s">
        <v>1486</v>
      </c>
      <c r="AD611" s="326" t="s">
        <v>1717</v>
      </c>
      <c r="AE611" s="326" t="s">
        <v>1725</v>
      </c>
      <c r="AF611" s="326" t="s">
        <v>1735</v>
      </c>
      <c r="AJ611" s="326" t="s">
        <v>1487</v>
      </c>
      <c r="AK611" s="326" t="s">
        <v>1488</v>
      </c>
      <c r="AL611" s="326" t="s">
        <v>1489</v>
      </c>
      <c r="AQ611" s="322">
        <v>890</v>
      </c>
      <c r="AR611" s="326" t="s">
        <v>1463</v>
      </c>
      <c r="AV611" s="326" t="b">
        <v>1</v>
      </c>
      <c r="AW611" t="b">
        <v>1</v>
      </c>
      <c r="AX611" t="b">
        <v>1</v>
      </c>
    </row>
    <row r="612" spans="1:50">
      <c r="A612" s="277" t="s">
        <v>1371</v>
      </c>
      <c r="B612" s="334" t="s">
        <v>1609</v>
      </c>
      <c r="C612" s="334">
        <f>'EXD Nunoura 2008'!B12</f>
        <v>110.09174311926606</v>
      </c>
      <c r="J612" s="301">
        <f>'EXD Nunoura 2008'!E12</f>
        <v>140.07500000000002</v>
      </c>
      <c r="L612" s="301">
        <f>'EXD Nunoura 2008'!G12</f>
        <v>5792958.7476441069</v>
      </c>
      <c r="N612" s="27">
        <f>(J612/L612)</f>
        <v>2.4180217070761298E-5</v>
      </c>
      <c r="O612" s="304"/>
      <c r="P612" s="303">
        <f>'EXD Nunoura 2008'!I12</f>
        <v>0</v>
      </c>
      <c r="R612" s="304"/>
      <c r="S612" s="304"/>
      <c r="T612" s="304"/>
      <c r="U612" s="304"/>
      <c r="V612" s="334"/>
      <c r="W612" s="334"/>
      <c r="X612" s="334"/>
      <c r="Y612" s="334"/>
      <c r="Z612" s="334"/>
      <c r="AA612" s="326" t="s">
        <v>1486</v>
      </c>
      <c r="AD612" s="326" t="s">
        <v>1717</v>
      </c>
      <c r="AE612" s="326" t="s">
        <v>1725</v>
      </c>
      <c r="AF612" s="326" t="s">
        <v>1735</v>
      </c>
      <c r="AJ612" s="326" t="s">
        <v>1487</v>
      </c>
      <c r="AK612" s="326" t="s">
        <v>1488</v>
      </c>
      <c r="AL612" s="326" t="s">
        <v>1489</v>
      </c>
      <c r="AQ612" s="322">
        <v>890</v>
      </c>
      <c r="AR612" s="326" t="s">
        <v>1463</v>
      </c>
      <c r="AV612" s="326" t="b">
        <v>1</v>
      </c>
      <c r="AW612" t="b">
        <v>1</v>
      </c>
      <c r="AX612" t="b">
        <v>1</v>
      </c>
    </row>
    <row r="613" spans="1:50">
      <c r="A613" s="277" t="s">
        <v>1371</v>
      </c>
      <c r="B613" s="327" t="s">
        <v>1609</v>
      </c>
      <c r="C613" s="334">
        <f>'EXD Nunoura 2008'!B13</f>
        <v>124.77064220183486</v>
      </c>
      <c r="J613" s="301">
        <f>'EXD Nunoura 2008'!E13</f>
        <v>43954.618963056178</v>
      </c>
      <c r="L613" s="301">
        <f>'EXD Nunoura 2008'!G13</f>
        <v>10609747.680157378</v>
      </c>
      <c r="N613" s="27">
        <f>(J613/L613)</f>
        <v>4.142852430436327E-3</v>
      </c>
      <c r="O613" s="304"/>
      <c r="P613" s="303">
        <f>'EXD Nunoura 2008'!I13</f>
        <v>0</v>
      </c>
      <c r="R613" s="304"/>
      <c r="S613" s="304"/>
      <c r="T613" s="304"/>
      <c r="U613" s="304"/>
      <c r="V613" s="334"/>
      <c r="W613" s="334"/>
      <c r="X613" s="334"/>
      <c r="Y613" s="334"/>
      <c r="Z613" s="334"/>
      <c r="AA613" s="326" t="s">
        <v>1486</v>
      </c>
      <c r="AD613" s="326" t="s">
        <v>1717</v>
      </c>
      <c r="AE613" s="326" t="s">
        <v>1725</v>
      </c>
      <c r="AF613" s="326" t="s">
        <v>1735</v>
      </c>
      <c r="AJ613" s="326" t="s">
        <v>1487</v>
      </c>
      <c r="AK613" s="326" t="s">
        <v>1488</v>
      </c>
      <c r="AL613" s="326" t="s">
        <v>1489</v>
      </c>
      <c r="AQ613" s="322">
        <v>890</v>
      </c>
      <c r="AR613" s="326" t="s">
        <v>1463</v>
      </c>
      <c r="AV613" s="326" t="b">
        <v>1</v>
      </c>
      <c r="AW613" t="b">
        <v>1</v>
      </c>
      <c r="AX613" t="b">
        <v>1</v>
      </c>
    </row>
    <row r="614" spans="1:50">
      <c r="A614" s="277" t="s">
        <v>1371</v>
      </c>
      <c r="B614" s="327" t="s">
        <v>1609</v>
      </c>
      <c r="C614" s="334">
        <f>'EXD Nunoura 2008'!B14</f>
        <v>146.78899082568807</v>
      </c>
      <c r="J614" s="301">
        <f>'EXD Nunoura 2008'!E14</f>
        <v>171.38080209633117</v>
      </c>
      <c r="L614" s="301">
        <f>'EXD Nunoura 2008'!G14</f>
        <v>7087645.3091715518</v>
      </c>
      <c r="N614" s="27">
        <f>(J614/L614)</f>
        <v>2.4180217070761294E-5</v>
      </c>
      <c r="O614" s="304"/>
      <c r="P614" s="299">
        <f>'EXD Nunoura 2008'!I14</f>
        <v>0</v>
      </c>
      <c r="R614" s="304"/>
      <c r="S614" s="304"/>
      <c r="T614" s="304"/>
      <c r="U614" s="304"/>
      <c r="V614" s="334"/>
      <c r="W614" s="334"/>
      <c r="X614" s="334"/>
      <c r="Y614" s="334"/>
      <c r="Z614" s="334"/>
      <c r="AA614" s="326" t="s">
        <v>1486</v>
      </c>
      <c r="AD614" s="326" t="s">
        <v>1717</v>
      </c>
      <c r="AE614" s="326" t="s">
        <v>1725</v>
      </c>
      <c r="AF614" s="326" t="s">
        <v>1735</v>
      </c>
      <c r="AJ614" s="326" t="s">
        <v>1487</v>
      </c>
      <c r="AK614" s="326" t="s">
        <v>1488</v>
      </c>
      <c r="AL614" s="326" t="s">
        <v>1489</v>
      </c>
      <c r="AQ614" s="322">
        <v>890</v>
      </c>
      <c r="AR614" s="326" t="s">
        <v>1463</v>
      </c>
      <c r="AV614" s="326" t="b">
        <v>1</v>
      </c>
      <c r="AW614" t="b">
        <v>1</v>
      </c>
      <c r="AX614" t="b">
        <v>1</v>
      </c>
    </row>
    <row r="615" spans="1:50">
      <c r="A615" s="277" t="s">
        <v>1371</v>
      </c>
      <c r="B615" s="327" t="s">
        <v>1609</v>
      </c>
      <c r="C615" s="334">
        <f>'EXD Nunoura 2008'!B15</f>
        <v>157.79816513761466</v>
      </c>
      <c r="J615" s="301">
        <f>'EXD Nunoura 2008'!E15</f>
        <v>777.98947316557837</v>
      </c>
      <c r="L615" s="301">
        <f>'EXD Nunoura 2008'!G15</f>
        <v>629917.24272417417</v>
      </c>
      <c r="N615" s="27">
        <f>(J615/L615)</f>
        <v>1.2350661648838871E-3</v>
      </c>
      <c r="O615" s="304"/>
      <c r="P615" s="299">
        <f>'EXD Nunoura 2008'!I15</f>
        <v>0</v>
      </c>
      <c r="R615" s="304"/>
      <c r="S615" s="304"/>
      <c r="T615" s="304"/>
      <c r="U615" s="304"/>
      <c r="V615" s="334"/>
      <c r="W615" s="334"/>
      <c r="X615" s="334"/>
      <c r="Y615" s="334"/>
      <c r="Z615" s="334"/>
      <c r="AA615" s="326" t="s">
        <v>1486</v>
      </c>
      <c r="AD615" s="326" t="s">
        <v>1717</v>
      </c>
      <c r="AE615" s="326" t="s">
        <v>1725</v>
      </c>
      <c r="AF615" s="326" t="s">
        <v>1735</v>
      </c>
      <c r="AJ615" s="326" t="s">
        <v>1487</v>
      </c>
      <c r="AK615" s="326" t="s">
        <v>1488</v>
      </c>
      <c r="AL615" s="326" t="s">
        <v>1489</v>
      </c>
      <c r="AQ615" s="322">
        <v>890</v>
      </c>
      <c r="AR615" s="326" t="s">
        <v>1463</v>
      </c>
      <c r="AV615" s="326" t="b">
        <v>1</v>
      </c>
      <c r="AW615" t="b">
        <v>1</v>
      </c>
      <c r="AX615" t="b">
        <v>1</v>
      </c>
    </row>
    <row r="616" spans="1:50">
      <c r="A616" s="277" t="s">
        <v>1371</v>
      </c>
      <c r="B616" s="334" t="s">
        <v>1609</v>
      </c>
      <c r="C616" s="334">
        <f>'EXD Nunoura 2008'!B16</f>
        <v>179.81651376146792</v>
      </c>
      <c r="J616" s="301">
        <f>'EXD Nunoura 2008'!E16</f>
        <v>5286.7448408178498</v>
      </c>
      <c r="L616" s="301">
        <f>'EXD Nunoura 2008'!G16</f>
        <v>569485.57310443663</v>
      </c>
      <c r="N616" s="27">
        <f>(J616/L616)</f>
        <v>9.2833692203969607E-3</v>
      </c>
      <c r="O616" s="304"/>
      <c r="P616" s="303">
        <f>'EXD Nunoura 2008'!I16</f>
        <v>0</v>
      </c>
      <c r="R616" s="304"/>
      <c r="S616" s="304"/>
      <c r="T616" s="304"/>
      <c r="U616" s="304"/>
      <c r="V616" s="334"/>
      <c r="W616" s="334"/>
      <c r="X616" s="334"/>
      <c r="Y616" s="334"/>
      <c r="Z616" s="334"/>
      <c r="AA616" s="326" t="s">
        <v>1486</v>
      </c>
      <c r="AD616" s="326" t="s">
        <v>1717</v>
      </c>
      <c r="AE616" s="326" t="s">
        <v>1725</v>
      </c>
      <c r="AF616" s="326" t="s">
        <v>1735</v>
      </c>
      <c r="AJ616" s="326" t="s">
        <v>1487</v>
      </c>
      <c r="AK616" s="326" t="s">
        <v>1488</v>
      </c>
      <c r="AL616" s="326" t="s">
        <v>1489</v>
      </c>
      <c r="AQ616" s="322">
        <v>890</v>
      </c>
      <c r="AR616" s="326" t="s">
        <v>1463</v>
      </c>
      <c r="AV616" s="326" t="b">
        <v>1</v>
      </c>
      <c r="AW616" t="b">
        <v>1</v>
      </c>
      <c r="AX616" t="b">
        <v>1</v>
      </c>
    </row>
    <row r="617" spans="1:50">
      <c r="A617" s="277" t="s">
        <v>1371</v>
      </c>
      <c r="B617" s="327" t="s">
        <v>1609</v>
      </c>
      <c r="C617" s="334">
        <f>'EXD Nunoura 2008'!B17</f>
        <v>201.83486238532109</v>
      </c>
      <c r="J617" s="301">
        <f>'EXD Nunoura 2008'!E17</f>
        <v>1288.1830207838298</v>
      </c>
      <c r="L617" s="301">
        <f>'EXD Nunoura 2008'!G17</f>
        <v>1153687.3117561736</v>
      </c>
      <c r="N617" s="27">
        <f>(J617/L617)</f>
        <v>1.1165789964552209E-3</v>
      </c>
      <c r="O617" s="304"/>
      <c r="P617" s="303">
        <f>'EXD Nunoura 2008'!I17</f>
        <v>0</v>
      </c>
      <c r="R617" s="304"/>
      <c r="S617" s="304"/>
      <c r="T617" s="304"/>
      <c r="U617" s="304"/>
      <c r="V617" s="334"/>
      <c r="W617" s="334"/>
      <c r="X617" s="334"/>
      <c r="Y617" s="334"/>
      <c r="Z617" s="334"/>
      <c r="AA617" s="326" t="s">
        <v>1486</v>
      </c>
      <c r="AD617" s="326" t="s">
        <v>1717</v>
      </c>
      <c r="AE617" s="326" t="s">
        <v>1725</v>
      </c>
      <c r="AF617" s="326" t="s">
        <v>1735</v>
      </c>
      <c r="AJ617" s="326" t="s">
        <v>1487</v>
      </c>
      <c r="AK617" s="326" t="s">
        <v>1488</v>
      </c>
      <c r="AL617" s="326" t="s">
        <v>1489</v>
      </c>
      <c r="AQ617" s="322">
        <v>890</v>
      </c>
      <c r="AR617" s="326" t="s">
        <v>1463</v>
      </c>
      <c r="AV617" s="326" t="b">
        <v>1</v>
      </c>
      <c r="AW617" t="b">
        <v>1</v>
      </c>
      <c r="AX617" t="b">
        <v>1</v>
      </c>
    </row>
    <row r="618" spans="1:50">
      <c r="A618" s="277" t="s">
        <v>1371</v>
      </c>
      <c r="B618" s="334" t="s">
        <v>1609</v>
      </c>
      <c r="C618" s="334">
        <f>'EXD Nunoura 2008'!B18</f>
        <v>245.87155963302752</v>
      </c>
      <c r="O618" s="304"/>
      <c r="P618" s="303">
        <f>'EXD Nunoura 2008'!I18</f>
        <v>0</v>
      </c>
      <c r="R618" s="304"/>
      <c r="S618" s="304"/>
      <c r="T618" s="304"/>
      <c r="U618" s="304"/>
      <c r="V618" s="334"/>
      <c r="W618" s="334"/>
      <c r="X618" s="334"/>
      <c r="Y618" s="334"/>
      <c r="Z618" s="334"/>
      <c r="AA618" s="326" t="s">
        <v>1486</v>
      </c>
      <c r="AD618" s="326" t="s">
        <v>1717</v>
      </c>
      <c r="AE618" s="326" t="s">
        <v>1725</v>
      </c>
      <c r="AF618" s="326" t="s">
        <v>1735</v>
      </c>
      <c r="AJ618" s="326" t="s">
        <v>1487</v>
      </c>
      <c r="AK618" s="326" t="s">
        <v>1488</v>
      </c>
      <c r="AL618" s="326" t="s">
        <v>1489</v>
      </c>
      <c r="AQ618" s="322">
        <v>890</v>
      </c>
      <c r="AR618" s="326" t="s">
        <v>1463</v>
      </c>
      <c r="AV618" s="326" t="b">
        <v>1</v>
      </c>
      <c r="AW618" t="b">
        <v>1</v>
      </c>
      <c r="AX618" t="b">
        <v>1</v>
      </c>
    </row>
    <row r="619" spans="1:50">
      <c r="A619" s="277" t="s">
        <v>1371</v>
      </c>
      <c r="B619" s="334" t="s">
        <v>1609</v>
      </c>
      <c r="C619" s="334">
        <f>'EXD Nunoura 2008'!B19</f>
        <v>282.56880733944951</v>
      </c>
      <c r="O619" s="304"/>
      <c r="P619" s="334">
        <f>'EXD Nunoura 2008'!I19</f>
        <v>0</v>
      </c>
      <c r="R619" s="304"/>
      <c r="S619" s="304"/>
      <c r="T619" s="304"/>
      <c r="U619" s="304"/>
      <c r="V619" s="334"/>
      <c r="W619" s="334"/>
      <c r="X619" s="334"/>
      <c r="Y619" s="334"/>
      <c r="Z619" s="334"/>
      <c r="AA619" s="326" t="s">
        <v>1486</v>
      </c>
      <c r="AD619" s="326" t="s">
        <v>1717</v>
      </c>
      <c r="AE619" s="326" t="s">
        <v>1725</v>
      </c>
      <c r="AF619" s="326" t="s">
        <v>1735</v>
      </c>
      <c r="AJ619" s="326" t="s">
        <v>1487</v>
      </c>
      <c r="AK619" s="326" t="s">
        <v>1488</v>
      </c>
      <c r="AL619" s="326" t="s">
        <v>1489</v>
      </c>
      <c r="AQ619" s="322">
        <v>890</v>
      </c>
      <c r="AR619" s="326" t="s">
        <v>1463</v>
      </c>
      <c r="AV619" s="326" t="b">
        <v>1</v>
      </c>
      <c r="AW619" t="b">
        <v>1</v>
      </c>
      <c r="AX619" t="b">
        <v>1</v>
      </c>
    </row>
    <row r="620" spans="1:50">
      <c r="A620" s="277" t="s">
        <v>1371</v>
      </c>
      <c r="B620" s="334" t="s">
        <v>1609</v>
      </c>
      <c r="C620" s="334">
        <f>'EXD Nunoura 2008'!B20</f>
        <v>293.57798165137615</v>
      </c>
      <c r="J620" s="301">
        <f>'EXD Nunoura 2008'!E20</f>
        <v>7154.6873437833628</v>
      </c>
      <c r="L620" s="301">
        <f>'EXD Nunoura 2008'!G20</f>
        <v>2585200.7668039883</v>
      </c>
      <c r="N620" s="27">
        <f>(J620/L620)</f>
        <v>2.7675557874093097E-3</v>
      </c>
      <c r="O620" s="304"/>
      <c r="P620" s="303">
        <f>'EXD Nunoura 2008'!I20</f>
        <v>0</v>
      </c>
      <c r="R620" s="304"/>
      <c r="S620" s="304"/>
      <c r="T620" s="304"/>
      <c r="U620" s="304"/>
      <c r="V620" s="334"/>
      <c r="W620" s="334"/>
      <c r="X620" s="334"/>
      <c r="Y620" s="334"/>
      <c r="Z620" s="334"/>
      <c r="AA620" s="326" t="s">
        <v>1486</v>
      </c>
      <c r="AD620" s="326" t="s">
        <v>1717</v>
      </c>
      <c r="AE620" s="326" t="s">
        <v>1725</v>
      </c>
      <c r="AF620" s="326" t="s">
        <v>1735</v>
      </c>
      <c r="AJ620" s="326" t="s">
        <v>1487</v>
      </c>
      <c r="AK620" s="326" t="s">
        <v>1488</v>
      </c>
      <c r="AL620" s="326" t="s">
        <v>1489</v>
      </c>
      <c r="AQ620" s="322">
        <v>890</v>
      </c>
      <c r="AR620" s="326" t="s">
        <v>1463</v>
      </c>
      <c r="AV620" s="326" t="b">
        <v>1</v>
      </c>
      <c r="AW620" t="b">
        <v>1</v>
      </c>
      <c r="AX620" t="b">
        <v>1</v>
      </c>
    </row>
    <row r="621" spans="1:50">
      <c r="A621" s="277" t="s">
        <v>1371</v>
      </c>
      <c r="B621" s="328" t="s">
        <v>1609</v>
      </c>
      <c r="C621" s="334">
        <f>'EXD Nunoura 2008'!B21</f>
        <v>330.27522935779814</v>
      </c>
      <c r="O621" s="304"/>
      <c r="P621" s="303">
        <f>'EXD Nunoura 2008'!I21</f>
        <v>0</v>
      </c>
      <c r="R621" s="304"/>
      <c r="S621" s="304"/>
      <c r="T621" s="304"/>
      <c r="U621" s="304"/>
      <c r="V621" s="334"/>
      <c r="W621" s="334"/>
      <c r="X621" s="334"/>
      <c r="Y621" s="334"/>
      <c r="Z621" s="334"/>
      <c r="AA621" s="326" t="s">
        <v>1486</v>
      </c>
      <c r="AD621" s="326" t="s">
        <v>1717</v>
      </c>
      <c r="AE621" s="326" t="s">
        <v>1725</v>
      </c>
      <c r="AF621" s="326" t="s">
        <v>1735</v>
      </c>
      <c r="AJ621" s="326" t="s">
        <v>1487</v>
      </c>
      <c r="AK621" s="326" t="s">
        <v>1488</v>
      </c>
      <c r="AL621" s="326" t="s">
        <v>1489</v>
      </c>
      <c r="AQ621" s="322">
        <v>890</v>
      </c>
      <c r="AR621" s="326" t="s">
        <v>1463</v>
      </c>
      <c r="AV621" s="326" t="b">
        <v>1</v>
      </c>
      <c r="AW621" t="b">
        <v>1</v>
      </c>
      <c r="AX621" t="b">
        <v>1</v>
      </c>
    </row>
    <row r="622" spans="1:50">
      <c r="A622" s="277" t="s">
        <v>1371</v>
      </c>
      <c r="B622" s="328" t="s">
        <v>1609</v>
      </c>
      <c r="C622" s="334">
        <f>'EXD Nunoura 2008'!B22</f>
        <v>372.47706422018348</v>
      </c>
      <c r="O622" s="304"/>
      <c r="P622" s="293">
        <f>'EXD Nunoura 2008'!I22</f>
        <v>0</v>
      </c>
      <c r="R622" s="304"/>
      <c r="S622" s="304"/>
      <c r="T622" s="304"/>
      <c r="U622" s="304"/>
      <c r="V622" s="334"/>
      <c r="W622" s="334"/>
      <c r="X622" s="334"/>
      <c r="Y622" s="334"/>
      <c r="Z622" s="334"/>
      <c r="AA622" s="326" t="s">
        <v>1486</v>
      </c>
      <c r="AD622" s="326" t="s">
        <v>1717</v>
      </c>
      <c r="AE622" s="326" t="s">
        <v>1725</v>
      </c>
      <c r="AF622" s="326" t="s">
        <v>1735</v>
      </c>
      <c r="AJ622" s="326" t="s">
        <v>1487</v>
      </c>
      <c r="AK622" s="326" t="s">
        <v>1488</v>
      </c>
      <c r="AL622" s="326" t="s">
        <v>1489</v>
      </c>
      <c r="AQ622" s="322">
        <v>890</v>
      </c>
      <c r="AR622" s="326" t="s">
        <v>1463</v>
      </c>
      <c r="AV622" s="326" t="b">
        <v>1</v>
      </c>
      <c r="AW622" t="b">
        <v>1</v>
      </c>
      <c r="AX622" t="b">
        <v>1</v>
      </c>
    </row>
    <row r="623" spans="1:50">
      <c r="A623" s="334" t="s">
        <v>668</v>
      </c>
      <c r="B623" s="334" t="s">
        <v>1158</v>
      </c>
      <c r="C623" s="334">
        <f>'Nunoura 2009, Figure 2'!B45</f>
        <v>0</v>
      </c>
      <c r="J623" s="301">
        <f>'Nunoura 2009, Figure 2'!K45</f>
        <v>6163694.0836999454</v>
      </c>
      <c r="L623" s="301">
        <f>'Nunoura 2009, Figure 2'!H45</f>
        <v>37318765.129138194</v>
      </c>
      <c r="N623" s="27">
        <f>(J623/L623)</f>
        <v>0.16516339869154412</v>
      </c>
      <c r="O623" s="304"/>
      <c r="P623" s="293"/>
      <c r="R623" s="304"/>
      <c r="S623" s="304"/>
      <c r="T623" s="304"/>
      <c r="U623" s="304"/>
      <c r="V623" s="334"/>
      <c r="W623" s="334"/>
      <c r="X623" s="334"/>
      <c r="Y623" s="334"/>
      <c r="Z623" s="334"/>
      <c r="AA623" s="326" t="s">
        <v>1486</v>
      </c>
      <c r="AD623" s="326" t="s">
        <v>1717</v>
      </c>
      <c r="AE623" s="326" t="s">
        <v>1725</v>
      </c>
      <c r="AF623" s="326" t="s">
        <v>1735</v>
      </c>
      <c r="AJ623" s="326" t="s">
        <v>1487</v>
      </c>
      <c r="AK623" s="326" t="s">
        <v>1488</v>
      </c>
      <c r="AL623" s="326" t="s">
        <v>1489</v>
      </c>
      <c r="AM623" s="326" t="s">
        <v>1490</v>
      </c>
      <c r="AN623" s="326" t="s">
        <v>1490</v>
      </c>
      <c r="AO623" s="326" t="s">
        <v>1491</v>
      </c>
      <c r="AQ623">
        <v>1331</v>
      </c>
      <c r="AR623" s="326" t="s">
        <v>1463</v>
      </c>
      <c r="AV623" s="326" t="b">
        <v>1</v>
      </c>
      <c r="AW623" t="b">
        <v>1</v>
      </c>
      <c r="AX623" t="b">
        <v>1</v>
      </c>
    </row>
    <row r="624" spans="1:50">
      <c r="A624" s="334" t="s">
        <v>668</v>
      </c>
      <c r="B624" s="334" t="s">
        <v>1158</v>
      </c>
      <c r="C624" s="334">
        <f>'Nunoura 2009, Figure 2'!B46</f>
        <v>10.084033613445378</v>
      </c>
      <c r="D624" s="301">
        <f>'Nunoura 2009, Figure 2'!D46</f>
        <v>2336950.8456761567</v>
      </c>
      <c r="J624" s="301">
        <f>'Nunoura 2009, Figure 2'!K46</f>
        <v>191219.42022968922</v>
      </c>
      <c r="L624" s="301">
        <f>'Nunoura 2009, Figure 2'!H46</f>
        <v>2202595.1674293396</v>
      </c>
      <c r="N624" s="27">
        <f>(J624/L624)</f>
        <v>8.6815508840356895E-2</v>
      </c>
      <c r="O624" s="304"/>
      <c r="P624" s="334"/>
      <c r="R624" s="304"/>
      <c r="S624" s="304"/>
      <c r="T624" s="304"/>
      <c r="U624" s="304"/>
      <c r="V624" s="334"/>
      <c r="W624" s="334"/>
      <c r="X624" s="334"/>
      <c r="Y624" s="334"/>
      <c r="Z624" s="334"/>
      <c r="AA624" s="326" t="s">
        <v>1486</v>
      </c>
      <c r="AD624" s="326" t="s">
        <v>1717</v>
      </c>
      <c r="AE624" s="326" t="s">
        <v>1725</v>
      </c>
      <c r="AF624" s="326" t="s">
        <v>1735</v>
      </c>
      <c r="AJ624" s="326" t="s">
        <v>1487</v>
      </c>
      <c r="AK624" s="326" t="s">
        <v>1488</v>
      </c>
      <c r="AL624" s="326" t="s">
        <v>1489</v>
      </c>
      <c r="AM624" s="326" t="s">
        <v>1490</v>
      </c>
      <c r="AN624" s="326" t="s">
        <v>1490</v>
      </c>
      <c r="AO624" s="326" t="s">
        <v>1491</v>
      </c>
      <c r="AQ624">
        <v>1331</v>
      </c>
      <c r="AR624" s="326" t="s">
        <v>1463</v>
      </c>
      <c r="AV624" s="326" t="b">
        <v>1</v>
      </c>
      <c r="AW624" t="b">
        <v>1</v>
      </c>
      <c r="AX624" t="b">
        <v>1</v>
      </c>
    </row>
    <row r="625" spans="1:50">
      <c r="A625" s="334" t="s">
        <v>668</v>
      </c>
      <c r="B625" s="334" t="s">
        <v>1158</v>
      </c>
      <c r="C625" s="334">
        <f>'Nunoura 2009, Figure 2'!B47</f>
        <v>13.445378151260504</v>
      </c>
      <c r="D625" s="301">
        <f>'Nunoura 2009, Figure 2'!D47</f>
        <v>1151864.6018487373</v>
      </c>
      <c r="J625" s="301">
        <f>'Nunoura 2009, Figure 2'!K47</f>
        <v>191219.42022968922</v>
      </c>
      <c r="L625" s="301">
        <f>'Nunoura 2009, Figure 2'!H47</f>
        <v>895141.28459444165</v>
      </c>
      <c r="N625" s="27">
        <f>(J625/L625)</f>
        <v>0.21361926158542033</v>
      </c>
      <c r="O625" s="304"/>
      <c r="P625" s="334"/>
      <c r="R625" s="304"/>
      <c r="S625" s="304"/>
      <c r="T625" s="304"/>
      <c r="U625" s="304"/>
      <c r="V625" s="334"/>
      <c r="W625" s="334"/>
      <c r="X625" s="334"/>
      <c r="Y625" s="334"/>
      <c r="Z625" s="334"/>
      <c r="AA625" s="326" t="s">
        <v>1486</v>
      </c>
      <c r="AD625" s="326" t="s">
        <v>1717</v>
      </c>
      <c r="AE625" s="326" t="s">
        <v>1725</v>
      </c>
      <c r="AF625" s="326" t="s">
        <v>1735</v>
      </c>
      <c r="AJ625" s="326" t="s">
        <v>1487</v>
      </c>
      <c r="AK625" s="326" t="s">
        <v>1488</v>
      </c>
      <c r="AL625" s="326" t="s">
        <v>1489</v>
      </c>
      <c r="AM625" s="326" t="s">
        <v>1490</v>
      </c>
      <c r="AN625" s="326" t="s">
        <v>1490</v>
      </c>
      <c r="AO625" s="326" t="s">
        <v>1491</v>
      </c>
      <c r="AQ625" s="322">
        <v>1331</v>
      </c>
      <c r="AR625" s="326" t="s">
        <v>1463</v>
      </c>
      <c r="AV625" s="326" t="b">
        <v>1</v>
      </c>
      <c r="AW625" t="b">
        <v>1</v>
      </c>
      <c r="AX625" t="b">
        <v>1</v>
      </c>
    </row>
    <row r="626" spans="1:50">
      <c r="A626" s="334" t="s">
        <v>668</v>
      </c>
      <c r="B626" s="334" t="s">
        <v>1158</v>
      </c>
      <c r="C626" s="334">
        <f>'Nunoura 2009, Figure 2'!B48</f>
        <v>20.168067226890756</v>
      </c>
      <c r="J626" s="301">
        <f>'Nunoura 2009, Figure 2'!K48</f>
        <v>1085641.749914892</v>
      </c>
      <c r="L626" s="301">
        <f>'Nunoura 2009, Figure 2'!H48</f>
        <v>3038036.099379004</v>
      </c>
      <c r="N626" s="27">
        <f>(J626/L626)</f>
        <v>0.35734985181275658</v>
      </c>
      <c r="O626" s="304"/>
      <c r="P626" s="334"/>
      <c r="R626" s="304"/>
      <c r="S626" s="304"/>
      <c r="T626" s="304"/>
      <c r="U626" s="304"/>
      <c r="V626" s="334"/>
      <c r="W626" s="334"/>
      <c r="X626" s="334"/>
      <c r="Y626" s="334"/>
      <c r="Z626" s="334"/>
      <c r="AA626" s="326" t="s">
        <v>1486</v>
      </c>
      <c r="AD626" s="326" t="s">
        <v>1717</v>
      </c>
      <c r="AE626" s="326" t="s">
        <v>1725</v>
      </c>
      <c r="AF626" s="326" t="s">
        <v>1735</v>
      </c>
      <c r="AJ626" s="326" t="s">
        <v>1487</v>
      </c>
      <c r="AK626" s="326" t="s">
        <v>1488</v>
      </c>
      <c r="AL626" s="326" t="s">
        <v>1489</v>
      </c>
      <c r="AM626" s="326" t="s">
        <v>1490</v>
      </c>
      <c r="AN626" s="326" t="s">
        <v>1490</v>
      </c>
      <c r="AO626" s="326" t="s">
        <v>1491</v>
      </c>
      <c r="AQ626" s="322">
        <v>1331</v>
      </c>
      <c r="AR626" s="326" t="s">
        <v>1463</v>
      </c>
      <c r="AV626" s="326" t="b">
        <v>1</v>
      </c>
      <c r="AW626" t="b">
        <v>1</v>
      </c>
      <c r="AX626" t="b">
        <v>1</v>
      </c>
    </row>
    <row r="627" spans="1:50">
      <c r="A627" s="334" t="s">
        <v>668</v>
      </c>
      <c r="B627" s="334" t="s">
        <v>1158</v>
      </c>
      <c r="C627" s="334">
        <f>'Nunoura 2009, Figure 2'!B49</f>
        <v>23.52941176470588</v>
      </c>
      <c r="L627" s="301">
        <f>'Nunoura 2009, Figure 2'!H49</f>
        <v>2202595.1674293396</v>
      </c>
      <c r="N627" s="27">
        <f>(J627/L627)</f>
        <v>0</v>
      </c>
      <c r="O627" s="304"/>
      <c r="P627" s="334"/>
      <c r="R627" s="304"/>
      <c r="S627" s="304"/>
      <c r="T627" s="304"/>
      <c r="U627" s="304"/>
      <c r="V627" s="334"/>
      <c r="W627" s="334"/>
      <c r="X627" s="334"/>
      <c r="Y627" s="334"/>
      <c r="Z627" s="334"/>
      <c r="AA627" s="326" t="s">
        <v>1486</v>
      </c>
      <c r="AD627" s="326" t="s">
        <v>1717</v>
      </c>
      <c r="AE627" s="326" t="s">
        <v>1725</v>
      </c>
      <c r="AF627" s="326" t="s">
        <v>1735</v>
      </c>
      <c r="AJ627" s="326" t="s">
        <v>1487</v>
      </c>
      <c r="AK627" s="326" t="s">
        <v>1488</v>
      </c>
      <c r="AL627" s="326" t="s">
        <v>1489</v>
      </c>
      <c r="AM627" s="326" t="s">
        <v>1490</v>
      </c>
      <c r="AN627" s="326" t="s">
        <v>1490</v>
      </c>
      <c r="AO627" s="326" t="s">
        <v>1491</v>
      </c>
      <c r="AQ627" s="322">
        <v>1331</v>
      </c>
      <c r="AR627" s="326" t="s">
        <v>1463</v>
      </c>
      <c r="AV627" s="326" t="b">
        <v>1</v>
      </c>
      <c r="AW627" t="b">
        <v>1</v>
      </c>
      <c r="AX627" t="b">
        <v>1</v>
      </c>
    </row>
    <row r="628" spans="1:50">
      <c r="A628" s="334" t="s">
        <v>668</v>
      </c>
      <c r="B628" s="328" t="s">
        <v>1158</v>
      </c>
      <c r="C628" s="334">
        <f>'Nunoura 2009, Figure 2'!B50</f>
        <v>30.252100840336134</v>
      </c>
      <c r="D628" s="301">
        <f>'Nunoura 2009, Figure 2'!D50</f>
        <v>468121.23018553865</v>
      </c>
      <c r="J628" s="301">
        <f>'Nunoura 2009, Figure 2'!K50</f>
        <v>1157759.0540311344</v>
      </c>
      <c r="L628" s="301">
        <f>'Nunoura 2009, Figure 2'!H50</f>
        <v>129999.62498210122</v>
      </c>
      <c r="N628" s="27">
        <f>(J628/L628)</f>
        <v>8.9058645683827056</v>
      </c>
      <c r="O628" s="304"/>
      <c r="P628" s="334"/>
      <c r="V628" s="334"/>
      <c r="W628" s="334"/>
      <c r="X628" s="334"/>
      <c r="Y628" s="334"/>
      <c r="Z628" s="334"/>
      <c r="AA628" s="326" t="s">
        <v>1486</v>
      </c>
      <c r="AD628" s="326" t="s">
        <v>1717</v>
      </c>
      <c r="AE628" s="326" t="s">
        <v>1725</v>
      </c>
      <c r="AF628" s="326" t="s">
        <v>1735</v>
      </c>
      <c r="AJ628" s="326" t="s">
        <v>1487</v>
      </c>
      <c r="AK628" s="326" t="s">
        <v>1488</v>
      </c>
      <c r="AL628" s="326" t="s">
        <v>1489</v>
      </c>
      <c r="AM628" s="326" t="s">
        <v>1490</v>
      </c>
      <c r="AN628" s="326" t="s">
        <v>1490</v>
      </c>
      <c r="AO628" s="326" t="s">
        <v>1491</v>
      </c>
      <c r="AQ628" s="322">
        <v>1331</v>
      </c>
      <c r="AR628" s="326" t="s">
        <v>1463</v>
      </c>
      <c r="AV628" s="326" t="b">
        <v>1</v>
      </c>
      <c r="AW628" t="b">
        <v>1</v>
      </c>
      <c r="AX628" t="b">
        <v>1</v>
      </c>
    </row>
    <row r="629" spans="1:50">
      <c r="A629" s="334" t="s">
        <v>668</v>
      </c>
      <c r="B629" s="334" t="s">
        <v>1158</v>
      </c>
      <c r="C629" s="334">
        <f>'Nunoura 2009, Figure 2'!B51</f>
        <v>43.69747899159664</v>
      </c>
      <c r="D629" s="301">
        <f>'Nunoura 2009, Figure 2'!D51</f>
        <v>645678.88698729617</v>
      </c>
      <c r="J629" s="301">
        <f>'Nunoura 2009, Figure 2'!K51</f>
        <v>299953.23095859692</v>
      </c>
      <c r="L629" s="301">
        <f>'Nunoura 2009, Figure 2'!H51</f>
        <v>1702974.2594102726</v>
      </c>
      <c r="N629" s="27">
        <f>(J629/L629)</f>
        <v>0.17613491766015801</v>
      </c>
      <c r="O629" s="304"/>
      <c r="P629" s="334"/>
      <c r="R629" s="304"/>
      <c r="S629" s="304"/>
      <c r="T629" s="304"/>
      <c r="U629" s="304"/>
      <c r="V629" s="334"/>
      <c r="W629" s="334"/>
      <c r="X629" s="334"/>
      <c r="Y629" s="334"/>
      <c r="Z629" s="334"/>
      <c r="AA629" s="326" t="s">
        <v>1486</v>
      </c>
      <c r="AD629" s="326" t="s">
        <v>1717</v>
      </c>
      <c r="AE629" s="326" t="s">
        <v>1725</v>
      </c>
      <c r="AF629" s="326" t="s">
        <v>1735</v>
      </c>
      <c r="AJ629" s="326" t="s">
        <v>1487</v>
      </c>
      <c r="AK629" s="326" t="s">
        <v>1488</v>
      </c>
      <c r="AL629" s="326" t="s">
        <v>1489</v>
      </c>
      <c r="AM629" s="326" t="s">
        <v>1490</v>
      </c>
      <c r="AN629" s="326" t="s">
        <v>1490</v>
      </c>
      <c r="AO629" s="326" t="s">
        <v>1491</v>
      </c>
      <c r="AQ629" s="322">
        <v>1331</v>
      </c>
      <c r="AR629" s="326" t="s">
        <v>1463</v>
      </c>
      <c r="AV629" s="326" t="b">
        <v>1</v>
      </c>
      <c r="AW629" t="b">
        <v>1</v>
      </c>
      <c r="AX629" t="b">
        <v>1</v>
      </c>
    </row>
    <row r="630" spans="1:50">
      <c r="A630" s="334" t="s">
        <v>668</v>
      </c>
      <c r="B630" s="327" t="s">
        <v>1158</v>
      </c>
      <c r="C630" s="334">
        <f>'Nunoura 2009, Figure 2'!B52</f>
        <v>50.420168067226889</v>
      </c>
      <c r="D630" s="301">
        <f>'Nunoura 2009, Figure 2'!D52</f>
        <v>147091.86171514555</v>
      </c>
      <c r="L630" s="301">
        <f>'Nunoura 2009, Figure 2'!H52</f>
        <v>8725.9519285716779</v>
      </c>
      <c r="N630" s="27">
        <f>(J630/L630)</f>
        <v>0</v>
      </c>
      <c r="O630" s="304"/>
      <c r="P630" s="334"/>
      <c r="R630" s="304"/>
      <c r="S630" s="304"/>
      <c r="T630" s="304"/>
      <c r="U630" s="324"/>
      <c r="V630" s="334"/>
      <c r="W630" s="334"/>
      <c r="X630" s="334"/>
      <c r="Y630" s="334"/>
      <c r="Z630" s="334"/>
      <c r="AA630" s="326" t="s">
        <v>1486</v>
      </c>
      <c r="AD630" s="326" t="s">
        <v>1717</v>
      </c>
      <c r="AE630" s="326" t="s">
        <v>1725</v>
      </c>
      <c r="AF630" s="326" t="s">
        <v>1735</v>
      </c>
      <c r="AJ630" s="326" t="s">
        <v>1487</v>
      </c>
      <c r="AK630" s="326" t="s">
        <v>1488</v>
      </c>
      <c r="AL630" s="326" t="s">
        <v>1489</v>
      </c>
      <c r="AM630" s="326" t="s">
        <v>1490</v>
      </c>
      <c r="AN630" s="326" t="s">
        <v>1490</v>
      </c>
      <c r="AO630" s="326" t="s">
        <v>1491</v>
      </c>
      <c r="AQ630" s="322">
        <v>1331</v>
      </c>
      <c r="AR630" s="326" t="s">
        <v>1463</v>
      </c>
      <c r="AV630" s="326" t="b">
        <v>1</v>
      </c>
      <c r="AW630" t="b">
        <v>1</v>
      </c>
      <c r="AX630" t="b">
        <v>1</v>
      </c>
    </row>
    <row r="631" spans="1:50">
      <c r="A631" s="334" t="s">
        <v>668</v>
      </c>
      <c r="B631" s="327" t="s">
        <v>1158</v>
      </c>
      <c r="C631" s="334">
        <f>'Nunoura 2009, Figure 2'!B53</f>
        <v>53.781512605042018</v>
      </c>
      <c r="L631" s="301">
        <f>'Nunoura 2009, Figure 2'!H53</f>
        <v>40848.151350258391</v>
      </c>
      <c r="N631" s="27">
        <f>(J631/L631)</f>
        <v>0</v>
      </c>
      <c r="O631" s="304"/>
      <c r="P631" s="334"/>
      <c r="R631" s="304"/>
      <c r="S631" s="304"/>
      <c r="T631" s="304"/>
      <c r="U631" s="324"/>
      <c r="V631" s="334"/>
      <c r="W631" s="334"/>
      <c r="X631" s="334"/>
      <c r="Y631" s="334"/>
      <c r="Z631" s="334"/>
      <c r="AA631" s="326" t="s">
        <v>1486</v>
      </c>
      <c r="AD631" s="326" t="s">
        <v>1717</v>
      </c>
      <c r="AE631" s="326" t="s">
        <v>1725</v>
      </c>
      <c r="AF631" s="326" t="s">
        <v>1735</v>
      </c>
      <c r="AJ631" s="326" t="s">
        <v>1487</v>
      </c>
      <c r="AK631" s="326" t="s">
        <v>1488</v>
      </c>
      <c r="AL631" s="326" t="s">
        <v>1489</v>
      </c>
      <c r="AM631" s="326" t="s">
        <v>1490</v>
      </c>
      <c r="AN631" s="326" t="s">
        <v>1490</v>
      </c>
      <c r="AO631" s="326" t="s">
        <v>1491</v>
      </c>
      <c r="AQ631">
        <v>1331</v>
      </c>
      <c r="AR631" s="326" t="s">
        <v>1463</v>
      </c>
      <c r="AV631" s="326" t="b">
        <v>1</v>
      </c>
      <c r="AW631" t="b">
        <v>1</v>
      </c>
      <c r="AX631" t="b">
        <v>1</v>
      </c>
    </row>
    <row r="632" spans="1:50">
      <c r="A632" s="334" t="s">
        <v>668</v>
      </c>
      <c r="B632" s="326" t="s">
        <v>1158</v>
      </c>
      <c r="C632" s="334">
        <f>'Nunoura 2009, Figure 2'!B54</f>
        <v>67.226890756302524</v>
      </c>
      <c r="L632" s="301">
        <f>'Nunoura 2009, Figure 2'!H54</f>
        <v>52832.237636790785</v>
      </c>
      <c r="N632" s="27">
        <f>(J632/L632)</f>
        <v>0</v>
      </c>
      <c r="O632" s="304"/>
      <c r="P632" s="334"/>
      <c r="R632" s="304"/>
      <c r="S632" s="304"/>
      <c r="T632" s="304"/>
      <c r="U632" s="324"/>
      <c r="V632" s="334"/>
      <c r="W632" s="334"/>
      <c r="X632" s="334"/>
      <c r="Y632" s="334"/>
      <c r="Z632" s="334"/>
      <c r="AA632" s="326" t="s">
        <v>1486</v>
      </c>
      <c r="AD632" s="326" t="s">
        <v>1717</v>
      </c>
      <c r="AE632" s="326" t="s">
        <v>1725</v>
      </c>
      <c r="AF632" s="326" t="s">
        <v>1735</v>
      </c>
      <c r="AJ632" s="326" t="s">
        <v>1487</v>
      </c>
      <c r="AK632" s="326" t="s">
        <v>1488</v>
      </c>
      <c r="AL632" s="326" t="s">
        <v>1489</v>
      </c>
      <c r="AM632" s="326" t="s">
        <v>1490</v>
      </c>
      <c r="AN632" s="326" t="s">
        <v>1490</v>
      </c>
      <c r="AO632" s="326" t="s">
        <v>1491</v>
      </c>
      <c r="AQ632" s="322">
        <v>1331</v>
      </c>
      <c r="AR632" s="326" t="s">
        <v>1463</v>
      </c>
      <c r="AV632" s="326" t="b">
        <v>1</v>
      </c>
      <c r="AW632" t="b">
        <v>1</v>
      </c>
      <c r="AX632" t="b">
        <v>1</v>
      </c>
    </row>
    <row r="633" spans="1:50">
      <c r="A633" s="334" t="s">
        <v>668</v>
      </c>
      <c r="B633" s="326" t="s">
        <v>1158</v>
      </c>
      <c r="C633" s="334">
        <f>'Nunoura 2009, Figure 2'!B55</f>
        <v>127.73109243697479</v>
      </c>
      <c r="L633" s="301">
        <f>'Nunoura 2009, Figure 2'!H55</f>
        <v>114308.57223822744</v>
      </c>
      <c r="N633" s="27">
        <f>(J633/L633)</f>
        <v>0</v>
      </c>
      <c r="O633" s="304"/>
      <c r="P633" s="334"/>
      <c r="R633" s="304"/>
      <c r="S633" s="304"/>
      <c r="T633" s="304"/>
      <c r="U633" s="324"/>
      <c r="V633" s="334"/>
      <c r="W633" s="334"/>
      <c r="X633" s="334"/>
      <c r="Y633" s="334"/>
      <c r="Z633" s="334"/>
      <c r="AA633" s="326" t="s">
        <v>1486</v>
      </c>
      <c r="AD633" s="326" t="s">
        <v>1717</v>
      </c>
      <c r="AE633" s="326" t="s">
        <v>1725</v>
      </c>
      <c r="AF633" s="326" t="s">
        <v>1735</v>
      </c>
      <c r="AJ633" s="326" t="s">
        <v>1487</v>
      </c>
      <c r="AK633" s="326" t="s">
        <v>1488</v>
      </c>
      <c r="AL633" s="326" t="s">
        <v>1489</v>
      </c>
      <c r="AM633" s="326" t="s">
        <v>1490</v>
      </c>
      <c r="AN633" s="326" t="s">
        <v>1490</v>
      </c>
      <c r="AO633" s="326" t="s">
        <v>1491</v>
      </c>
      <c r="AQ633" s="326">
        <v>1331</v>
      </c>
      <c r="AR633" s="326" t="s">
        <v>1463</v>
      </c>
      <c r="AV633" s="326" t="b">
        <v>1</v>
      </c>
      <c r="AW633" t="b">
        <v>1</v>
      </c>
      <c r="AX633" t="b">
        <v>1</v>
      </c>
    </row>
    <row r="634" spans="1:50">
      <c r="A634" s="334" t="s">
        <v>668</v>
      </c>
      <c r="B634" s="334" t="s">
        <v>1158</v>
      </c>
      <c r="C634" s="334">
        <f>'Nunoura 2009, Figure 2'!B56</f>
        <v>157.98319327731093</v>
      </c>
      <c r="L634" s="301">
        <f>'Nunoura 2009, Figure 2'!H56</f>
        <v>46455.346723067792</v>
      </c>
      <c r="N634" s="27">
        <f>(J634/L634)</f>
        <v>0</v>
      </c>
      <c r="O634" s="304"/>
      <c r="P634" s="334"/>
      <c r="R634" s="304"/>
      <c r="S634" s="304"/>
      <c r="T634" s="304"/>
      <c r="U634" s="324"/>
      <c r="V634" s="334"/>
      <c r="W634" s="334"/>
      <c r="X634" s="334"/>
      <c r="Y634" s="334"/>
      <c r="Z634" s="334"/>
      <c r="AA634" s="326" t="s">
        <v>1486</v>
      </c>
      <c r="AD634" s="326" t="s">
        <v>1717</v>
      </c>
      <c r="AE634" s="326" t="s">
        <v>1725</v>
      </c>
      <c r="AF634" s="326" t="s">
        <v>1735</v>
      </c>
      <c r="AJ634" s="326" t="s">
        <v>1487</v>
      </c>
      <c r="AK634" s="326" t="s">
        <v>1488</v>
      </c>
      <c r="AL634" s="326" t="s">
        <v>1489</v>
      </c>
      <c r="AM634" s="326" t="s">
        <v>1490</v>
      </c>
      <c r="AN634" s="326" t="s">
        <v>1490</v>
      </c>
      <c r="AO634" s="326" t="s">
        <v>1491</v>
      </c>
      <c r="AQ634" s="326">
        <v>1331</v>
      </c>
      <c r="AR634" s="326" t="s">
        <v>1463</v>
      </c>
      <c r="AV634" s="326" t="b">
        <v>1</v>
      </c>
      <c r="AW634" t="b">
        <v>1</v>
      </c>
      <c r="AX634" t="b">
        <v>1</v>
      </c>
    </row>
    <row r="635" spans="1:50">
      <c r="A635" s="334" t="s">
        <v>668</v>
      </c>
      <c r="B635" s="326" t="s">
        <v>1166</v>
      </c>
      <c r="C635" s="334">
        <f>'Nunoura 2009, Figure 2'!B61</f>
        <v>0</v>
      </c>
      <c r="J635" s="301">
        <f>'Nunoura 2009, Figure 2'!K61</f>
        <v>36251.330981222374</v>
      </c>
      <c r="L635" s="301">
        <f>'Nunoura 2009, Figure 2'!H61</f>
        <v>133684.97473480765</v>
      </c>
      <c r="N635" s="27">
        <f>(J635/L635)</f>
        <v>0.27116982333380801</v>
      </c>
      <c r="O635" s="304"/>
      <c r="P635" s="334"/>
      <c r="R635" s="304"/>
      <c r="S635" s="304"/>
      <c r="T635" s="304"/>
      <c r="U635" s="324"/>
      <c r="V635" s="334"/>
      <c r="W635" s="334"/>
      <c r="X635" s="334"/>
      <c r="Y635" s="334"/>
      <c r="Z635" s="334"/>
      <c r="AA635" s="326" t="s">
        <v>1486</v>
      </c>
      <c r="AD635" s="326" t="s">
        <v>1717</v>
      </c>
      <c r="AE635" s="326" t="s">
        <v>1725</v>
      </c>
      <c r="AF635" s="326" t="s">
        <v>1735</v>
      </c>
      <c r="AJ635" s="326" t="s">
        <v>1487</v>
      </c>
      <c r="AK635" s="326" t="s">
        <v>1488</v>
      </c>
      <c r="AL635" s="326" t="s">
        <v>1489</v>
      </c>
      <c r="AM635" s="326" t="s">
        <v>1490</v>
      </c>
      <c r="AN635" s="326" t="s">
        <v>1490</v>
      </c>
      <c r="AO635" s="326" t="s">
        <v>1491</v>
      </c>
      <c r="AQ635" s="322">
        <v>1068</v>
      </c>
      <c r="AR635" s="326" t="s">
        <v>1463</v>
      </c>
      <c r="AV635" s="326" t="b">
        <v>1</v>
      </c>
      <c r="AW635" t="b">
        <v>1</v>
      </c>
      <c r="AX635" t="b">
        <v>1</v>
      </c>
    </row>
    <row r="636" spans="1:50">
      <c r="A636" s="334" t="s">
        <v>668</v>
      </c>
      <c r="B636" s="334" t="s">
        <v>1166</v>
      </c>
      <c r="C636" s="334">
        <f>'Nunoura 2009, Figure 2'!B63</f>
        <v>5</v>
      </c>
      <c r="J636" s="301">
        <f>'Nunoura 2009, Figure 2'!K63</f>
        <v>76416.305589718395</v>
      </c>
      <c r="L636" s="301">
        <f>'Nunoura 2009, Figure 2'!H62</f>
        <v>11728840.61369059</v>
      </c>
      <c r="N636" s="27">
        <f>(J636/L636)</f>
        <v>6.5152480203815545E-3</v>
      </c>
      <c r="O636" s="304"/>
      <c r="P636" s="334"/>
      <c r="R636" s="304"/>
      <c r="S636" s="304"/>
      <c r="T636" s="304"/>
      <c r="U636" s="324"/>
      <c r="V636" s="334"/>
      <c r="W636" s="334"/>
      <c r="X636" s="334"/>
      <c r="Y636" s="334"/>
      <c r="Z636" s="334"/>
      <c r="AA636" s="326" t="s">
        <v>1486</v>
      </c>
      <c r="AD636" s="326" t="s">
        <v>1717</v>
      </c>
      <c r="AE636" s="326" t="s">
        <v>1725</v>
      </c>
      <c r="AF636" s="326" t="s">
        <v>1735</v>
      </c>
      <c r="AJ636" s="326" t="s">
        <v>1487</v>
      </c>
      <c r="AK636" s="326" t="s">
        <v>1488</v>
      </c>
      <c r="AL636" s="326" t="s">
        <v>1489</v>
      </c>
      <c r="AM636" s="326" t="s">
        <v>1490</v>
      </c>
      <c r="AN636" s="326" t="s">
        <v>1490</v>
      </c>
      <c r="AO636" s="326" t="s">
        <v>1491</v>
      </c>
      <c r="AQ636" s="322">
        <v>1068</v>
      </c>
      <c r="AR636" s="326" t="s">
        <v>1463</v>
      </c>
      <c r="AV636" s="326" t="b">
        <v>1</v>
      </c>
      <c r="AW636" t="b">
        <v>1</v>
      </c>
      <c r="AX636" t="b">
        <v>1</v>
      </c>
    </row>
    <row r="637" spans="1:50">
      <c r="A637" s="334" t="s">
        <v>668</v>
      </c>
      <c r="B637" s="328" t="s">
        <v>1166</v>
      </c>
      <c r="C637" s="334">
        <f>'Nunoura 2009, Figure 2'!B62</f>
        <v>7.5</v>
      </c>
      <c r="H637" s="336"/>
      <c r="J637" s="301">
        <f>'Nunoura 2009, Figure 2'!K62</f>
        <v>63419.164652470645</v>
      </c>
      <c r="L637" s="301">
        <f>'Nunoura 2009, Figure 2'!H63</f>
        <v>11728840.61369059</v>
      </c>
      <c r="N637" s="27">
        <f>(J637/L637)</f>
        <v>5.4071128376017045E-3</v>
      </c>
      <c r="O637" s="304"/>
      <c r="P637" s="334"/>
      <c r="R637" s="304"/>
      <c r="S637" s="304"/>
      <c r="T637" s="304"/>
      <c r="U637" s="324"/>
      <c r="V637" s="334"/>
      <c r="W637" s="334"/>
      <c r="X637" s="334"/>
      <c r="Y637" s="334"/>
      <c r="Z637" s="334"/>
      <c r="AA637" s="326" t="s">
        <v>1486</v>
      </c>
      <c r="AD637" s="326" t="s">
        <v>1717</v>
      </c>
      <c r="AE637" s="326" t="s">
        <v>1725</v>
      </c>
      <c r="AF637" s="326" t="s">
        <v>1735</v>
      </c>
      <c r="AJ637" s="326" t="s">
        <v>1487</v>
      </c>
      <c r="AK637" s="326" t="s">
        <v>1488</v>
      </c>
      <c r="AL637" s="326" t="s">
        <v>1489</v>
      </c>
      <c r="AM637" s="326" t="s">
        <v>1490</v>
      </c>
      <c r="AN637" s="326" t="s">
        <v>1490</v>
      </c>
      <c r="AO637" s="326" t="s">
        <v>1491</v>
      </c>
      <c r="AQ637" s="322">
        <v>1068</v>
      </c>
      <c r="AR637" s="326" t="s">
        <v>1463</v>
      </c>
      <c r="AV637" s="326" t="b">
        <v>1</v>
      </c>
      <c r="AW637" t="b">
        <v>1</v>
      </c>
      <c r="AX637" t="b">
        <v>1</v>
      </c>
    </row>
    <row r="638" spans="1:50">
      <c r="A638" s="334" t="s">
        <v>668</v>
      </c>
      <c r="B638" s="334" t="s">
        <v>1166</v>
      </c>
      <c r="C638" s="334">
        <f>'Nunoura 2009, Figure 2'!B64</f>
        <v>25</v>
      </c>
      <c r="J638" s="301">
        <f>'Nunoura 2009, Figure 2'!K64</f>
        <v>63419.164652470645</v>
      </c>
      <c r="L638" s="301">
        <f>'Nunoura 2009, Figure 2'!H64</f>
        <v>1252185.9930177354</v>
      </c>
      <c r="N638" s="27">
        <f>(J638/L638)</f>
        <v>5.0646760949331592E-2</v>
      </c>
      <c r="O638" s="304"/>
      <c r="P638" s="334"/>
      <c r="R638" s="304"/>
      <c r="S638" s="304"/>
      <c r="T638" s="304"/>
      <c r="U638" s="324"/>
      <c r="V638" s="334"/>
      <c r="W638" s="334"/>
      <c r="X638" s="334"/>
      <c r="Y638" s="334"/>
      <c r="Z638" s="334"/>
      <c r="AA638" s="326" t="s">
        <v>1486</v>
      </c>
      <c r="AD638" s="326" t="s">
        <v>1717</v>
      </c>
      <c r="AE638" s="326" t="s">
        <v>1725</v>
      </c>
      <c r="AF638" s="326" t="s">
        <v>1735</v>
      </c>
      <c r="AJ638" s="326" t="s">
        <v>1487</v>
      </c>
      <c r="AK638" s="326" t="s">
        <v>1488</v>
      </c>
      <c r="AL638" s="326" t="s">
        <v>1489</v>
      </c>
      <c r="AM638" s="326" t="s">
        <v>1490</v>
      </c>
      <c r="AN638" s="326" t="s">
        <v>1490</v>
      </c>
      <c r="AO638" s="326" t="s">
        <v>1491</v>
      </c>
      <c r="AQ638" s="322">
        <v>1068</v>
      </c>
      <c r="AR638" s="326" t="s">
        <v>1463</v>
      </c>
      <c r="AV638" s="326" t="b">
        <v>1</v>
      </c>
      <c r="AW638" t="b">
        <v>1</v>
      </c>
      <c r="AX638" t="b">
        <v>1</v>
      </c>
    </row>
    <row r="639" spans="1:50">
      <c r="A639" s="334" t="s">
        <v>668</v>
      </c>
      <c r="B639" s="334" t="s">
        <v>1166</v>
      </c>
      <c r="C639" s="334">
        <f>'Nunoura 2009, Figure 2'!B65</f>
        <v>30</v>
      </c>
      <c r="J639" s="301">
        <f>'Nunoura 2009, Figure 2'!K65</f>
        <v>20721.796086586215</v>
      </c>
      <c r="L639" s="301">
        <f>'Nunoura 2009, Figure 2'!H65</f>
        <v>492993.55323266366</v>
      </c>
      <c r="N639" s="27">
        <f>(J639/L639)</f>
        <v>4.2032590387255549E-2</v>
      </c>
      <c r="O639" s="304"/>
      <c r="P639" s="334"/>
      <c r="R639" s="304"/>
      <c r="S639" s="304"/>
      <c r="T639" s="304"/>
      <c r="U639" s="324"/>
      <c r="V639" s="334"/>
      <c r="W639" s="334"/>
      <c r="X639" s="334"/>
      <c r="Y639" s="334"/>
      <c r="Z639" s="334"/>
      <c r="AA639" s="326" t="s">
        <v>1486</v>
      </c>
      <c r="AD639" s="326" t="s">
        <v>1717</v>
      </c>
      <c r="AE639" s="326" t="s">
        <v>1725</v>
      </c>
      <c r="AF639" s="326" t="s">
        <v>1735</v>
      </c>
      <c r="AJ639" s="326" t="s">
        <v>1487</v>
      </c>
      <c r="AK639" s="326" t="s">
        <v>1488</v>
      </c>
      <c r="AL639" s="326" t="s">
        <v>1489</v>
      </c>
      <c r="AM639" s="326" t="s">
        <v>1490</v>
      </c>
      <c r="AN639" s="326" t="s">
        <v>1490</v>
      </c>
      <c r="AO639" s="326" t="s">
        <v>1491</v>
      </c>
      <c r="AQ639" s="322">
        <v>1068</v>
      </c>
      <c r="AR639" s="326" t="s">
        <v>1463</v>
      </c>
      <c r="AV639" s="326" t="b">
        <v>1</v>
      </c>
      <c r="AW639" t="b">
        <v>1</v>
      </c>
      <c r="AX639" t="b">
        <v>1</v>
      </c>
    </row>
    <row r="640" spans="1:50">
      <c r="A640" s="334" t="s">
        <v>668</v>
      </c>
      <c r="B640" s="328" t="s">
        <v>1166</v>
      </c>
      <c r="C640" s="334">
        <f>'Nunoura 2009, Figure 2'!B66</f>
        <v>40</v>
      </c>
      <c r="L640" s="301">
        <f>'Nunoura 2009, Figure 2'!H66</f>
        <v>715768.0037522869</v>
      </c>
      <c r="N640" s="27">
        <f>(J640/L640)</f>
        <v>0</v>
      </c>
      <c r="P640" s="334"/>
      <c r="U640" s="324"/>
      <c r="V640" s="334"/>
      <c r="W640" s="334"/>
      <c r="X640" s="334"/>
      <c r="Y640" s="334"/>
      <c r="Z640" s="334"/>
      <c r="AA640" s="326" t="s">
        <v>1486</v>
      </c>
      <c r="AD640" s="326" t="s">
        <v>1717</v>
      </c>
      <c r="AE640" s="326" t="s">
        <v>1725</v>
      </c>
      <c r="AF640" s="326" t="s">
        <v>1735</v>
      </c>
      <c r="AJ640" s="326" t="s">
        <v>1487</v>
      </c>
      <c r="AK640" s="326" t="s">
        <v>1488</v>
      </c>
      <c r="AL640" s="326" t="s">
        <v>1489</v>
      </c>
      <c r="AM640" s="326" t="s">
        <v>1490</v>
      </c>
      <c r="AN640" s="326" t="s">
        <v>1490</v>
      </c>
      <c r="AO640" s="326" t="s">
        <v>1491</v>
      </c>
      <c r="AQ640" s="326">
        <v>1068</v>
      </c>
      <c r="AR640" s="326" t="s">
        <v>1463</v>
      </c>
      <c r="AV640" s="326" t="b">
        <v>1</v>
      </c>
      <c r="AW640" t="b">
        <v>1</v>
      </c>
      <c r="AX640" t="b">
        <v>1</v>
      </c>
    </row>
    <row r="641" spans="1:50">
      <c r="A641" s="334" t="s">
        <v>668</v>
      </c>
      <c r="B641" s="328" t="s">
        <v>1166</v>
      </c>
      <c r="C641" s="334">
        <f>'Nunoura 2009, Figure 2'!B67</f>
        <v>55.000000000000007</v>
      </c>
      <c r="P641" s="334"/>
      <c r="V641" s="334"/>
      <c r="W641" s="334"/>
      <c r="X641" s="334"/>
      <c r="Y641" s="334"/>
      <c r="Z641" s="334"/>
      <c r="AQ641">
        <v>1068</v>
      </c>
      <c r="AR641" s="323" t="s">
        <v>1463</v>
      </c>
      <c r="AT641"/>
      <c r="AU641"/>
      <c r="AV641"/>
    </row>
    <row r="642" spans="1:50">
      <c r="A642" s="334" t="s">
        <v>668</v>
      </c>
      <c r="B642" s="328" t="s">
        <v>1166</v>
      </c>
      <c r="C642" s="334">
        <f>'Nunoura 2009, Figure 2'!B68</f>
        <v>65</v>
      </c>
      <c r="P642" s="334"/>
      <c r="V642" s="334"/>
      <c r="W642" s="334"/>
      <c r="X642" s="334"/>
      <c r="Y642" s="334"/>
      <c r="Z642" s="334"/>
      <c r="AQ642" s="322">
        <v>1068</v>
      </c>
      <c r="AR642" s="323" t="s">
        <v>1463</v>
      </c>
      <c r="AT642"/>
      <c r="AU642"/>
      <c r="AV642"/>
    </row>
    <row r="643" spans="1:50">
      <c r="A643" s="334" t="s">
        <v>668</v>
      </c>
      <c r="B643" s="334" t="s">
        <v>1166</v>
      </c>
      <c r="C643" s="334">
        <f>'Nunoura 2009, Figure 2'!B69</f>
        <v>75</v>
      </c>
      <c r="L643" s="301">
        <f>'Nunoura 2009, Figure 2'!H69</f>
        <v>652062.94413415424</v>
      </c>
      <c r="N643" s="27">
        <f>(J643/L643)</f>
        <v>0</v>
      </c>
      <c r="P643" s="334"/>
      <c r="R643" s="304"/>
      <c r="S643" s="304"/>
      <c r="T643" s="304"/>
      <c r="U643" s="304"/>
      <c r="V643" s="334"/>
      <c r="W643" s="334"/>
      <c r="X643" s="334"/>
      <c r="Y643" s="334"/>
      <c r="Z643" s="334"/>
      <c r="AA643" s="326" t="s">
        <v>1486</v>
      </c>
      <c r="AD643" s="326" t="s">
        <v>1717</v>
      </c>
      <c r="AE643" s="326" t="s">
        <v>1725</v>
      </c>
      <c r="AF643" s="326" t="s">
        <v>1735</v>
      </c>
      <c r="AJ643" s="326" t="s">
        <v>1487</v>
      </c>
      <c r="AK643" s="326" t="s">
        <v>1488</v>
      </c>
      <c r="AL643" s="326" t="s">
        <v>1489</v>
      </c>
      <c r="AM643" s="326" t="s">
        <v>1490</v>
      </c>
      <c r="AN643" s="326" t="s">
        <v>1490</v>
      </c>
      <c r="AO643" s="326" t="s">
        <v>1491</v>
      </c>
      <c r="AQ643" s="322">
        <v>1068</v>
      </c>
      <c r="AR643" s="323" t="s">
        <v>1463</v>
      </c>
      <c r="AT643"/>
      <c r="AU643"/>
      <c r="AV643" t="b">
        <v>1</v>
      </c>
      <c r="AW643" t="b">
        <v>1</v>
      </c>
      <c r="AX643" t="b">
        <v>1</v>
      </c>
    </row>
    <row r="644" spans="1:50">
      <c r="A644" s="334" t="s">
        <v>668</v>
      </c>
      <c r="B644" s="328" t="s">
        <v>1166</v>
      </c>
      <c r="C644" s="334">
        <f>'Nunoura 2009, Figure 2'!B70</f>
        <v>85</v>
      </c>
      <c r="H644" s="336"/>
      <c r="L644" s="301">
        <f>'Nunoura 2009, Figure 2'!H70</f>
        <v>1508809.3326672427</v>
      </c>
      <c r="N644" s="27">
        <f>(J644/L644)</f>
        <v>0</v>
      </c>
      <c r="P644" s="334"/>
      <c r="R644" s="304"/>
      <c r="S644" s="304"/>
      <c r="T644" s="304"/>
      <c r="U644" s="304"/>
      <c r="V644" s="334"/>
      <c r="W644" s="334"/>
      <c r="X644" s="334"/>
      <c r="Y644" s="334"/>
      <c r="Z644" s="334"/>
      <c r="AA644" s="326" t="s">
        <v>1486</v>
      </c>
      <c r="AD644" s="326" t="s">
        <v>1717</v>
      </c>
      <c r="AE644" s="326" t="s">
        <v>1725</v>
      </c>
      <c r="AF644" s="326" t="s">
        <v>1735</v>
      </c>
      <c r="AJ644" s="326" t="s">
        <v>1487</v>
      </c>
      <c r="AK644" s="326" t="s">
        <v>1488</v>
      </c>
      <c r="AL644" s="326" t="s">
        <v>1489</v>
      </c>
      <c r="AM644" s="326" t="s">
        <v>1490</v>
      </c>
      <c r="AN644" s="326" t="s">
        <v>1490</v>
      </c>
      <c r="AO644" s="326" t="s">
        <v>1491</v>
      </c>
      <c r="AQ644" s="322">
        <v>1068</v>
      </c>
      <c r="AR644" s="323" t="s">
        <v>1463</v>
      </c>
      <c r="AT644"/>
      <c r="AU644"/>
      <c r="AV644" t="b">
        <v>1</v>
      </c>
      <c r="AW644" t="b">
        <v>1</v>
      </c>
      <c r="AX644" t="b">
        <v>1</v>
      </c>
    </row>
    <row r="645" spans="1:50">
      <c r="A645" s="334" t="s">
        <v>668</v>
      </c>
      <c r="B645" s="328" t="s">
        <v>1166</v>
      </c>
      <c r="C645" s="334">
        <f>'Nunoura 2009, Figure 2'!B71</f>
        <v>135</v>
      </c>
      <c r="H645" s="336"/>
      <c r="P645" s="334"/>
      <c r="R645" s="304"/>
      <c r="S645" s="304"/>
      <c r="T645" s="304"/>
      <c r="U645" s="304"/>
      <c r="V645" s="334"/>
      <c r="W645" s="334"/>
      <c r="X645" s="334"/>
      <c r="Y645" s="334"/>
      <c r="Z645" s="334"/>
      <c r="AQ645" s="322">
        <v>1068</v>
      </c>
      <c r="AR645" s="323" t="s">
        <v>1463</v>
      </c>
      <c r="AT645"/>
      <c r="AU645"/>
      <c r="AV645"/>
    </row>
    <row r="646" spans="1:50">
      <c r="A646" s="334" t="s">
        <v>1018</v>
      </c>
      <c r="B646" s="328" t="s">
        <v>1020</v>
      </c>
      <c r="C646" s="334">
        <f>'Nunoura 2009, Figure 2'!B6</f>
        <v>4.7468354430379742</v>
      </c>
      <c r="D646" s="301">
        <f>'Nunoura 2009, Figure 2'!D6</f>
        <v>11488402.543859115</v>
      </c>
      <c r="H646" s="336"/>
      <c r="J646" s="301">
        <f>'Nunoura 2009, Figure 2'!K6</f>
        <v>632356.04352007608</v>
      </c>
      <c r="L646" s="301">
        <f>'Nunoura 2009, Figure 2'!H6</f>
        <v>24989289.586638782</v>
      </c>
      <c r="N646" s="27">
        <f>(J646/L646)</f>
        <v>2.530508285670445E-2</v>
      </c>
      <c r="P646" s="334"/>
      <c r="R646" s="304"/>
      <c r="S646" s="304"/>
      <c r="T646" s="304"/>
      <c r="U646" s="304"/>
      <c r="V646" s="334"/>
      <c r="W646" s="334"/>
      <c r="X646" s="334"/>
      <c r="Y646" s="334"/>
      <c r="Z646" s="334"/>
      <c r="AA646" s="326" t="s">
        <v>1486</v>
      </c>
      <c r="AD646" s="326" t="s">
        <v>1717</v>
      </c>
      <c r="AE646" s="326" t="s">
        <v>1725</v>
      </c>
      <c r="AF646" s="326" t="s">
        <v>1735</v>
      </c>
      <c r="AJ646" s="326" t="s">
        <v>1487</v>
      </c>
      <c r="AK646" s="326" t="s">
        <v>1488</v>
      </c>
      <c r="AL646" s="326" t="s">
        <v>1489</v>
      </c>
      <c r="AM646" s="326" t="s">
        <v>1490</v>
      </c>
      <c r="AN646" s="326" t="s">
        <v>1490</v>
      </c>
      <c r="AO646" s="326" t="s">
        <v>1491</v>
      </c>
      <c r="AQ646" s="322">
        <v>1440</v>
      </c>
      <c r="AR646" s="323" t="s">
        <v>1463</v>
      </c>
      <c r="AT646"/>
      <c r="AU646"/>
      <c r="AV646" t="b">
        <v>1</v>
      </c>
      <c r="AW646" t="b">
        <v>1</v>
      </c>
      <c r="AX646" t="b">
        <v>1</v>
      </c>
    </row>
    <row r="647" spans="1:50">
      <c r="A647" s="334" t="s">
        <v>1018</v>
      </c>
      <c r="B647" s="328" t="s">
        <v>1020</v>
      </c>
      <c r="C647" s="334">
        <f>'Nunoura 2009, Figure 2'!B7</f>
        <v>9.4936708860759484</v>
      </c>
      <c r="D647" s="301">
        <f>'Nunoura 2009, Figure 2'!D7</f>
        <v>10673916.467288541</v>
      </c>
      <c r="J647" s="301">
        <f>'Nunoura 2009, Figure 2'!K7</f>
        <v>680608.73450381879</v>
      </c>
      <c r="P647" s="334"/>
      <c r="R647" s="304"/>
      <c r="S647" s="304"/>
      <c r="T647" s="304"/>
      <c r="U647" s="304"/>
      <c r="V647" s="334"/>
      <c r="W647" s="334"/>
      <c r="X647" s="334"/>
      <c r="Y647" s="334"/>
      <c r="Z647" s="334"/>
      <c r="AQ647" s="322">
        <v>1440</v>
      </c>
      <c r="AR647" s="323" t="s">
        <v>1463</v>
      </c>
      <c r="AT647"/>
      <c r="AU647"/>
      <c r="AV647"/>
    </row>
    <row r="648" spans="1:50">
      <c r="A648" s="334" t="s">
        <v>1018</v>
      </c>
      <c r="B648" s="334" t="s">
        <v>1020</v>
      </c>
      <c r="C648" s="334">
        <f>'Nunoura 2009, Figure 2'!B8</f>
        <v>13.291139240506329</v>
      </c>
      <c r="D648" s="301">
        <f>'Nunoura 2009, Figure 2'!D8</f>
        <v>5927028.8601978552</v>
      </c>
      <c r="J648" s="301">
        <f>'Nunoura 2009, Figure 2'!K8</f>
        <v>471214.11886284687</v>
      </c>
      <c r="L648" s="301">
        <f>'Nunoura 2009, Figure 2'!H8</f>
        <v>45002917.299066715</v>
      </c>
      <c r="N648" s="27">
        <f>(J648/L648)</f>
        <v>1.0470746057003266E-2</v>
      </c>
      <c r="P648" s="334"/>
      <c r="R648" s="304"/>
      <c r="S648" s="304"/>
      <c r="T648" s="304"/>
      <c r="U648" s="304"/>
      <c r="V648" s="334"/>
      <c r="W648" s="334"/>
      <c r="X648" s="334"/>
      <c r="Y648" s="334"/>
      <c r="Z648" s="334"/>
      <c r="AA648" s="326" t="s">
        <v>1486</v>
      </c>
      <c r="AD648" s="326" t="s">
        <v>1717</v>
      </c>
      <c r="AE648" s="326" t="s">
        <v>1725</v>
      </c>
      <c r="AF648" s="326" t="s">
        <v>1735</v>
      </c>
      <c r="AJ648" s="326" t="s">
        <v>1487</v>
      </c>
      <c r="AK648" s="326" t="s">
        <v>1488</v>
      </c>
      <c r="AL648" s="326" t="s">
        <v>1489</v>
      </c>
      <c r="AM648" s="326" t="s">
        <v>1490</v>
      </c>
      <c r="AN648" s="326" t="s">
        <v>1490</v>
      </c>
      <c r="AO648" s="326" t="s">
        <v>1491</v>
      </c>
      <c r="AQ648">
        <v>1440</v>
      </c>
      <c r="AR648" s="323" t="s">
        <v>1463</v>
      </c>
      <c r="AT648"/>
      <c r="AU648"/>
      <c r="AV648" t="b">
        <v>1</v>
      </c>
      <c r="AW648" t="b">
        <v>1</v>
      </c>
      <c r="AX648" t="b">
        <v>1</v>
      </c>
    </row>
    <row r="649" spans="1:50">
      <c r="A649" s="334" t="s">
        <v>668</v>
      </c>
      <c r="B649" s="328" t="s">
        <v>1020</v>
      </c>
      <c r="C649" s="334">
        <f>'Nunoura 2009, Figure 2'!B9</f>
        <v>18.987341772151897</v>
      </c>
      <c r="D649" s="301">
        <f>'Nunoura 2009, Figure 2'!D9</f>
        <v>419900.73203820194</v>
      </c>
      <c r="P649" s="334"/>
      <c r="R649" s="304"/>
      <c r="S649" s="304"/>
      <c r="T649" s="304"/>
      <c r="U649" s="304"/>
      <c r="V649" s="334"/>
      <c r="W649" s="334"/>
      <c r="X649" s="334"/>
      <c r="Y649" s="334"/>
      <c r="Z649" s="334"/>
      <c r="AQ649" s="322">
        <v>1440</v>
      </c>
      <c r="AR649" s="323" t="s">
        <v>1463</v>
      </c>
      <c r="AT649"/>
      <c r="AU649"/>
      <c r="AV649"/>
    </row>
    <row r="650" spans="1:50">
      <c r="A650" s="334" t="s">
        <v>668</v>
      </c>
      <c r="B650" s="328" t="s">
        <v>1020</v>
      </c>
      <c r="C650" s="334">
        <f>'Nunoura 2009, Figure 2'!B10</f>
        <v>22.784810126582279</v>
      </c>
      <c r="D650" s="301">
        <f>'Nunoura 2009, Figure 2'!D10</f>
        <v>201274.23492816195</v>
      </c>
      <c r="P650" s="334"/>
      <c r="R650" s="304"/>
      <c r="S650" s="304"/>
      <c r="T650" s="304"/>
      <c r="U650" s="304"/>
      <c r="V650" s="334"/>
      <c r="W650" s="334"/>
      <c r="X650" s="334"/>
      <c r="Y650" s="334"/>
      <c r="Z650" s="334"/>
      <c r="AQ650" s="322">
        <v>1440</v>
      </c>
      <c r="AR650" s="323" t="s">
        <v>1463</v>
      </c>
      <c r="AT650"/>
      <c r="AU650"/>
      <c r="AV650"/>
    </row>
    <row r="651" spans="1:50">
      <c r="A651" s="334" t="s">
        <v>668</v>
      </c>
      <c r="B651" s="328" t="s">
        <v>1020</v>
      </c>
      <c r="C651" s="334">
        <f>'Nunoura 2009, Figure 2'!B11</f>
        <v>30.379746835443036</v>
      </c>
      <c r="D651" s="301">
        <f>'Nunoura 2009, Figure 2'!D11</f>
        <v>83283.323500046637</v>
      </c>
      <c r="P651" s="334"/>
      <c r="R651" s="304"/>
      <c r="S651" s="304"/>
      <c r="T651" s="304"/>
      <c r="U651" s="322"/>
      <c r="V651" s="334"/>
      <c r="W651" s="334"/>
      <c r="X651" s="334"/>
      <c r="Y651" s="334"/>
      <c r="Z651" s="334"/>
      <c r="AQ651" s="322">
        <v>1440</v>
      </c>
      <c r="AR651" s="323" t="s">
        <v>1463</v>
      </c>
      <c r="AT651"/>
      <c r="AU651"/>
      <c r="AV651"/>
    </row>
    <row r="652" spans="1:50">
      <c r="A652" s="334" t="s">
        <v>668</v>
      </c>
      <c r="B652" s="328" t="s">
        <v>1020</v>
      </c>
      <c r="C652" s="334">
        <f>'Nunoura 2009, Figure 2'!B12</f>
        <v>37.974683544303794</v>
      </c>
      <c r="D652" s="301">
        <f>'Nunoura 2009, Figure 2'!D12</f>
        <v>1175569.9009190125</v>
      </c>
      <c r="P652" s="334"/>
      <c r="R652" s="304"/>
      <c r="S652" s="304"/>
      <c r="T652" s="304"/>
      <c r="U652" s="322"/>
      <c r="V652" s="334"/>
      <c r="W652" s="334"/>
      <c r="X652" s="334"/>
      <c r="Y652" s="334"/>
      <c r="Z652" s="334"/>
      <c r="AQ652" s="322">
        <v>1440</v>
      </c>
      <c r="AR652" s="323" t="s">
        <v>1463</v>
      </c>
      <c r="AT652"/>
      <c r="AU652"/>
      <c r="AV652"/>
    </row>
    <row r="653" spans="1:50">
      <c r="A653" s="334" t="s">
        <v>668</v>
      </c>
      <c r="B653" s="334" t="s">
        <v>1020</v>
      </c>
      <c r="C653" s="334">
        <f>'Nunoura 2009, Figure 2'!B13</f>
        <v>47.468354430379748</v>
      </c>
      <c r="D653" s="301">
        <f>'Nunoura 2009, Figure 2'!D13</f>
        <v>362472.39912526682</v>
      </c>
      <c r="P653" s="334"/>
      <c r="R653" s="304"/>
      <c r="S653" s="304"/>
      <c r="T653" s="304"/>
      <c r="U653" s="322"/>
      <c r="V653" s="334"/>
      <c r="W653" s="334"/>
      <c r="X653" s="334"/>
      <c r="Y653" s="334"/>
      <c r="Z653" s="334"/>
      <c r="AQ653" s="322">
        <v>1440</v>
      </c>
      <c r="AR653" s="323" t="s">
        <v>1463</v>
      </c>
      <c r="AT653"/>
      <c r="AU653"/>
      <c r="AV653"/>
    </row>
    <row r="654" spans="1:50">
      <c r="A654" s="334" t="s">
        <v>668</v>
      </c>
      <c r="B654" s="328" t="s">
        <v>1020</v>
      </c>
      <c r="C654" s="334">
        <f>'Nunoura 2009, Figure 2'!B14</f>
        <v>56.962025316455694</v>
      </c>
      <c r="D654" s="301">
        <f>'Nunoura 2009, Figure 2'!D14</f>
        <v>96478.321076685534</v>
      </c>
      <c r="P654" s="334"/>
      <c r="R654" s="304"/>
      <c r="S654" s="304"/>
      <c r="T654" s="304"/>
      <c r="U654" s="322"/>
      <c r="V654" s="334"/>
      <c r="W654" s="334"/>
      <c r="X654" s="334"/>
      <c r="Y654" s="328"/>
      <c r="Z654" s="334"/>
      <c r="AQ654" s="322">
        <v>1440</v>
      </c>
      <c r="AR654" s="323" t="s">
        <v>1463</v>
      </c>
      <c r="AT654"/>
      <c r="AU654"/>
      <c r="AV654"/>
    </row>
    <row r="655" spans="1:50">
      <c r="A655" s="334" t="s">
        <v>668</v>
      </c>
      <c r="B655" s="334" t="s">
        <v>1020</v>
      </c>
      <c r="C655" s="334">
        <f>'Nunoura 2009, Figure 2'!B15</f>
        <v>66.455696202531641</v>
      </c>
      <c r="D655" s="301">
        <f>'Nunoura 2009, Figure 2'!D15</f>
        <v>201274.23492816195</v>
      </c>
      <c r="P655" s="334"/>
      <c r="R655" s="304"/>
      <c r="S655" s="304"/>
      <c r="T655" s="304"/>
      <c r="U655" s="322"/>
      <c r="V655" s="334"/>
      <c r="W655" s="334"/>
      <c r="X655" s="334"/>
      <c r="Y655" s="328"/>
      <c r="Z655" s="334"/>
      <c r="AA655" s="334"/>
      <c r="AE655" s="334"/>
      <c r="AQ655" s="322">
        <v>1440</v>
      </c>
      <c r="AR655" s="323" t="s">
        <v>1463</v>
      </c>
      <c r="AT655"/>
      <c r="AU655"/>
      <c r="AV655"/>
    </row>
    <row r="656" spans="1:50">
      <c r="A656" s="334" t="s">
        <v>668</v>
      </c>
      <c r="B656" s="334" t="s">
        <v>1020</v>
      </c>
      <c r="C656" s="334">
        <f>'Nunoura 2009, Figure 2'!B16</f>
        <v>75.949367088607588</v>
      </c>
      <c r="D656" s="301">
        <f>'Nunoura 2009, Figure 2'!D16</f>
        <v>66796.008853251245</v>
      </c>
      <c r="L656" s="301">
        <f>'Nunoura 2009, Figure 2'!H16</f>
        <v>545870.95164966257</v>
      </c>
      <c r="N656" s="27">
        <f>(J656/L656)</f>
        <v>0</v>
      </c>
      <c r="P656" s="334"/>
      <c r="R656" s="304"/>
      <c r="S656" s="304"/>
      <c r="T656" s="304"/>
      <c r="U656" s="322"/>
      <c r="V656" s="334"/>
      <c r="W656" s="334"/>
      <c r="X656" s="334"/>
      <c r="Y656" s="328"/>
      <c r="Z656" s="334"/>
      <c r="AA656" s="326" t="s">
        <v>1486</v>
      </c>
      <c r="AD656" s="326" t="s">
        <v>1717</v>
      </c>
      <c r="AE656" s="326" t="s">
        <v>1725</v>
      </c>
      <c r="AF656" s="326" t="s">
        <v>1735</v>
      </c>
      <c r="AJ656" s="326" t="s">
        <v>1487</v>
      </c>
      <c r="AK656" s="326" t="s">
        <v>1488</v>
      </c>
      <c r="AL656" s="326" t="s">
        <v>1489</v>
      </c>
      <c r="AM656" s="326" t="s">
        <v>1490</v>
      </c>
      <c r="AN656" s="326" t="s">
        <v>1490</v>
      </c>
      <c r="AO656" s="326" t="s">
        <v>1491</v>
      </c>
      <c r="AQ656" s="322">
        <v>1440</v>
      </c>
      <c r="AR656" s="323" t="s">
        <v>1463</v>
      </c>
      <c r="AT656"/>
      <c r="AU656"/>
      <c r="AV656" t="b">
        <v>1</v>
      </c>
      <c r="AW656" t="b">
        <v>1</v>
      </c>
      <c r="AX656" t="b">
        <v>1</v>
      </c>
    </row>
    <row r="657" spans="1:50">
      <c r="A657" s="334" t="s">
        <v>668</v>
      </c>
      <c r="B657" s="328" t="s">
        <v>1020</v>
      </c>
      <c r="C657" s="334">
        <f>'Nunoura 2009, Figure 2'!B17</f>
        <v>84.493670886075947</v>
      </c>
      <c r="D657" s="301">
        <f>'Nunoura 2009, Figure 2'!D17</f>
        <v>201274.23492816195</v>
      </c>
      <c r="L657" s="301">
        <f>'Nunoura 2009, Figure 2'!H17</f>
        <v>1058065.5801533326</v>
      </c>
      <c r="N657" s="27">
        <f>(J657/L657)</f>
        <v>0</v>
      </c>
      <c r="P657" s="334"/>
      <c r="R657" s="304"/>
      <c r="S657" s="304"/>
      <c r="T657" s="304"/>
      <c r="U657" s="322"/>
      <c r="V657" s="334"/>
      <c r="W657" s="334"/>
      <c r="X657" s="334"/>
      <c r="Y657" s="328"/>
      <c r="Z657" s="334"/>
      <c r="AA657" s="328" t="s">
        <v>1486</v>
      </c>
      <c r="AD657" s="326" t="s">
        <v>1717</v>
      </c>
      <c r="AE657" s="328" t="s">
        <v>1725</v>
      </c>
      <c r="AF657" s="326" t="s">
        <v>1735</v>
      </c>
      <c r="AJ657" s="326" t="s">
        <v>1487</v>
      </c>
      <c r="AK657" s="326" t="s">
        <v>1488</v>
      </c>
      <c r="AL657" s="326" t="s">
        <v>1489</v>
      </c>
      <c r="AM657" s="326" t="s">
        <v>1490</v>
      </c>
      <c r="AN657" s="326" t="s">
        <v>1490</v>
      </c>
      <c r="AO657" s="326" t="s">
        <v>1491</v>
      </c>
      <c r="AQ657" s="322">
        <v>1440</v>
      </c>
      <c r="AR657" s="323" t="s">
        <v>1463</v>
      </c>
      <c r="AT657"/>
      <c r="AU657"/>
      <c r="AV657" t="b">
        <v>1</v>
      </c>
      <c r="AW657" t="b">
        <v>1</v>
      </c>
      <c r="AX657" t="b">
        <v>1</v>
      </c>
    </row>
    <row r="658" spans="1:50">
      <c r="A658" s="334" t="s">
        <v>668</v>
      </c>
      <c r="B658" s="334" t="s">
        <v>1020</v>
      </c>
      <c r="C658" s="334">
        <f>'Nunoura 2009, Figure 2'!B18</f>
        <v>100.63291139240506</v>
      </c>
      <c r="D658" s="301">
        <f>'Nunoura 2009, Figure 2'!D18</f>
        <v>96478.321076685534</v>
      </c>
      <c r="L658" s="301">
        <f>'Nunoura 2009, Figure 2'!H18</f>
        <v>471214.11886284687</v>
      </c>
      <c r="N658" s="27">
        <f>(J658/L658)</f>
        <v>0</v>
      </c>
      <c r="P658" s="334"/>
      <c r="R658" s="304"/>
      <c r="S658" s="304"/>
      <c r="T658" s="304"/>
      <c r="U658" s="322"/>
      <c r="V658" s="334"/>
      <c r="W658" s="334"/>
      <c r="X658" s="334"/>
      <c r="Y658" s="328"/>
      <c r="Z658" s="334"/>
      <c r="AA658" s="326" t="s">
        <v>1486</v>
      </c>
      <c r="AD658" s="326" t="s">
        <v>1717</v>
      </c>
      <c r="AE658" s="326" t="s">
        <v>1725</v>
      </c>
      <c r="AF658" s="326" t="s">
        <v>1735</v>
      </c>
      <c r="AJ658" s="326" t="s">
        <v>1487</v>
      </c>
      <c r="AK658" s="326" t="s">
        <v>1488</v>
      </c>
      <c r="AL658" s="326" t="s">
        <v>1489</v>
      </c>
      <c r="AM658" s="326" t="s">
        <v>1490</v>
      </c>
      <c r="AN658" s="326" t="s">
        <v>1490</v>
      </c>
      <c r="AO658" s="326" t="s">
        <v>1491</v>
      </c>
      <c r="AQ658" s="322">
        <v>1440</v>
      </c>
      <c r="AR658" s="323" t="s">
        <v>1463</v>
      </c>
      <c r="AT658"/>
      <c r="AU658"/>
      <c r="AV658" t="b">
        <v>1</v>
      </c>
      <c r="AW658" t="b">
        <v>1</v>
      </c>
      <c r="AX658" t="b">
        <v>1</v>
      </c>
    </row>
    <row r="659" spans="1:50">
      <c r="A659" s="334" t="s">
        <v>668</v>
      </c>
      <c r="B659" s="334" t="s">
        <v>1020</v>
      </c>
      <c r="C659" s="334">
        <f>'Nunoura 2009, Figure 2'!B19</f>
        <v>110.12658227848101</v>
      </c>
      <c r="D659" s="301">
        <f>'Nunoura 2009, Figure 2'!D19</f>
        <v>49774.526199084925</v>
      </c>
      <c r="L659" s="301">
        <f>'Nunoura 2009, Figure 2'!H19</f>
        <v>281622.52080038982</v>
      </c>
      <c r="N659" s="27">
        <f>(J659/L659)</f>
        <v>0</v>
      </c>
      <c r="P659" s="334"/>
      <c r="R659" s="304"/>
      <c r="S659" s="304"/>
      <c r="T659" s="304"/>
      <c r="U659" s="322"/>
      <c r="V659" s="334"/>
      <c r="W659" s="334"/>
      <c r="X659" s="334"/>
      <c r="Y659" s="334"/>
      <c r="Z659" s="334"/>
      <c r="AA659" s="326" t="s">
        <v>1486</v>
      </c>
      <c r="AD659" s="326" t="s">
        <v>1717</v>
      </c>
      <c r="AE659" s="326" t="s">
        <v>1725</v>
      </c>
      <c r="AF659" s="326" t="s">
        <v>1735</v>
      </c>
      <c r="AJ659" s="326" t="s">
        <v>1487</v>
      </c>
      <c r="AK659" s="326" t="s">
        <v>1488</v>
      </c>
      <c r="AL659" s="326" t="s">
        <v>1489</v>
      </c>
      <c r="AM659" s="326" t="s">
        <v>1490</v>
      </c>
      <c r="AN659" s="326" t="s">
        <v>1490</v>
      </c>
      <c r="AO659" s="326" t="s">
        <v>1491</v>
      </c>
      <c r="AQ659" s="322">
        <v>1440</v>
      </c>
      <c r="AR659" s="323" t="s">
        <v>1463</v>
      </c>
      <c r="AT659"/>
      <c r="AU659"/>
      <c r="AV659" t="b">
        <v>1</v>
      </c>
      <c r="AW659" t="b">
        <v>1</v>
      </c>
      <c r="AX659" t="b">
        <v>1</v>
      </c>
    </row>
    <row r="660" spans="1:50">
      <c r="A660" s="334" t="s">
        <v>668</v>
      </c>
      <c r="B660" s="328" t="s">
        <v>1020</v>
      </c>
      <c r="C660" s="334">
        <f>'Nunoura 2009, Figure 2'!B20</f>
        <v>132.91139240506328</v>
      </c>
      <c r="D660" s="301">
        <f>'Nunoura 2009, Figure 2'!D20</f>
        <v>96478.321076685534</v>
      </c>
      <c r="L660" s="301">
        <f>'Nunoura 2009, Figure 2'!H20</f>
        <v>471214.11886284687</v>
      </c>
      <c r="N660" s="27">
        <f>(J660/L660)</f>
        <v>0</v>
      </c>
      <c r="O660" s="304"/>
      <c r="P660" s="334"/>
      <c r="R660" s="304"/>
      <c r="S660" s="304"/>
      <c r="T660" s="304"/>
      <c r="U660" s="322"/>
      <c r="V660" s="334"/>
      <c r="W660" s="334"/>
      <c r="X660" s="334"/>
      <c r="Y660" s="328"/>
      <c r="Z660" s="334"/>
      <c r="AA660" s="326" t="s">
        <v>1486</v>
      </c>
      <c r="AD660" s="326" t="s">
        <v>1717</v>
      </c>
      <c r="AE660" s="326" t="s">
        <v>1725</v>
      </c>
      <c r="AF660" s="326" t="s">
        <v>1735</v>
      </c>
      <c r="AJ660" s="326" t="s">
        <v>1487</v>
      </c>
      <c r="AK660" s="326" t="s">
        <v>1488</v>
      </c>
      <c r="AL660" s="326" t="s">
        <v>1489</v>
      </c>
      <c r="AM660" s="326" t="s">
        <v>1490</v>
      </c>
      <c r="AN660" s="326" t="s">
        <v>1490</v>
      </c>
      <c r="AO660" s="326" t="s">
        <v>1491</v>
      </c>
      <c r="AQ660" s="322">
        <v>1440</v>
      </c>
      <c r="AR660" s="323" t="s">
        <v>1463</v>
      </c>
      <c r="AT660"/>
      <c r="AU660"/>
      <c r="AV660" t="b">
        <v>1</v>
      </c>
      <c r="AW660" t="b">
        <v>1</v>
      </c>
      <c r="AX660" t="b">
        <v>1</v>
      </c>
    </row>
    <row r="661" spans="1:50">
      <c r="A661" s="334" t="s">
        <v>668</v>
      </c>
      <c r="B661" s="328" t="s">
        <v>1020</v>
      </c>
      <c r="C661" s="334">
        <f>'Nunoura 2009, Figure 2'!B21</f>
        <v>150</v>
      </c>
      <c r="D661" s="301">
        <f>'Nunoura 2009, Figure 2'!D21</f>
        <v>49774.526199084925</v>
      </c>
      <c r="O661" s="304"/>
      <c r="P661" s="303"/>
      <c r="R661" s="304"/>
      <c r="S661" s="304"/>
      <c r="T661" s="304"/>
      <c r="U661" s="304"/>
      <c r="V661" s="334"/>
      <c r="W661" s="334"/>
      <c r="X661" s="334"/>
      <c r="Y661" s="334"/>
      <c r="Z661" s="334"/>
      <c r="AQ661" s="322">
        <v>1440</v>
      </c>
      <c r="AR661" t="s">
        <v>1463</v>
      </c>
      <c r="AT661"/>
      <c r="AU661"/>
      <c r="AV661"/>
    </row>
    <row r="662" spans="1:50">
      <c r="A662" s="334" t="s">
        <v>668</v>
      </c>
      <c r="B662" s="328" t="s">
        <v>1019</v>
      </c>
      <c r="C662" s="334">
        <f>'Nunoura 2009, Figure 2'!B25</f>
        <v>4.8</v>
      </c>
      <c r="D662" s="301">
        <f>'Nunoura 2009, Figure 2'!D25</f>
        <v>11386176.017696146</v>
      </c>
      <c r="J662" s="301">
        <f>'Nunoura 2009, Figure 2'!K25</f>
        <v>13489670.629360413</v>
      </c>
      <c r="L662" s="301">
        <f>'Nunoura 2009, Figure 2'!H25</f>
        <v>59582639.853182875</v>
      </c>
      <c r="N662" s="27">
        <f>(J662/L662)</f>
        <v>0.22640270156878256</v>
      </c>
      <c r="O662" s="304"/>
      <c r="P662" s="323"/>
      <c r="R662" s="304"/>
      <c r="S662" s="304"/>
      <c r="T662" s="304"/>
      <c r="U662" s="304"/>
      <c r="V662" s="334"/>
      <c r="W662" s="334"/>
      <c r="X662" s="334"/>
      <c r="Y662" s="328"/>
      <c r="Z662" s="334"/>
      <c r="AA662" s="326" t="s">
        <v>1486</v>
      </c>
      <c r="AD662" s="326" t="s">
        <v>1717</v>
      </c>
      <c r="AE662" s="326" t="s">
        <v>1725</v>
      </c>
      <c r="AF662" s="326" t="s">
        <v>1735</v>
      </c>
      <c r="AJ662" s="326" t="s">
        <v>1487</v>
      </c>
      <c r="AK662" s="326" t="s">
        <v>1488</v>
      </c>
      <c r="AL662" s="326" t="s">
        <v>1489</v>
      </c>
      <c r="AM662" s="326" t="s">
        <v>1490</v>
      </c>
      <c r="AN662" s="326" t="s">
        <v>1490</v>
      </c>
      <c r="AO662" s="326" t="s">
        <v>1491</v>
      </c>
      <c r="AQ662" s="322">
        <v>1480</v>
      </c>
      <c r="AR662" t="s">
        <v>1463</v>
      </c>
      <c r="AT662"/>
      <c r="AU662"/>
      <c r="AV662" t="b">
        <v>1</v>
      </c>
      <c r="AW662" t="b">
        <v>1</v>
      </c>
      <c r="AX662" t="b">
        <v>1</v>
      </c>
    </row>
    <row r="663" spans="1:50">
      <c r="A663" s="334" t="s">
        <v>668</v>
      </c>
      <c r="B663" s="334" t="s">
        <v>1019</v>
      </c>
      <c r="C663" s="334">
        <f>'Nunoura 2009, Figure 2'!B26</f>
        <v>9.6</v>
      </c>
      <c r="D663" s="301">
        <f>'Nunoura 2009, Figure 2'!D26</f>
        <v>12493893.307589039</v>
      </c>
      <c r="J663" s="301">
        <f>'Nunoura 2009, Figure 2'!K26</f>
        <v>9305115.046952961</v>
      </c>
      <c r="L663" s="301">
        <f>'Nunoura 2009, Figure 2'!H26</f>
        <v>137403829.97152629</v>
      </c>
      <c r="N663" s="27">
        <f>(J663/L663)</f>
        <v>6.7720929241064293E-2</v>
      </c>
      <c r="O663" s="304"/>
      <c r="P663" s="303"/>
      <c r="R663" s="304"/>
      <c r="S663" s="304"/>
      <c r="T663" s="304"/>
      <c r="U663" s="304"/>
      <c r="V663" s="334"/>
      <c r="W663" s="334"/>
      <c r="X663" s="334"/>
      <c r="Y663" s="334"/>
      <c r="Z663" s="334"/>
      <c r="AA663" s="326" t="s">
        <v>1486</v>
      </c>
      <c r="AD663" s="326" t="s">
        <v>1717</v>
      </c>
      <c r="AE663" s="326" t="s">
        <v>1725</v>
      </c>
      <c r="AF663" s="326" t="s">
        <v>1735</v>
      </c>
      <c r="AJ663" s="326" t="s">
        <v>1487</v>
      </c>
      <c r="AK663" s="326" t="s">
        <v>1488</v>
      </c>
      <c r="AL663" s="326" t="s">
        <v>1489</v>
      </c>
      <c r="AM663" s="326" t="s">
        <v>1490</v>
      </c>
      <c r="AN663" s="326" t="s">
        <v>1490</v>
      </c>
      <c r="AO663" s="326" t="s">
        <v>1491</v>
      </c>
      <c r="AQ663" s="322">
        <v>1480</v>
      </c>
      <c r="AR663" t="s">
        <v>1463</v>
      </c>
      <c r="AT663"/>
      <c r="AU663"/>
      <c r="AV663" t="b">
        <v>1</v>
      </c>
      <c r="AW663" t="b">
        <v>1</v>
      </c>
      <c r="AX663" t="b">
        <v>1</v>
      </c>
    </row>
    <row r="664" spans="1:50">
      <c r="A664" s="334" t="s">
        <v>668</v>
      </c>
      <c r="B664" s="334" t="s">
        <v>1019</v>
      </c>
      <c r="C664" s="334">
        <f>'Nunoura 2009, Figure 2'!B27</f>
        <v>14.4</v>
      </c>
      <c r="D664" s="301">
        <f>'Nunoura 2009, Figure 2'!D27</f>
        <v>41769231.899952553</v>
      </c>
      <c r="J664" s="301">
        <f>'Nunoura 2009, Figure 2'!K27</f>
        <v>4427540.5708548073</v>
      </c>
      <c r="O664" s="304"/>
      <c r="P664" s="293"/>
      <c r="V664" s="334"/>
      <c r="W664" s="334"/>
      <c r="X664" s="334"/>
      <c r="Y664" s="328"/>
      <c r="Z664" s="334"/>
      <c r="AQ664" s="322">
        <v>1480</v>
      </c>
      <c r="AR664" t="s">
        <v>1463</v>
      </c>
      <c r="AT664"/>
      <c r="AU664"/>
      <c r="AV664"/>
    </row>
    <row r="665" spans="1:50">
      <c r="A665" s="334" t="s">
        <v>668</v>
      </c>
      <c r="B665" s="334" t="s">
        <v>1019</v>
      </c>
      <c r="C665" s="334">
        <f>'Nunoura 2009, Figure 2'!B28</f>
        <v>21.6</v>
      </c>
      <c r="D665" s="301">
        <f>'Nunoura 2009, Figure 2'!D28</f>
        <v>6523166.969601023</v>
      </c>
      <c r="O665" s="304"/>
      <c r="P665" s="303"/>
      <c r="V665" s="334"/>
      <c r="W665" s="334"/>
      <c r="X665" s="334"/>
      <c r="Y665" s="328"/>
      <c r="Z665" s="334"/>
      <c r="AQ665" s="322">
        <v>1480</v>
      </c>
      <c r="AR665" t="s">
        <v>1463</v>
      </c>
      <c r="AT665"/>
      <c r="AU665"/>
      <c r="AV665"/>
    </row>
    <row r="666" spans="1:50">
      <c r="A666" s="334" t="s">
        <v>668</v>
      </c>
      <c r="B666" s="334" t="s">
        <v>1019</v>
      </c>
      <c r="C666" s="334">
        <f>'Nunoura 2009, Figure 2'!B29</f>
        <v>28.8</v>
      </c>
      <c r="D666" s="301">
        <f>'Nunoura 2009, Figure 2'!D29</f>
        <v>4499651.6809320301</v>
      </c>
      <c r="O666" s="304"/>
      <c r="P666" s="328"/>
      <c r="V666" s="334"/>
      <c r="W666" s="334"/>
      <c r="X666" s="334"/>
      <c r="Y666" s="328"/>
      <c r="Z666" s="334"/>
      <c r="AQ666" s="322">
        <v>1480</v>
      </c>
      <c r="AR666" t="s">
        <v>1463</v>
      </c>
      <c r="AT666"/>
      <c r="AU666"/>
      <c r="AV666"/>
    </row>
    <row r="667" spans="1:50">
      <c r="A667" s="334" t="s">
        <v>668</v>
      </c>
      <c r="B667" s="334" t="s">
        <v>1019</v>
      </c>
      <c r="C667" s="334">
        <f>'Nunoura 2009, Figure 2'!B30</f>
        <v>38.4</v>
      </c>
      <c r="D667" s="301">
        <f>'Nunoura 2009, Figure 2'!D30</f>
        <v>4499651.6809320301</v>
      </c>
      <c r="O667" s="304"/>
      <c r="P667" s="328"/>
      <c r="V667" s="334"/>
      <c r="W667" s="334"/>
      <c r="X667" s="334"/>
      <c r="Y667" s="334"/>
      <c r="Z667" s="334"/>
      <c r="AQ667" s="322">
        <v>1480</v>
      </c>
      <c r="AR667" t="s">
        <v>1463</v>
      </c>
      <c r="AT667"/>
      <c r="AU667"/>
      <c r="AV667"/>
    </row>
    <row r="668" spans="1:50">
      <c r="A668" s="334" t="s">
        <v>668</v>
      </c>
      <c r="B668" s="328" t="s">
        <v>1019</v>
      </c>
      <c r="C668" s="334">
        <f>'Nunoura 2009, Figure 2'!B31</f>
        <v>60</v>
      </c>
      <c r="D668" s="301">
        <f>'Nunoura 2009, Figure 2'!D31</f>
        <v>2141014.9440941447</v>
      </c>
      <c r="O668" s="304"/>
      <c r="P668" s="328"/>
      <c r="V668" s="334"/>
      <c r="W668" s="334"/>
      <c r="X668" s="334"/>
      <c r="Y668" s="334"/>
      <c r="Z668" s="334"/>
      <c r="AQ668" s="322">
        <v>1480</v>
      </c>
      <c r="AR668" t="s">
        <v>1463</v>
      </c>
      <c r="AT668"/>
      <c r="AU668"/>
      <c r="AV668"/>
    </row>
    <row r="669" spans="1:50">
      <c r="A669" s="334" t="s">
        <v>668</v>
      </c>
      <c r="B669" s="328" t="s">
        <v>1019</v>
      </c>
      <c r="C669" s="334">
        <f>'Nunoura 2009, Figure 2'!B32</f>
        <v>62.4</v>
      </c>
      <c r="D669" s="301">
        <f>'Nunoura 2009, Figure 2'!D32</f>
        <v>846098.06462864543</v>
      </c>
      <c r="O669" s="304"/>
      <c r="P669" s="328"/>
      <c r="V669" s="334"/>
      <c r="W669" s="334"/>
      <c r="X669" s="334"/>
      <c r="Y669" s="334"/>
      <c r="Z669" s="334"/>
      <c r="AQ669" s="322">
        <v>1480</v>
      </c>
      <c r="AR669" t="s">
        <v>1463</v>
      </c>
      <c r="AT669"/>
      <c r="AU669"/>
      <c r="AV669"/>
    </row>
    <row r="670" spans="1:50">
      <c r="A670" s="334" t="s">
        <v>668</v>
      </c>
      <c r="B670" s="334" t="s">
        <v>1019</v>
      </c>
      <c r="C670" s="334">
        <f>'Nunoura 2009, Figure 2'!B33</f>
        <v>81.599999999999994</v>
      </c>
      <c r="D670" s="301">
        <f>'Nunoura 2009, Figure 2'!D33</f>
        <v>771082.42042070441</v>
      </c>
      <c r="O670" s="304"/>
      <c r="P670" s="328"/>
      <c r="V670" s="334"/>
      <c r="W670" s="334"/>
      <c r="X670" s="334"/>
      <c r="Y670" s="334"/>
      <c r="Z670" s="334"/>
      <c r="AQ670" s="322">
        <v>1480</v>
      </c>
      <c r="AR670" t="s">
        <v>1463</v>
      </c>
      <c r="AS670" s="322"/>
      <c r="AT670"/>
      <c r="AU670"/>
      <c r="AV670"/>
    </row>
    <row r="671" spans="1:50">
      <c r="A671" s="334" t="s">
        <v>668</v>
      </c>
      <c r="B671" s="334" t="s">
        <v>1019</v>
      </c>
      <c r="C671" s="334">
        <f>'Nunoura 2009, Figure 2'!B34</f>
        <v>93.6</v>
      </c>
      <c r="D671" s="301">
        <f>'Nunoura 2009, Figure 2'!D34</f>
        <v>640414.27301171876</v>
      </c>
      <c r="J671" s="301">
        <f>'Nunoura 2009, Figure 2'!K34</f>
        <v>1453194.5252909947</v>
      </c>
      <c r="L671" s="301">
        <f>'Nunoura 2009, Figure 2'!H34</f>
        <v>86377243.353958875</v>
      </c>
      <c r="N671" s="27">
        <f>(J671/L671)</f>
        <v>1.682381225499472E-2</v>
      </c>
      <c r="O671" s="304"/>
      <c r="P671" s="328"/>
      <c r="V671" s="334"/>
      <c r="W671" s="334"/>
      <c r="X671" s="334"/>
      <c r="Y671" s="334"/>
      <c r="Z671" s="334"/>
      <c r="AA671" s="326" t="s">
        <v>1486</v>
      </c>
      <c r="AD671" s="326" t="s">
        <v>1717</v>
      </c>
      <c r="AE671" s="326" t="s">
        <v>1725</v>
      </c>
      <c r="AF671" s="326" t="s">
        <v>1735</v>
      </c>
      <c r="AJ671" s="326" t="s">
        <v>1487</v>
      </c>
      <c r="AK671" s="326" t="s">
        <v>1488</v>
      </c>
      <c r="AL671" s="326" t="s">
        <v>1489</v>
      </c>
      <c r="AM671" s="326" t="s">
        <v>1490</v>
      </c>
      <c r="AN671" s="326" t="s">
        <v>1490</v>
      </c>
      <c r="AO671" s="326" t="s">
        <v>1491</v>
      </c>
      <c r="AQ671" s="322">
        <v>1480</v>
      </c>
      <c r="AR671" t="s">
        <v>1463</v>
      </c>
      <c r="AS671" s="322"/>
      <c r="AT671"/>
      <c r="AU671"/>
      <c r="AV671" t="b">
        <v>1</v>
      </c>
      <c r="AW671" t="b">
        <v>1</v>
      </c>
      <c r="AX671" t="b">
        <v>1</v>
      </c>
    </row>
    <row r="672" spans="1:50">
      <c r="A672" s="334" t="s">
        <v>668</v>
      </c>
      <c r="B672" s="334" t="s">
        <v>1019</v>
      </c>
      <c r="C672" s="334">
        <f>'Nunoura 2009, Figure 2'!B35</f>
        <v>122.4</v>
      </c>
      <c r="D672" s="301">
        <f>'Nunoura 2009, Figure 2'!D35</f>
        <v>366894.84038174606</v>
      </c>
      <c r="O672" s="304"/>
      <c r="P672" s="328"/>
      <c r="V672" s="334"/>
      <c r="W672" s="334"/>
      <c r="X672" s="334"/>
      <c r="Y672" s="334"/>
      <c r="Z672" s="334"/>
      <c r="AQ672">
        <v>1480</v>
      </c>
      <c r="AR672" s="322" t="s">
        <v>1463</v>
      </c>
      <c r="AS672" s="322"/>
      <c r="AT672"/>
      <c r="AU672"/>
      <c r="AV672"/>
    </row>
    <row r="673" spans="1:48">
      <c r="A673" s="334" t="s">
        <v>668</v>
      </c>
      <c r="B673" s="328" t="s">
        <v>1019</v>
      </c>
      <c r="C673" s="334">
        <f>'Nunoura 2009, Figure 2'!B36</f>
        <v>141.6</v>
      </c>
      <c r="D673" s="301">
        <f>'Nunoura 2009, Figure 2'!D36</f>
        <v>771082.42042070441</v>
      </c>
      <c r="J673" s="301">
        <f>'Nunoura 2009, Figure 2'!K36</f>
        <v>49485725.488173246</v>
      </c>
      <c r="O673" s="304"/>
      <c r="P673" s="328"/>
      <c r="V673" s="334"/>
      <c r="W673" s="334"/>
      <c r="X673" s="334"/>
      <c r="Y673" s="334"/>
      <c r="Z673" s="334"/>
      <c r="AQ673" s="322">
        <v>1480</v>
      </c>
      <c r="AR673" s="322" t="s">
        <v>1463</v>
      </c>
      <c r="AS673" s="322"/>
      <c r="AT673"/>
      <c r="AU673"/>
      <c r="AV673"/>
    </row>
    <row r="674" spans="1:48">
      <c r="A674" s="334" t="s">
        <v>668</v>
      </c>
      <c r="B674" s="328" t="s">
        <v>1019</v>
      </c>
      <c r="C674" s="334">
        <f>'Nunoura 2009, Figure 2'!B37</f>
        <v>160.80000000000001</v>
      </c>
      <c r="D674" s="301">
        <f>'Nunoura 2009, Figure 2'!D37</f>
        <v>366894.84038174606</v>
      </c>
      <c r="P674" s="328"/>
      <c r="V674" s="334"/>
      <c r="W674" s="334"/>
      <c r="X674" s="334"/>
      <c r="Y674" s="334"/>
      <c r="Z674" s="334"/>
      <c r="AQ674" s="322">
        <v>1480</v>
      </c>
      <c r="AR674" s="322" t="s">
        <v>1463</v>
      </c>
      <c r="AS674" s="322"/>
      <c r="AT674"/>
      <c r="AU674"/>
      <c r="AV674"/>
    </row>
    <row r="675" spans="1:48">
      <c r="A675" s="334" t="s">
        <v>668</v>
      </c>
      <c r="B675" s="328" t="s">
        <v>1019</v>
      </c>
      <c r="C675" s="334">
        <f>'Nunoura 2009, Figure 2'!B38</f>
        <v>201.6</v>
      </c>
      <c r="D675" s="301">
        <f>'Nunoura 2009, Figure 2'!D38</f>
        <v>402588.62885223125</v>
      </c>
      <c r="P675" s="328"/>
      <c r="V675" s="334"/>
      <c r="W675" s="334"/>
      <c r="X675" s="334"/>
      <c r="Y675" s="334"/>
      <c r="Z675" s="334"/>
      <c r="AQ675" s="322">
        <v>1480</v>
      </c>
      <c r="AR675" s="322" t="s">
        <v>1463</v>
      </c>
      <c r="AS675" s="322"/>
      <c r="AT675"/>
      <c r="AU675"/>
      <c r="AV675"/>
    </row>
    <row r="676" spans="1:48">
      <c r="A676" s="334" t="s">
        <v>668</v>
      </c>
      <c r="B676" s="328" t="s">
        <v>1019</v>
      </c>
      <c r="C676" s="334">
        <f>'Nunoura 2009, Figure 2'!B39</f>
        <v>228</v>
      </c>
      <c r="D676" s="301">
        <f>'Nunoura 2009, Figure 2'!D39</f>
        <v>191558.88762404356</v>
      </c>
      <c r="P676" s="328"/>
      <c r="V676" s="334"/>
      <c r="W676" s="334"/>
      <c r="X676" s="334"/>
      <c r="Y676" s="334"/>
      <c r="Z676" s="334"/>
      <c r="AQ676" s="322">
        <v>1480</v>
      </c>
      <c r="AR676" s="322" t="s">
        <v>1463</v>
      </c>
      <c r="AS676" s="322"/>
      <c r="AT676"/>
      <c r="AU676"/>
      <c r="AV676"/>
    </row>
    <row r="677" spans="1:48">
      <c r="A677" s="334" t="s">
        <v>668</v>
      </c>
      <c r="B677" s="328" t="s">
        <v>1019</v>
      </c>
      <c r="C677" s="334">
        <f>'Nunoura 2009, Figure 2'!B40</f>
        <v>256.8</v>
      </c>
      <c r="D677" s="301">
        <f>'Nunoura 2009, Figure 2'!D40</f>
        <v>159097.18923400238</v>
      </c>
      <c r="P677" s="334"/>
      <c r="V677" s="334"/>
      <c r="W677" s="334"/>
      <c r="X677" s="334"/>
      <c r="Y677" s="334"/>
      <c r="Z677" s="334"/>
      <c r="AQ677" s="322">
        <v>1480</v>
      </c>
      <c r="AR677" s="322" t="s">
        <v>1463</v>
      </c>
      <c r="AS677" s="322"/>
      <c r="AT677"/>
      <c r="AU677"/>
      <c r="AV677"/>
    </row>
    <row r="678" spans="1:48">
      <c r="A678" s="334" t="s">
        <v>668</v>
      </c>
      <c r="B678" s="328" t="s">
        <v>1019</v>
      </c>
      <c r="C678" s="334">
        <f>'Nunoura 2009, Figure 2'!B41</f>
        <v>285.60000000000002</v>
      </c>
      <c r="D678" s="301">
        <f>'Nunoura 2009, Figure 2'!D41</f>
        <v>100014.50930621113</v>
      </c>
      <c r="P678" s="328"/>
      <c r="V678" s="334"/>
      <c r="W678" s="334"/>
      <c r="X678" s="334"/>
      <c r="Y678" s="334"/>
      <c r="Z678" s="334"/>
      <c r="AA678" s="328"/>
      <c r="AE678" s="328"/>
      <c r="AQ678" s="322">
        <v>1480</v>
      </c>
      <c r="AR678" s="323" t="s">
        <v>1463</v>
      </c>
      <c r="AS678" s="322"/>
      <c r="AT678"/>
      <c r="AU678"/>
      <c r="AV678"/>
    </row>
    <row r="679" spans="1:48">
      <c r="A679" s="277" t="s">
        <v>412</v>
      </c>
      <c r="B679" s="334" t="s">
        <v>1466</v>
      </c>
      <c r="C679" s="334">
        <f>'Oliveira 2012'!F16</f>
        <v>5.0000000000000001E-3</v>
      </c>
      <c r="D679" s="301">
        <f>'Oliveira 2012'!G16</f>
        <v>98978160.689240009</v>
      </c>
      <c r="E679" s="301">
        <f>'Oliveira 2012'!H16</f>
        <v>53499347.324028529</v>
      </c>
      <c r="F679" s="301">
        <f>'Oliveira 2012'!I16</f>
        <v>18797290.4976887</v>
      </c>
      <c r="G679" s="301">
        <f>E679+F679</f>
        <v>72296637.821717232</v>
      </c>
      <c r="H679" s="27">
        <f>G679/D679</f>
        <v>0.7304302011501882</v>
      </c>
      <c r="M679" s="27">
        <f>F679/G679</f>
        <v>0.26000227761687378</v>
      </c>
      <c r="O679" t="s">
        <v>943</v>
      </c>
      <c r="P679" s="328"/>
      <c r="R679" t="s">
        <v>460</v>
      </c>
      <c r="S679" t="s">
        <v>142</v>
      </c>
      <c r="T679" t="s">
        <v>47</v>
      </c>
      <c r="U679" t="s">
        <v>47</v>
      </c>
      <c r="V679" s="334"/>
      <c r="W679" s="334"/>
      <c r="X679" s="334"/>
      <c r="Y679" s="323"/>
      <c r="Z679" s="334"/>
      <c r="AA679" s="334"/>
      <c r="AE679" s="334"/>
      <c r="AQ679" s="322">
        <v>0.5</v>
      </c>
      <c r="AR679" s="323" t="s">
        <v>1567</v>
      </c>
      <c r="AS679" s="322"/>
      <c r="AT679"/>
      <c r="AU679"/>
      <c r="AV679"/>
    </row>
    <row r="680" spans="1:48">
      <c r="A680" s="277" t="s">
        <v>412</v>
      </c>
      <c r="B680" s="328" t="s">
        <v>1466</v>
      </c>
      <c r="C680" s="334">
        <f>'Oliveira 2012'!F17</f>
        <v>2.6428571428571402E-2</v>
      </c>
      <c r="D680" s="301">
        <f>'Oliveira 2012'!G17</f>
        <v>81403669.462174699</v>
      </c>
      <c r="E680" s="301">
        <f>'Oliveira 2012'!H17</f>
        <v>28253011.863877308</v>
      </c>
      <c r="F680" s="301">
        <f>'Oliveira 2012'!I17</f>
        <v>20059418.12956661</v>
      </c>
      <c r="G680" s="301">
        <f>E680+F680</f>
        <v>48312429.993443921</v>
      </c>
      <c r="H680" s="27">
        <f>G680/D680</f>
        <v>0.59349204173029246</v>
      </c>
      <c r="M680" s="27">
        <f>F680/G680</f>
        <v>0.41520201182777822</v>
      </c>
      <c r="O680" t="s">
        <v>943</v>
      </c>
      <c r="P680" s="328"/>
      <c r="R680" t="s">
        <v>460</v>
      </c>
      <c r="S680" t="s">
        <v>142</v>
      </c>
      <c r="T680" t="s">
        <v>47</v>
      </c>
      <c r="U680" t="s">
        <v>47</v>
      </c>
      <c r="V680" s="334"/>
      <c r="W680" s="334"/>
      <c r="X680" s="334"/>
      <c r="Y680" s="334"/>
      <c r="Z680" s="334"/>
      <c r="AQ680" s="322">
        <v>0.5</v>
      </c>
      <c r="AR680" s="323" t="s">
        <v>1567</v>
      </c>
      <c r="AS680" s="322"/>
      <c r="AT680"/>
      <c r="AU680"/>
      <c r="AV680"/>
    </row>
    <row r="681" spans="1:48">
      <c r="A681" s="277" t="s">
        <v>412</v>
      </c>
      <c r="B681" s="328" t="s">
        <v>1466</v>
      </c>
      <c r="C681" s="334">
        <f>'Oliveira 2012'!F18</f>
        <v>4.7649098474341199E-2</v>
      </c>
      <c r="D681" s="301">
        <f>'Oliveira 2012'!G18</f>
        <v>69037999.328055322</v>
      </c>
      <c r="E681" s="301">
        <f>'Oliveira 2012'!H18</f>
        <v>23892752.529136695</v>
      </c>
      <c r="F681" s="301">
        <f>'Oliveira 2012'!I18</f>
        <v>19072546.471002001</v>
      </c>
      <c r="G681" s="301">
        <f>E681+F681</f>
        <v>42965299.0001387</v>
      </c>
      <c r="H681" s="27">
        <f>G681/D681</f>
        <v>0.6223427593255686</v>
      </c>
      <c r="M681" s="27">
        <f>F681/G681</f>
        <v>0.44390582434770048</v>
      </c>
      <c r="O681" s="328" t="s">
        <v>943</v>
      </c>
      <c r="P681" s="328"/>
      <c r="R681" s="304" t="s">
        <v>460</v>
      </c>
      <c r="S681" s="304" t="s">
        <v>142</v>
      </c>
      <c r="T681" s="304" t="s">
        <v>47</v>
      </c>
      <c r="U681" s="304" t="s">
        <v>47</v>
      </c>
      <c r="V681" s="334"/>
      <c r="W681" s="334"/>
      <c r="X681" s="334"/>
      <c r="Y681" s="323"/>
      <c r="Z681" s="334"/>
      <c r="AQ681">
        <v>0.5</v>
      </c>
      <c r="AR681" s="323" t="s">
        <v>1567</v>
      </c>
      <c r="AS681" s="322"/>
      <c r="AT681"/>
      <c r="AU681"/>
      <c r="AV681"/>
    </row>
    <row r="682" spans="1:48">
      <c r="A682" s="277" t="s">
        <v>412</v>
      </c>
      <c r="B682" s="328" t="s">
        <v>1466</v>
      </c>
      <c r="C682" s="334">
        <f>'Oliveira 2012'!F19</f>
        <v>6.9701803051317499E-2</v>
      </c>
      <c r="D682" s="301">
        <f>'Oliveira 2012'!G19</f>
        <v>85125764.517601833</v>
      </c>
      <c r="E682" s="301">
        <f>'Oliveira 2012'!H19</f>
        <v>26761467.167742267</v>
      </c>
      <c r="F682" s="301">
        <f>'Oliveira 2012'!I19</f>
        <v>18728532.134104349</v>
      </c>
      <c r="G682" s="301">
        <f>E682+F682</f>
        <v>45489999.301846616</v>
      </c>
      <c r="H682" s="27">
        <f>G682/D682</f>
        <v>0.53438579447284074</v>
      </c>
      <c r="M682" s="27">
        <f>F682/G682</f>
        <v>0.41170658213978217</v>
      </c>
      <c r="O682" t="s">
        <v>943</v>
      </c>
      <c r="P682" s="328"/>
      <c r="R682" t="s">
        <v>460</v>
      </c>
      <c r="S682" t="s">
        <v>142</v>
      </c>
      <c r="T682" t="s">
        <v>47</v>
      </c>
      <c r="U682" t="s">
        <v>47</v>
      </c>
      <c r="V682" s="334"/>
      <c r="W682" s="334"/>
      <c r="X682" s="334"/>
      <c r="Y682" s="334"/>
      <c r="Z682" s="334"/>
      <c r="AQ682" s="322">
        <v>0.5</v>
      </c>
      <c r="AR682" s="323" t="s">
        <v>1567</v>
      </c>
      <c r="AS682" s="322"/>
      <c r="AT682"/>
      <c r="AU682"/>
      <c r="AV682"/>
    </row>
    <row r="683" spans="1:48">
      <c r="A683" s="277" t="s">
        <v>412</v>
      </c>
      <c r="B683" s="328" t="s">
        <v>1466</v>
      </c>
      <c r="C683" s="334">
        <f>'Oliveira 2012'!F20</f>
        <v>9.0922330097087306E-2</v>
      </c>
      <c r="D683" s="301">
        <f>'Oliveira 2012'!G20</f>
        <v>66749274.908427306</v>
      </c>
      <c r="E683" s="301">
        <f>'Oliveira 2012'!H20</f>
        <v>24328889.722098786</v>
      </c>
      <c r="F683" s="301">
        <f>'Oliveira 2012'!I20</f>
        <v>17901874.138260435</v>
      </c>
      <c r="G683" s="301">
        <f>E683+F683</f>
        <v>42230763.860359222</v>
      </c>
      <c r="H683" s="27">
        <f>G683/D683</f>
        <v>0.63267749227681058</v>
      </c>
      <c r="M683" s="27">
        <f>F683/G683</f>
        <v>0.42390599889348435</v>
      </c>
      <c r="O683" t="s">
        <v>943</v>
      </c>
      <c r="P683" s="328"/>
      <c r="R683" t="s">
        <v>460</v>
      </c>
      <c r="S683" t="s">
        <v>142</v>
      </c>
      <c r="T683" t="s">
        <v>47</v>
      </c>
      <c r="U683" t="s">
        <v>47</v>
      </c>
      <c r="V683" s="334"/>
      <c r="W683" s="334"/>
      <c r="X683" s="334"/>
      <c r="Y683" s="323"/>
      <c r="Z683" s="334"/>
      <c r="AQ683" s="322">
        <v>0.5</v>
      </c>
      <c r="AR683" s="323" t="s">
        <v>1567</v>
      </c>
      <c r="AS683" s="322"/>
      <c r="AT683"/>
      <c r="AU683"/>
      <c r="AV683"/>
    </row>
    <row r="684" spans="1:48">
      <c r="A684" s="277" t="s">
        <v>412</v>
      </c>
      <c r="B684" s="328" t="s">
        <v>1466</v>
      </c>
      <c r="C684" s="334">
        <f>'Oliveira 2012'!F21</f>
        <v>0.11235090152565799</v>
      </c>
      <c r="D684" s="301">
        <f>'Oliveira 2012'!G21</f>
        <v>55987045.753090695</v>
      </c>
      <c r="E684" s="301">
        <f>'Oliveira 2012'!H21</f>
        <v>23663112.945903659</v>
      </c>
      <c r="F684" s="301">
        <f>'Oliveira 2012'!I21</f>
        <v>10649758.191410175</v>
      </c>
      <c r="G684" s="301">
        <f>E684+F684</f>
        <v>34312871.137313835</v>
      </c>
      <c r="H684" s="27">
        <f>G684/D684</f>
        <v>0.61287161477741725</v>
      </c>
      <c r="M684" s="27">
        <f>F684/G684</f>
        <v>0.31037210931116171</v>
      </c>
      <c r="O684" t="s">
        <v>943</v>
      </c>
      <c r="P684" s="328"/>
      <c r="R684" t="s">
        <v>460</v>
      </c>
      <c r="S684" t="s">
        <v>142</v>
      </c>
      <c r="T684" t="s">
        <v>47</v>
      </c>
      <c r="U684" t="s">
        <v>47</v>
      </c>
      <c r="V684" s="334"/>
      <c r="W684" s="334"/>
      <c r="X684" s="334"/>
      <c r="Y684" s="334"/>
      <c r="Z684" s="334"/>
      <c r="AQ684" s="322">
        <v>0.5</v>
      </c>
      <c r="AR684" s="323" t="s">
        <v>1567</v>
      </c>
      <c r="AS684" s="322"/>
      <c r="AT684"/>
      <c r="AU684"/>
      <c r="AV684"/>
    </row>
    <row r="685" spans="1:48">
      <c r="A685" s="277" t="s">
        <v>412</v>
      </c>
      <c r="B685" s="334" t="s">
        <v>1466</v>
      </c>
      <c r="C685" s="334">
        <f>'Oliveira 2012'!F22</f>
        <v>0.13377947295423001</v>
      </c>
      <c r="D685" s="301">
        <f>'Oliveira 2012'!G22</f>
        <v>49232029.581123918</v>
      </c>
      <c r="E685" s="301">
        <f>'Oliveira 2012'!H22</f>
        <v>17052741.725840438</v>
      </c>
      <c r="F685" s="301">
        <f>'Oliveira 2012'!I22</f>
        <v>16089457.078731829</v>
      </c>
      <c r="G685" s="301">
        <f>E685+F685</f>
        <v>33142198.804572269</v>
      </c>
      <c r="H685" s="27">
        <f>G685/D685</f>
        <v>0.67318367913232124</v>
      </c>
      <c r="M685" s="27">
        <f>F685/G685</f>
        <v>0.48546739984288978</v>
      </c>
      <c r="O685" t="s">
        <v>943</v>
      </c>
      <c r="P685" s="328"/>
      <c r="R685" t="s">
        <v>460</v>
      </c>
      <c r="S685" t="s">
        <v>142</v>
      </c>
      <c r="T685" t="s">
        <v>47</v>
      </c>
      <c r="U685" t="s">
        <v>47</v>
      </c>
      <c r="V685" s="334"/>
      <c r="W685" s="334"/>
      <c r="X685" s="334"/>
      <c r="Y685" s="334"/>
      <c r="Z685" s="334"/>
      <c r="AQ685" s="322">
        <v>0.5</v>
      </c>
      <c r="AR685" s="323" t="s">
        <v>1567</v>
      </c>
      <c r="AS685" s="322"/>
      <c r="AT685"/>
      <c r="AU685"/>
      <c r="AV685"/>
    </row>
    <row r="686" spans="1:48">
      <c r="A686" s="277" t="s">
        <v>412</v>
      </c>
      <c r="B686" s="334" t="s">
        <v>1466</v>
      </c>
      <c r="C686" s="334">
        <f>'Oliveira 2012'!F23</f>
        <v>0.155</v>
      </c>
      <c r="D686" s="301">
        <f>'Oliveira 2012'!G23</f>
        <v>72129833.700661153</v>
      </c>
      <c r="E686" s="301">
        <f>'Oliveira 2012'!H23</f>
        <v>30847138.086097483</v>
      </c>
      <c r="F686" s="301">
        <f>'Oliveira 2012'!I23</f>
        <v>8836006.0180256553</v>
      </c>
      <c r="G686" s="301">
        <f>E686+F686</f>
        <v>39683144.104123138</v>
      </c>
      <c r="H686" s="27">
        <f>G686/D686</f>
        <v>0.55016270062132966</v>
      </c>
      <c r="M686" s="27">
        <f>F686/G686</f>
        <v>0.2226639601650813</v>
      </c>
      <c r="O686" t="s">
        <v>943</v>
      </c>
      <c r="P686" s="328"/>
      <c r="R686" t="s">
        <v>460</v>
      </c>
      <c r="S686" t="s">
        <v>142</v>
      </c>
      <c r="T686" t="s">
        <v>47</v>
      </c>
      <c r="U686" t="s">
        <v>47</v>
      </c>
      <c r="V686" s="334"/>
      <c r="W686" s="334"/>
      <c r="X686" s="334"/>
      <c r="Y686" s="334"/>
      <c r="Z686" s="334"/>
      <c r="AQ686" s="322">
        <v>0.5</v>
      </c>
      <c r="AR686" s="323" t="s">
        <v>1567</v>
      </c>
      <c r="AS686" s="322"/>
      <c r="AT686"/>
      <c r="AU686"/>
      <c r="AV686"/>
    </row>
    <row r="687" spans="1:48">
      <c r="A687" s="277" t="s">
        <v>412</v>
      </c>
      <c r="B687" s="334" t="s">
        <v>1467</v>
      </c>
      <c r="C687" s="334">
        <f>'Oliveira 2012'!F24</f>
        <v>4.61694039105687E-3</v>
      </c>
      <c r="D687" s="301">
        <f>'Oliveira 2012'!G24</f>
        <v>144044321.32963914</v>
      </c>
      <c r="E687" s="301">
        <f>'Oliveira 2012'!H24</f>
        <v>54106404.618853055</v>
      </c>
      <c r="F687" s="301">
        <f>'Oliveira 2012'!I24</f>
        <v>15136749.507064523</v>
      </c>
      <c r="G687" s="301">
        <f>E687+F687</f>
        <v>69243154.125917584</v>
      </c>
      <c r="H687" s="27">
        <f>G687/D687</f>
        <v>0.48070728152800729</v>
      </c>
      <c r="M687" s="27">
        <f>F687/G687</f>
        <v>0.2186028308233704</v>
      </c>
      <c r="O687" t="s">
        <v>943</v>
      </c>
      <c r="P687" s="328"/>
      <c r="R687" t="s">
        <v>460</v>
      </c>
      <c r="S687" t="s">
        <v>142</v>
      </c>
      <c r="T687" t="s">
        <v>47</v>
      </c>
      <c r="U687" t="s">
        <v>47</v>
      </c>
      <c r="V687" s="334"/>
      <c r="W687" s="334"/>
      <c r="X687" s="334"/>
      <c r="Y687" s="324"/>
      <c r="Z687" s="334"/>
      <c r="AQ687" s="322">
        <v>0.5</v>
      </c>
      <c r="AR687" s="323" t="s">
        <v>1567</v>
      </c>
      <c r="AS687" s="322"/>
      <c r="AT687"/>
      <c r="AU687"/>
      <c r="AV687"/>
    </row>
    <row r="688" spans="1:48">
      <c r="A688" s="277" t="s">
        <v>412</v>
      </c>
      <c r="B688" s="328" t="s">
        <v>1467</v>
      </c>
      <c r="C688" s="334">
        <f>'Oliveira 2012'!F25</f>
        <v>2.6388750449124299E-2</v>
      </c>
      <c r="D688" s="301">
        <f>'Oliveira 2012'!G25</f>
        <v>132000481.75358263</v>
      </c>
      <c r="E688" s="301">
        <f>'Oliveira 2012'!H25</f>
        <v>36094378.198690958</v>
      </c>
      <c r="F688" s="301">
        <f>'Oliveira 2012'!I25</f>
        <v>14838202.683169914</v>
      </c>
      <c r="G688" s="301">
        <f>E688+F688</f>
        <v>50932580.881860875</v>
      </c>
      <c r="H688" s="27">
        <f>G688/D688</f>
        <v>0.38585147724643448</v>
      </c>
      <c r="M688" s="27">
        <f>F688/G688</f>
        <v>0.2913302728088219</v>
      </c>
      <c r="O688" t="s">
        <v>943</v>
      </c>
      <c r="P688" s="327"/>
      <c r="R688" t="s">
        <v>460</v>
      </c>
      <c r="S688" t="s">
        <v>142</v>
      </c>
      <c r="T688" t="s">
        <v>47</v>
      </c>
      <c r="U688" t="s">
        <v>47</v>
      </c>
      <c r="V688" s="334"/>
      <c r="W688" s="334"/>
      <c r="X688" s="334"/>
      <c r="Y688" s="326"/>
      <c r="Z688" s="334"/>
      <c r="AQ688" s="322">
        <v>0.5</v>
      </c>
      <c r="AR688" s="323" t="s">
        <v>1567</v>
      </c>
      <c r="AS688" s="322"/>
      <c r="AT688"/>
      <c r="AU688"/>
      <c r="AV688"/>
    </row>
    <row r="689" spans="1:48">
      <c r="A689" s="277" t="s">
        <v>412</v>
      </c>
      <c r="B689" s="328" t="s">
        <v>1467</v>
      </c>
      <c r="C689" s="334">
        <f>'Oliveira 2012'!F26</f>
        <v>4.7993080587396604E-2</v>
      </c>
      <c r="D689" s="301">
        <f>'Oliveira 2012'!G26</f>
        <v>85270384.198482439</v>
      </c>
      <c r="E689" s="301">
        <f>'Oliveira 2012'!H26</f>
        <v>18564774.778280526</v>
      </c>
      <c r="F689" s="301">
        <f>'Oliveira 2012'!I26</f>
        <v>7453592.1224400178</v>
      </c>
      <c r="G689" s="301">
        <f>E689+F689</f>
        <v>26018366.900720544</v>
      </c>
      <c r="H689" s="27">
        <f>G689/D689</f>
        <v>0.30512782539079486</v>
      </c>
      <c r="M689" s="27">
        <f>F689/G689</f>
        <v>0.28647424916717584</v>
      </c>
      <c r="O689" t="s">
        <v>943</v>
      </c>
      <c r="P689" s="327"/>
      <c r="R689" t="s">
        <v>460</v>
      </c>
      <c r="S689" t="s">
        <v>142</v>
      </c>
      <c r="T689" t="s">
        <v>47</v>
      </c>
      <c r="U689" t="s">
        <v>47</v>
      </c>
      <c r="V689" s="334"/>
      <c r="W689" s="334"/>
      <c r="X689" s="334"/>
      <c r="Y689" s="334"/>
      <c r="Z689" s="334"/>
      <c r="AQ689" s="322">
        <v>0.5</v>
      </c>
      <c r="AR689" s="323" t="s">
        <v>1567</v>
      </c>
      <c r="AS689" s="322"/>
      <c r="AT689"/>
      <c r="AU689"/>
      <c r="AV689"/>
    </row>
    <row r="690" spans="1:48">
      <c r="A690" s="277" t="s">
        <v>412</v>
      </c>
      <c r="B690" s="328" t="s">
        <v>1467</v>
      </c>
      <c r="C690" s="334">
        <f>'Oliveira 2012'!F27</f>
        <v>6.9138434613289404E-2</v>
      </c>
      <c r="D690" s="301">
        <f>'Oliveira 2012'!G27</f>
        <v>72263037.456341058</v>
      </c>
      <c r="E690" s="301">
        <f>'Oliveira 2012'!H27</f>
        <v>23579823.901047215</v>
      </c>
      <c r="F690" s="301">
        <f>'Oliveira 2012'!I27</f>
        <v>7637692.2644065134</v>
      </c>
      <c r="G690" s="301">
        <f>E690+F690</f>
        <v>31217516.165453728</v>
      </c>
      <c r="H690" s="27">
        <f>G690/D690</f>
        <v>0.43199839453627065</v>
      </c>
      <c r="M690" s="27">
        <f>F690/G690</f>
        <v>0.2446604727911896</v>
      </c>
      <c r="O690" t="s">
        <v>943</v>
      </c>
      <c r="P690" s="327"/>
      <c r="R690" t="s">
        <v>460</v>
      </c>
      <c r="S690" t="s">
        <v>142</v>
      </c>
      <c r="T690" t="s">
        <v>47</v>
      </c>
      <c r="U690" t="s">
        <v>47</v>
      </c>
      <c r="V690" s="334"/>
      <c r="W690" s="334"/>
      <c r="X690" s="334"/>
      <c r="Y690" s="334"/>
      <c r="Z690" s="334"/>
      <c r="AQ690" s="322">
        <v>0.5</v>
      </c>
      <c r="AR690" s="323" t="s">
        <v>1567</v>
      </c>
      <c r="AS690" s="322"/>
      <c r="AT690"/>
      <c r="AU690"/>
      <c r="AV690"/>
    </row>
    <row r="691" spans="1:48">
      <c r="A691" s="277" t="s">
        <v>412</v>
      </c>
      <c r="B691" s="334" t="s">
        <v>1467</v>
      </c>
      <c r="C691" s="334">
        <f>'Oliveira 2012'!F28</f>
        <v>9.0892279697261102E-2</v>
      </c>
      <c r="D691" s="301">
        <f>'Oliveira 2012'!G28</f>
        <v>75153558.954594612</v>
      </c>
      <c r="E691" s="301">
        <f>'Oliveira 2012'!H28</f>
        <v>27628235.295435049</v>
      </c>
      <c r="F691" s="301">
        <f>'Oliveira 2012'!I28</f>
        <v>5567125.5825568093</v>
      </c>
      <c r="G691" s="301">
        <f>E691+F691</f>
        <v>33195360.877991859</v>
      </c>
      <c r="H691" s="27">
        <f>G691/D691</f>
        <v>0.44170045091340837</v>
      </c>
      <c r="M691" s="27">
        <f>F691/G691</f>
        <v>0.16770793976358755</v>
      </c>
      <c r="O691" t="s">
        <v>943</v>
      </c>
      <c r="P691" s="327"/>
      <c r="R691" t="s">
        <v>460</v>
      </c>
      <c r="S691" t="s">
        <v>142</v>
      </c>
      <c r="T691" t="s">
        <v>47</v>
      </c>
      <c r="U691" t="s">
        <v>47</v>
      </c>
      <c r="V691" s="334"/>
      <c r="W691" s="334"/>
      <c r="X691" s="334"/>
      <c r="Y691" s="328"/>
      <c r="Z691" s="334"/>
      <c r="AQ691" s="322">
        <v>0.5</v>
      </c>
      <c r="AR691" s="323" t="s">
        <v>1567</v>
      </c>
      <c r="AS691" s="322"/>
      <c r="AT691"/>
      <c r="AU691"/>
      <c r="AV691"/>
    </row>
    <row r="692" spans="1:48">
      <c r="A692" s="277" t="s">
        <v>412</v>
      </c>
      <c r="B692" s="328" t="s">
        <v>1467</v>
      </c>
      <c r="C692" s="334">
        <f>'Oliveira 2012'!F29</f>
        <v>0.111808725182257</v>
      </c>
      <c r="D692" s="301">
        <f>'Oliveira 2012'!G29</f>
        <v>78525834.035890624</v>
      </c>
      <c r="E692" s="301">
        <f>'Oliveira 2012'!H29</f>
        <v>24591254.851315826</v>
      </c>
      <c r="F692" s="301">
        <f>'Oliveira 2012'!I29</f>
        <v>8327059.9492883999</v>
      </c>
      <c r="G692" s="301">
        <f>E692+F692</f>
        <v>32918314.800604224</v>
      </c>
      <c r="H692" s="27">
        <f>G692/D692</f>
        <v>0.41920363157886031</v>
      </c>
      <c r="M692" s="27">
        <f>F692/G692</f>
        <v>0.25296130739765432</v>
      </c>
      <c r="O692" t="s">
        <v>943</v>
      </c>
      <c r="P692" s="327"/>
      <c r="R692" t="s">
        <v>460</v>
      </c>
      <c r="S692" t="s">
        <v>142</v>
      </c>
      <c r="T692" t="s">
        <v>47</v>
      </c>
      <c r="U692" t="s">
        <v>47</v>
      </c>
      <c r="V692" s="334"/>
      <c r="W692" s="334"/>
      <c r="X692" s="334"/>
      <c r="Y692" s="324"/>
      <c r="Z692" s="334"/>
      <c r="AQ692" s="322">
        <v>0.5</v>
      </c>
      <c r="AR692" s="323" t="s">
        <v>1567</v>
      </c>
      <c r="AS692" s="322"/>
      <c r="AT692"/>
      <c r="AU692"/>
      <c r="AV692"/>
    </row>
    <row r="693" spans="1:48">
      <c r="A693" s="277" t="s">
        <v>412</v>
      </c>
      <c r="B693" s="328" t="s">
        <v>1467</v>
      </c>
      <c r="C693" s="334">
        <f>'Oliveira 2012'!F30</f>
        <v>0.13380017153652601</v>
      </c>
      <c r="D693" s="301">
        <f>'Oliveira 2012'!G30</f>
        <v>57810429.965072878</v>
      </c>
      <c r="E693" s="301">
        <f>'Oliveira 2012'!H30</f>
        <v>19300279.481708784</v>
      </c>
      <c r="F693" s="301">
        <f>'Oliveira 2012'!I30</f>
        <v>7061875.3970148535</v>
      </c>
      <c r="G693" s="301">
        <f>E693+F693</f>
        <v>26362154.878723636</v>
      </c>
      <c r="H693" s="336">
        <f>G693/D693</f>
        <v>0.45601035824592145</v>
      </c>
      <c r="M693" s="27">
        <f>F693/G693</f>
        <v>0.26787929247446879</v>
      </c>
      <c r="O693" t="s">
        <v>943</v>
      </c>
      <c r="P693" s="334"/>
      <c r="R693" t="s">
        <v>460</v>
      </c>
      <c r="S693" t="s">
        <v>142</v>
      </c>
      <c r="T693" t="s">
        <v>47</v>
      </c>
      <c r="U693" t="s">
        <v>47</v>
      </c>
      <c r="V693" s="334"/>
      <c r="W693" s="334"/>
      <c r="X693" s="334"/>
      <c r="Y693" s="334"/>
      <c r="Z693" s="334"/>
      <c r="AQ693" s="322">
        <v>0.5</v>
      </c>
      <c r="AR693" s="323" t="s">
        <v>1567</v>
      </c>
      <c r="AS693" s="322"/>
      <c r="AT693"/>
      <c r="AU693"/>
      <c r="AV693"/>
    </row>
    <row r="694" spans="1:48">
      <c r="A694" s="277" t="s">
        <v>412</v>
      </c>
      <c r="B694" s="328" t="s">
        <v>1467</v>
      </c>
      <c r="C694" s="334">
        <f>'Oliveira 2012'!F31</f>
        <v>0.15516574137391401</v>
      </c>
      <c r="D694" s="301">
        <f>'Oliveira 2012'!G31</f>
        <v>35649765.145128265</v>
      </c>
      <c r="E694" s="301">
        <f>'Oliveira 2012'!H31</f>
        <v>11916564.785416525</v>
      </c>
      <c r="F694" s="301">
        <f>'Oliveira 2012'!I31</f>
        <v>4025790.8173334179</v>
      </c>
      <c r="G694" s="301">
        <f>E694+F694</f>
        <v>15942355.602749944</v>
      </c>
      <c r="H694" s="27">
        <f>G694/D694</f>
        <v>0.44719384651902971</v>
      </c>
      <c r="M694" s="27">
        <f>F694/G694</f>
        <v>0.25252170492539994</v>
      </c>
      <c r="O694" t="s">
        <v>943</v>
      </c>
      <c r="P694" s="303"/>
      <c r="R694" t="s">
        <v>460</v>
      </c>
      <c r="S694" t="s">
        <v>142</v>
      </c>
      <c r="T694" t="s">
        <v>47</v>
      </c>
      <c r="U694" t="s">
        <v>47</v>
      </c>
      <c r="V694" s="334"/>
      <c r="W694" s="334"/>
      <c r="X694" s="334"/>
      <c r="Y694" s="334"/>
      <c r="Z694" s="334"/>
      <c r="AQ694" s="322">
        <v>0.5</v>
      </c>
      <c r="AR694" s="323" t="s">
        <v>1567</v>
      </c>
      <c r="AS694" s="322"/>
      <c r="AT694"/>
      <c r="AU694"/>
      <c r="AV694"/>
    </row>
    <row r="695" spans="1:48">
      <c r="A695" s="277" t="s">
        <v>412</v>
      </c>
      <c r="B695" s="328" t="s">
        <v>1465</v>
      </c>
      <c r="C695" s="334">
        <f>'Oliveira 2012'!F8</f>
        <v>4.5854449366199805E-3</v>
      </c>
      <c r="D695" s="301">
        <f>'Oliveira 2012'!G8</f>
        <v>86956521.739130437</v>
      </c>
      <c r="E695" s="301">
        <f>'Oliveira 2012'!H8</f>
        <v>37627729.913844876</v>
      </c>
      <c r="F695" s="301">
        <f>'Oliveira 2012'!I8</f>
        <v>13223802.84512122</v>
      </c>
      <c r="G695" s="301">
        <f>E695+F695</f>
        <v>50851532.758966096</v>
      </c>
      <c r="H695" s="27">
        <f>G695/D695</f>
        <v>0.58479262672811005</v>
      </c>
      <c r="M695" s="27">
        <f>F695/G695</f>
        <v>0.26004728132387733</v>
      </c>
      <c r="O695" t="s">
        <v>943</v>
      </c>
      <c r="P695" s="293"/>
      <c r="R695" t="s">
        <v>460</v>
      </c>
      <c r="S695" t="s">
        <v>142</v>
      </c>
      <c r="T695" t="s">
        <v>47</v>
      </c>
      <c r="U695" t="s">
        <v>47</v>
      </c>
      <c r="V695" s="334"/>
      <c r="W695" s="334"/>
      <c r="X695" s="334"/>
      <c r="Y695" s="334"/>
      <c r="Z695" s="334"/>
      <c r="AQ695" s="322">
        <v>0.5</v>
      </c>
      <c r="AR695" s="323" t="s">
        <v>1567</v>
      </c>
      <c r="AS695" s="322"/>
      <c r="AT695"/>
      <c r="AU695"/>
      <c r="AV695"/>
    </row>
    <row r="696" spans="1:48">
      <c r="A696" s="277" t="s">
        <v>412</v>
      </c>
      <c r="B696" s="328" t="s">
        <v>1465</v>
      </c>
      <c r="C696" s="334">
        <f>'Oliveira 2012'!F9</f>
        <v>2.6237091029781501E-2</v>
      </c>
      <c r="D696" s="301">
        <f>'Oliveira 2012'!G9</f>
        <v>68122620.717291132</v>
      </c>
      <c r="E696" s="301">
        <f>'Oliveira 2012'!H9</f>
        <v>30157068.930972267</v>
      </c>
      <c r="F696" s="301">
        <f>'Oliveira 2012'!I9</f>
        <v>7436171.3152640192</v>
      </c>
      <c r="G696" s="301">
        <f>E696+F696</f>
        <v>37593240.246236287</v>
      </c>
      <c r="H696" s="27">
        <f>G696/D696</f>
        <v>0.5518466531440156</v>
      </c>
      <c r="M696" s="27">
        <f>F696/G696</f>
        <v>0.19780607541560624</v>
      </c>
      <c r="O696" t="s">
        <v>943</v>
      </c>
      <c r="P696" s="293"/>
      <c r="R696" t="s">
        <v>460</v>
      </c>
      <c r="S696" t="s">
        <v>142</v>
      </c>
      <c r="T696" t="s">
        <v>47</v>
      </c>
      <c r="U696" t="s">
        <v>47</v>
      </c>
      <c r="V696" s="334"/>
      <c r="W696" s="334"/>
      <c r="X696" s="334"/>
      <c r="Y696" s="334"/>
      <c r="Z696" s="334"/>
      <c r="AA696" s="328"/>
      <c r="AE696" s="328"/>
      <c r="AQ696" s="322">
        <v>0.5</v>
      </c>
      <c r="AR696" s="323" t="s">
        <v>1567</v>
      </c>
      <c r="AS696" s="322"/>
      <c r="AT696"/>
      <c r="AU696"/>
      <c r="AV696"/>
    </row>
    <row r="697" spans="1:48">
      <c r="A697" s="277" t="s">
        <v>412</v>
      </c>
      <c r="B697" s="328" t="s">
        <v>1465</v>
      </c>
      <c r="C697" s="334">
        <f>'Oliveira 2012'!F10</f>
        <v>4.7615877554667597E-2</v>
      </c>
      <c r="D697" s="301">
        <f>'Oliveira 2012'!G10</f>
        <v>76537767.982368261</v>
      </c>
      <c r="E697" s="301">
        <f>'Oliveira 2012'!H10</f>
        <v>21123429.068875656</v>
      </c>
      <c r="F697" s="301">
        <f>'Oliveira 2012'!I10</f>
        <v>7659690.8918812452</v>
      </c>
      <c r="G697" s="301">
        <f>E697+F697</f>
        <v>28783119.960756902</v>
      </c>
      <c r="H697" s="27">
        <f>G697/D697</f>
        <v>0.37606427152915628</v>
      </c>
      <c r="M697" s="27">
        <f>F697/G697</f>
        <v>0.26611746406659592</v>
      </c>
      <c r="O697" t="s">
        <v>943</v>
      </c>
      <c r="P697" s="303"/>
      <c r="R697" t="s">
        <v>460</v>
      </c>
      <c r="S697" t="s">
        <v>142</v>
      </c>
      <c r="T697" t="s">
        <v>47</v>
      </c>
      <c r="U697" t="s">
        <v>47</v>
      </c>
      <c r="V697" s="334"/>
      <c r="W697" s="334"/>
      <c r="X697" s="334"/>
      <c r="Y697" s="334"/>
      <c r="Z697" s="334"/>
      <c r="AQ697" s="322">
        <v>0.5</v>
      </c>
      <c r="AR697" s="323" t="s">
        <v>1567</v>
      </c>
      <c r="AS697" s="322"/>
      <c r="AT697"/>
      <c r="AU697"/>
      <c r="AV697"/>
    </row>
    <row r="698" spans="1:48">
      <c r="A698" s="277" t="s">
        <v>412</v>
      </c>
      <c r="B698" s="334" t="s">
        <v>1465</v>
      </c>
      <c r="C698" s="334">
        <f>'Oliveira 2012'!F11</f>
        <v>6.9268481049823097E-2</v>
      </c>
      <c r="D698" s="301">
        <f>'Oliveira 2012'!G11</f>
        <v>57303145.66219192</v>
      </c>
      <c r="E698" s="301">
        <f>'Oliveira 2012'!H11</f>
        <v>18702519.707887914</v>
      </c>
      <c r="F698" s="301">
        <f>'Oliveira 2012'!I11</f>
        <v>5478551.0470571145</v>
      </c>
      <c r="G698" s="301">
        <f>E698+F698</f>
        <v>24181070.754945029</v>
      </c>
      <c r="H698" s="27">
        <f>G698/D698</f>
        <v>0.4219850494333241</v>
      </c>
      <c r="M698" s="27">
        <f>F698/G698</f>
        <v>0.22656362501800095</v>
      </c>
      <c r="O698" t="s">
        <v>943</v>
      </c>
      <c r="P698" s="303"/>
      <c r="R698" t="s">
        <v>460</v>
      </c>
      <c r="S698" t="s">
        <v>142</v>
      </c>
      <c r="T698" t="s">
        <v>47</v>
      </c>
      <c r="U698" t="s">
        <v>47</v>
      </c>
      <c r="V698" s="334"/>
      <c r="W698" s="334"/>
      <c r="X698" s="334"/>
      <c r="Y698" s="334"/>
      <c r="Z698" s="334"/>
      <c r="AQ698" s="322">
        <v>0.5</v>
      </c>
      <c r="AR698" s="323" t="s">
        <v>1567</v>
      </c>
      <c r="AS698" s="322"/>
      <c r="AT698"/>
      <c r="AU698"/>
      <c r="AV698"/>
    </row>
    <row r="699" spans="1:48">
      <c r="A699" s="277" t="s">
        <v>412</v>
      </c>
      <c r="B699" s="328" t="s">
        <v>1465</v>
      </c>
      <c r="C699" s="334">
        <f>'Oliveira 2012'!F12</f>
        <v>9.0452914969937501E-2</v>
      </c>
      <c r="D699" s="301">
        <f>'Oliveira 2012'!G12</f>
        <v>60108194.750550874</v>
      </c>
      <c r="E699" s="301">
        <f>'Oliveira 2012'!H12</f>
        <v>14838516.225758089</v>
      </c>
      <c r="F699" s="301">
        <f>'Oliveira 2012'!I12</f>
        <v>6062553.9764679745</v>
      </c>
      <c r="G699" s="301">
        <f>E699+F699</f>
        <v>20901070.202226065</v>
      </c>
      <c r="H699" s="27">
        <f>G699/D699</f>
        <v>0.34772413793103496</v>
      </c>
      <c r="M699" s="27">
        <f>F699/G699</f>
        <v>0.29005950019833354</v>
      </c>
      <c r="O699" t="s">
        <v>943</v>
      </c>
      <c r="P699" s="303"/>
      <c r="R699" t="s">
        <v>460</v>
      </c>
      <c r="S699" t="s">
        <v>142</v>
      </c>
      <c r="T699" t="s">
        <v>47</v>
      </c>
      <c r="U699" t="s">
        <v>47</v>
      </c>
      <c r="V699" s="334"/>
      <c r="W699" s="334"/>
      <c r="X699" s="334"/>
      <c r="Y699" s="334"/>
      <c r="Z699" s="334"/>
      <c r="AQ699" s="322">
        <v>0.5</v>
      </c>
      <c r="AR699" s="323" t="s">
        <v>1567</v>
      </c>
      <c r="AS699" s="322"/>
      <c r="AT699"/>
      <c r="AU699"/>
      <c r="AV699"/>
    </row>
    <row r="700" spans="1:48">
      <c r="A700" s="277" t="s">
        <v>412</v>
      </c>
      <c r="B700" s="334" t="s">
        <v>1465</v>
      </c>
      <c r="C700" s="334">
        <f>'Oliveira 2012'!F13</f>
        <v>0.111660326537906</v>
      </c>
      <c r="D700" s="301">
        <f>'Oliveira 2012'!G13</f>
        <v>53295932.678821832</v>
      </c>
      <c r="E700" s="301">
        <f>'Oliveira 2012'!H13</f>
        <v>17466197.776687656</v>
      </c>
      <c r="F700" s="301">
        <f>'Oliveira 2012'!I13</f>
        <v>5083743.8423645226</v>
      </c>
      <c r="G700" s="301">
        <f>E700+F700</f>
        <v>22549941.619052179</v>
      </c>
      <c r="H700" s="27">
        <f>G700/D700</f>
        <v>0.42310811511537416</v>
      </c>
      <c r="M700" s="27">
        <f>F700/G700</f>
        <v>0.22544376957806966</v>
      </c>
      <c r="O700" t="s">
        <v>943</v>
      </c>
      <c r="P700" s="328"/>
      <c r="R700" t="s">
        <v>460</v>
      </c>
      <c r="S700" t="s">
        <v>142</v>
      </c>
      <c r="T700" t="s">
        <v>47</v>
      </c>
      <c r="U700" t="s">
        <v>47</v>
      </c>
      <c r="V700" s="334"/>
      <c r="W700" s="334"/>
      <c r="X700" s="334"/>
      <c r="Y700" s="334"/>
      <c r="Z700" s="334"/>
      <c r="AQ700" s="322">
        <v>0.5</v>
      </c>
      <c r="AR700" s="323" t="s">
        <v>1567</v>
      </c>
      <c r="AS700" s="322"/>
      <c r="AT700"/>
      <c r="AU700"/>
      <c r="AV700"/>
    </row>
    <row r="701" spans="1:48">
      <c r="A701" s="277" t="s">
        <v>412</v>
      </c>
      <c r="B701" s="334" t="s">
        <v>1465</v>
      </c>
      <c r="C701" s="334">
        <f>'Oliveira 2012'!F14</f>
        <v>0.13307645174055599</v>
      </c>
      <c r="D701" s="301">
        <f>'Oliveira 2012'!G14</f>
        <v>46082949.308755741</v>
      </c>
      <c r="E701" s="301">
        <f>'Oliveira 2012'!H14</f>
        <v>13241047.678925481</v>
      </c>
      <c r="F701" s="301">
        <f>'Oliveira 2012'!I14</f>
        <v>5787963.161276496</v>
      </c>
      <c r="G701" s="301">
        <f>E701+F701</f>
        <v>19029010.840201978</v>
      </c>
      <c r="H701" s="27">
        <f>G701/D701</f>
        <v>0.41292953523238307</v>
      </c>
      <c r="M701" s="27">
        <f>F701/G701</f>
        <v>0.3041652143604045</v>
      </c>
      <c r="O701" t="s">
        <v>943</v>
      </c>
      <c r="P701" s="303"/>
      <c r="R701" t="s">
        <v>460</v>
      </c>
      <c r="S701" t="s">
        <v>142</v>
      </c>
      <c r="T701" t="s">
        <v>47</v>
      </c>
      <c r="U701" t="s">
        <v>47</v>
      </c>
      <c r="V701" s="334"/>
      <c r="W701" s="334"/>
      <c r="X701" s="334"/>
      <c r="Y701" s="334"/>
      <c r="Z701" s="334"/>
      <c r="AQ701" s="322">
        <v>0.5</v>
      </c>
      <c r="AR701" s="323" t="s">
        <v>1567</v>
      </c>
      <c r="AS701" s="322"/>
      <c r="AT701"/>
      <c r="AU701"/>
      <c r="AV701"/>
    </row>
    <row r="702" spans="1:48">
      <c r="A702" s="277" t="s">
        <v>412</v>
      </c>
      <c r="B702" s="334" t="s">
        <v>1465</v>
      </c>
      <c r="C702" s="334">
        <f>'Oliveira 2012'!F15</f>
        <v>0.15533700550186999</v>
      </c>
      <c r="D702" s="301">
        <f>'Oliveira 2012'!G15</f>
        <v>33259867.761971481</v>
      </c>
      <c r="E702" s="301">
        <f>'Oliveira 2012'!H15</f>
        <v>12743268.918536089</v>
      </c>
      <c r="F702" s="301">
        <f>'Oliveira 2012'!I15</f>
        <v>5410069.158968905</v>
      </c>
      <c r="G702" s="301">
        <f>E702+F702</f>
        <v>18153338.077504992</v>
      </c>
      <c r="H702" s="27">
        <f>G702/D702</f>
        <v>0.54580307436643138</v>
      </c>
      <c r="M702" s="27">
        <f>F702/G702</f>
        <v>0.29802062496003867</v>
      </c>
      <c r="O702" t="s">
        <v>943</v>
      </c>
      <c r="P702" s="303"/>
      <c r="R702" t="s">
        <v>460</v>
      </c>
      <c r="S702" t="s">
        <v>142</v>
      </c>
      <c r="T702" t="s">
        <v>47</v>
      </c>
      <c r="U702" t="s">
        <v>47</v>
      </c>
      <c r="V702" s="334"/>
      <c r="W702" s="334"/>
      <c r="X702" s="334"/>
      <c r="Y702" s="334"/>
      <c r="Z702" s="334"/>
      <c r="AQ702" s="322">
        <v>0.5</v>
      </c>
      <c r="AR702" s="323" t="s">
        <v>1567</v>
      </c>
      <c r="AS702" s="322"/>
      <c r="AT702"/>
      <c r="AU702"/>
      <c r="AV702"/>
    </row>
    <row r="703" spans="1:48">
      <c r="A703" s="277" t="s">
        <v>87</v>
      </c>
      <c r="B703" s="334" t="str">
        <f>'Omoregie 2008'!A6</f>
        <v>Chefren mud volcano NL18PC(5)</v>
      </c>
      <c r="C703" s="334">
        <f>'Omoregie 2008'!G6</f>
        <v>0</v>
      </c>
      <c r="D703" s="301">
        <f>'Omoregie 2008'!H6</f>
        <v>1000000000</v>
      </c>
      <c r="E703" s="301">
        <f>'Omoregie 2008'!I6</f>
        <v>670000000</v>
      </c>
      <c r="F703" s="301">
        <f>'Omoregie 2008'!J6</f>
        <v>30000000</v>
      </c>
      <c r="G703" s="301">
        <f>E703+F703</f>
        <v>700000000</v>
      </c>
      <c r="H703" s="27">
        <f>G703/D703</f>
        <v>0.7</v>
      </c>
      <c r="I703" s="334"/>
      <c r="M703" s="27">
        <f>F703/G703</f>
        <v>4.2857142857142858E-2</v>
      </c>
      <c r="O703" t="s">
        <v>440</v>
      </c>
      <c r="P703" s="303">
        <f>'Omoregie 2008'!K6</f>
        <v>29.543424958059099</v>
      </c>
      <c r="R703" t="s">
        <v>1395</v>
      </c>
      <c r="S703" t="s">
        <v>140</v>
      </c>
      <c r="T703" t="s">
        <v>55</v>
      </c>
      <c r="U703" t="s">
        <v>48</v>
      </c>
      <c r="V703" s="313">
        <v>0.35</v>
      </c>
      <c r="W703" s="313">
        <v>0.35</v>
      </c>
      <c r="X703" s="306" t="s">
        <v>47</v>
      </c>
      <c r="Y703" s="326" t="s">
        <v>96</v>
      </c>
      <c r="Z703" s="334" t="s">
        <v>96</v>
      </c>
      <c r="AB703" s="334" t="s">
        <v>1739</v>
      </c>
      <c r="AC703" s="334" t="s">
        <v>1702</v>
      </c>
      <c r="AP703" t="b">
        <v>1</v>
      </c>
      <c r="AQ703" s="322">
        <v>3000</v>
      </c>
      <c r="AR703" s="323" t="s">
        <v>1463</v>
      </c>
      <c r="AS703" s="322"/>
      <c r="AT703"/>
      <c r="AU703"/>
      <c r="AV703"/>
    </row>
    <row r="704" spans="1:48">
      <c r="A704" s="277" t="s">
        <v>87</v>
      </c>
      <c r="B704" s="334" t="str">
        <f>'Omoregie 2008'!A7</f>
        <v>Chefren mud volcano NL18PC(5)</v>
      </c>
      <c r="C704" s="334">
        <f>'Omoregie 2008'!G7</f>
        <v>0.01</v>
      </c>
      <c r="D704" s="301">
        <f>'Omoregie 2008'!H7</f>
        <v>900000000</v>
      </c>
      <c r="E704" s="301">
        <f>'Omoregie 2008'!I7</f>
        <v>470000000</v>
      </c>
      <c r="F704" s="301">
        <f>'Omoregie 2008'!J7</f>
        <v>140000000</v>
      </c>
      <c r="G704" s="301">
        <f>E704+F704</f>
        <v>610000000</v>
      </c>
      <c r="H704" s="27">
        <f>G704/D704</f>
        <v>0.67777777777777781</v>
      </c>
      <c r="I704" s="334"/>
      <c r="M704" s="27">
        <f>F704/G704</f>
        <v>0.22950819672131148</v>
      </c>
      <c r="O704" t="s">
        <v>440</v>
      </c>
      <c r="P704" s="326">
        <f>'Omoregie 2008'!K7</f>
        <v>20.117176409859301</v>
      </c>
      <c r="R704" t="s">
        <v>1395</v>
      </c>
      <c r="S704" t="s">
        <v>140</v>
      </c>
      <c r="T704" t="s">
        <v>55</v>
      </c>
      <c r="U704" t="s">
        <v>48</v>
      </c>
      <c r="V704" s="313">
        <v>0.35</v>
      </c>
      <c r="W704" s="313">
        <v>0.35</v>
      </c>
      <c r="X704" s="306" t="s">
        <v>47</v>
      </c>
      <c r="Y704" s="323" t="s">
        <v>96</v>
      </c>
      <c r="Z704" s="334" t="s">
        <v>96</v>
      </c>
      <c r="AB704" s="334" t="s">
        <v>1739</v>
      </c>
      <c r="AC704" s="334" t="s">
        <v>1702</v>
      </c>
      <c r="AP704" t="b">
        <v>1</v>
      </c>
      <c r="AQ704" s="322">
        <v>3000</v>
      </c>
      <c r="AR704" s="323" t="s">
        <v>1463</v>
      </c>
      <c r="AS704" s="322"/>
      <c r="AT704"/>
      <c r="AU704"/>
      <c r="AV704"/>
    </row>
    <row r="705" spans="1:48">
      <c r="A705" s="277" t="s">
        <v>87</v>
      </c>
      <c r="B705" s="334" t="str">
        <f>'Omoregie 2008'!A8</f>
        <v>Chefren mud volcano NL18PC(5)</v>
      </c>
      <c r="C705" s="334">
        <f>'Omoregie 2008'!G8</f>
        <v>0.03</v>
      </c>
      <c r="D705" s="301">
        <f>'Omoregie 2008'!H8</f>
        <v>2100000000</v>
      </c>
      <c r="E705" s="301">
        <f>'Omoregie 2008'!I8</f>
        <v>490000000</v>
      </c>
      <c r="F705" s="301">
        <f>'Omoregie 2008'!J8</f>
        <v>180000000</v>
      </c>
      <c r="G705" s="301">
        <f>E705+F705</f>
        <v>670000000</v>
      </c>
      <c r="H705" s="27">
        <f>G705/D705</f>
        <v>0.31904761904761902</v>
      </c>
      <c r="I705" s="334"/>
      <c r="M705" s="27">
        <f>F705/G705</f>
        <v>0.26865671641791045</v>
      </c>
      <c r="O705" t="s">
        <v>440</v>
      </c>
      <c r="P705" s="293">
        <f>'Omoregie 2008'!K8</f>
        <v>17.1779584462511</v>
      </c>
      <c r="R705" t="s">
        <v>1395</v>
      </c>
      <c r="S705" t="s">
        <v>140</v>
      </c>
      <c r="T705" t="s">
        <v>55</v>
      </c>
      <c r="U705" t="s">
        <v>48</v>
      </c>
      <c r="V705" s="313">
        <v>0.35</v>
      </c>
      <c r="W705" s="313">
        <v>0.35</v>
      </c>
      <c r="X705" s="306" t="s">
        <v>47</v>
      </c>
      <c r="Y705" s="328" t="s">
        <v>96</v>
      </c>
      <c r="Z705" s="334" t="s">
        <v>96</v>
      </c>
      <c r="AB705" s="334" t="s">
        <v>1739</v>
      </c>
      <c r="AC705" s="334" t="s">
        <v>1702</v>
      </c>
      <c r="AP705" t="b">
        <v>1</v>
      </c>
      <c r="AQ705" s="322">
        <v>3000</v>
      </c>
      <c r="AR705" s="323" t="s">
        <v>1463</v>
      </c>
      <c r="AS705" s="322"/>
      <c r="AT705"/>
      <c r="AU705"/>
      <c r="AV705"/>
    </row>
    <row r="706" spans="1:48">
      <c r="A706" s="277" t="s">
        <v>87</v>
      </c>
      <c r="B706" s="334" t="str">
        <f>'Omoregie 2008'!A9</f>
        <v>Chefren mud volcano NL18PC(5)</v>
      </c>
      <c r="C706" s="334">
        <f>'Omoregie 2008'!G9</f>
        <v>0.05</v>
      </c>
      <c r="D706" s="301">
        <f>'Omoregie 2008'!H9</f>
        <v>1970000000</v>
      </c>
      <c r="E706" s="301">
        <f>'Omoregie 2008'!I9</f>
        <v>290000000</v>
      </c>
      <c r="F706" s="301">
        <f>'Omoregie 2008'!J9</f>
        <v>180000000</v>
      </c>
      <c r="G706" s="301">
        <f>E706+F706</f>
        <v>470000000</v>
      </c>
      <c r="H706" s="27">
        <f>G706/D706</f>
        <v>0.23857868020304568</v>
      </c>
      <c r="I706" s="334"/>
      <c r="M706" s="27">
        <f>F706/G706</f>
        <v>0.38297872340425532</v>
      </c>
      <c r="O706" t="s">
        <v>440</v>
      </c>
      <c r="P706" s="303">
        <f>'Omoregie 2008'!K9</f>
        <v>16.997031875080602</v>
      </c>
      <c r="R706" t="s">
        <v>1395</v>
      </c>
      <c r="S706" t="s">
        <v>140</v>
      </c>
      <c r="T706" t="s">
        <v>55</v>
      </c>
      <c r="U706" t="s">
        <v>48</v>
      </c>
      <c r="V706" s="313">
        <v>0.35</v>
      </c>
      <c r="W706" s="313">
        <v>0.35</v>
      </c>
      <c r="X706" s="306" t="s">
        <v>47</v>
      </c>
      <c r="Y706" s="328" t="s">
        <v>96</v>
      </c>
      <c r="Z706" s="334" t="s">
        <v>96</v>
      </c>
      <c r="AB706" s="334" t="s">
        <v>1739</v>
      </c>
      <c r="AC706" s="334" t="s">
        <v>1702</v>
      </c>
      <c r="AP706" t="b">
        <v>1</v>
      </c>
      <c r="AQ706" s="322">
        <v>3000</v>
      </c>
      <c r="AR706" s="323" t="s">
        <v>1463</v>
      </c>
      <c r="AS706" s="322"/>
      <c r="AT706"/>
      <c r="AU706"/>
      <c r="AV706"/>
    </row>
    <row r="707" spans="1:48">
      <c r="A707" s="277" t="s">
        <v>87</v>
      </c>
      <c r="B707" s="334" t="str">
        <f>'Omoregie 2008'!A10</f>
        <v>Chefren mud volcano NL18PC(5)</v>
      </c>
      <c r="C707" s="334">
        <f>'Omoregie 2008'!G10</f>
        <v>7.0000000000000007E-2</v>
      </c>
      <c r="D707" s="301">
        <f>'Omoregie 2008'!H10</f>
        <v>610000000</v>
      </c>
      <c r="E707" s="301">
        <f>'Omoregie 2008'!I10</f>
        <v>150000000</v>
      </c>
      <c r="F707" s="301">
        <f>'Omoregie 2008'!J10</f>
        <v>190000000</v>
      </c>
      <c r="G707" s="301">
        <f>E707+F707</f>
        <v>340000000</v>
      </c>
      <c r="H707" s="27">
        <f>G707/D707</f>
        <v>0.55737704918032782</v>
      </c>
      <c r="I707" s="334"/>
      <c r="M707" s="27">
        <f>F707/G707</f>
        <v>0.55882352941176472</v>
      </c>
      <c r="O707" t="s">
        <v>440</v>
      </c>
      <c r="P707" s="303">
        <f>'Omoregie 2008'!K10</f>
        <v>18.151245321977001</v>
      </c>
      <c r="R707" t="s">
        <v>1395</v>
      </c>
      <c r="S707" t="s">
        <v>140</v>
      </c>
      <c r="T707" t="s">
        <v>55</v>
      </c>
      <c r="U707" t="s">
        <v>48</v>
      </c>
      <c r="V707" s="313">
        <v>0.35</v>
      </c>
      <c r="W707" s="313">
        <v>0.35</v>
      </c>
      <c r="X707" s="306" t="s">
        <v>47</v>
      </c>
      <c r="Y707" s="328" t="s">
        <v>96</v>
      </c>
      <c r="Z707" s="334" t="s">
        <v>96</v>
      </c>
      <c r="AB707" s="334" t="s">
        <v>1739</v>
      </c>
      <c r="AC707" s="334" t="s">
        <v>1702</v>
      </c>
      <c r="AP707" t="b">
        <v>1</v>
      </c>
      <c r="AQ707" s="322">
        <v>3000</v>
      </c>
      <c r="AR707" s="323" t="s">
        <v>1463</v>
      </c>
      <c r="AS707" s="322"/>
      <c r="AT707"/>
      <c r="AU707"/>
      <c r="AV707"/>
    </row>
    <row r="708" spans="1:48">
      <c r="A708" s="277" t="s">
        <v>87</v>
      </c>
      <c r="B708" s="334" t="str">
        <f>'Omoregie 2008'!A11</f>
        <v>Chefren mud volcano NL18PC(5)</v>
      </c>
      <c r="C708" s="334">
        <f>'Omoregie 2008'!G11</f>
        <v>0.09</v>
      </c>
      <c r="D708" s="301">
        <f>'Omoregie 2008'!H11</f>
        <v>1100000000</v>
      </c>
      <c r="E708" s="301">
        <f>'Omoregie 2008'!I11</f>
        <v>410000000</v>
      </c>
      <c r="F708" s="301">
        <f>'Omoregie 2008'!J11</f>
        <v>200000000</v>
      </c>
      <c r="G708" s="301">
        <f>E708+F708</f>
        <v>610000000</v>
      </c>
      <c r="H708" s="27">
        <f>G708/D708</f>
        <v>0.55454545454545456</v>
      </c>
      <c r="I708" s="334"/>
      <c r="M708" s="27">
        <f>F708/G708</f>
        <v>0.32786885245901637</v>
      </c>
      <c r="O708" t="s">
        <v>440</v>
      </c>
      <c r="P708" s="293">
        <f>'Omoregie 2008'!K11</f>
        <v>18.064266356949201</v>
      </c>
      <c r="R708" t="s">
        <v>1395</v>
      </c>
      <c r="S708" t="s">
        <v>140</v>
      </c>
      <c r="T708" t="s">
        <v>55</v>
      </c>
      <c r="U708" t="s">
        <v>48</v>
      </c>
      <c r="V708" s="313">
        <v>0.35</v>
      </c>
      <c r="W708" s="313">
        <v>0.35</v>
      </c>
      <c r="X708" s="306" t="s">
        <v>47</v>
      </c>
      <c r="Y708" s="328" t="s">
        <v>96</v>
      </c>
      <c r="Z708" s="334" t="s">
        <v>96</v>
      </c>
      <c r="AA708" s="334"/>
      <c r="AB708" s="334" t="s">
        <v>1739</v>
      </c>
      <c r="AC708" s="334" t="s">
        <v>1702</v>
      </c>
      <c r="AE708" s="334"/>
      <c r="AP708" t="b">
        <v>1</v>
      </c>
      <c r="AQ708" s="322">
        <v>3000</v>
      </c>
      <c r="AR708" s="323" t="s">
        <v>1463</v>
      </c>
      <c r="AS708" s="322"/>
      <c r="AT708"/>
      <c r="AU708"/>
      <c r="AV708"/>
    </row>
    <row r="709" spans="1:48">
      <c r="A709" s="277" t="s">
        <v>87</v>
      </c>
      <c r="B709" s="334" t="str">
        <f>'Omoregie 2008'!A12</f>
        <v>Chefren mud volcano NL18PC(5)</v>
      </c>
      <c r="C709" s="334">
        <f>'Omoregie 2008'!G12</f>
        <v>0.11</v>
      </c>
      <c r="D709" s="301">
        <f>'Omoregie 2008'!H12</f>
        <v>420000000</v>
      </c>
      <c r="E709" s="301">
        <f>'Omoregie 2008'!I12</f>
        <v>130000000</v>
      </c>
      <c r="F709" s="301">
        <f>'Omoregie 2008'!J12</f>
        <v>70000000</v>
      </c>
      <c r="G709" s="301">
        <f>E709+F709</f>
        <v>200000000</v>
      </c>
      <c r="H709" s="27">
        <f>G709/D709</f>
        <v>0.47619047619047616</v>
      </c>
      <c r="I709" s="334"/>
      <c r="M709" s="27">
        <f>F709/G709</f>
        <v>0.35</v>
      </c>
      <c r="O709" t="s">
        <v>440</v>
      </c>
      <c r="P709" s="303">
        <f>'Omoregie 2008'!K12</f>
        <v>18.075106465350299</v>
      </c>
      <c r="R709" t="s">
        <v>1395</v>
      </c>
      <c r="S709" t="s">
        <v>140</v>
      </c>
      <c r="T709" t="s">
        <v>55</v>
      </c>
      <c r="U709" t="s">
        <v>48</v>
      </c>
      <c r="V709" s="313">
        <v>0.35</v>
      </c>
      <c r="W709" s="313">
        <v>0.35</v>
      </c>
      <c r="X709" s="306" t="s">
        <v>47</v>
      </c>
      <c r="Y709" s="328" t="s">
        <v>96</v>
      </c>
      <c r="Z709" s="334" t="s">
        <v>96</v>
      </c>
      <c r="AB709" s="334" t="s">
        <v>1739</v>
      </c>
      <c r="AC709" s="334" t="s">
        <v>1702</v>
      </c>
      <c r="AP709" t="b">
        <v>1</v>
      </c>
      <c r="AQ709" s="322">
        <v>3000</v>
      </c>
      <c r="AR709" s="323" t="s">
        <v>1463</v>
      </c>
      <c r="AS709" s="322"/>
      <c r="AT709"/>
      <c r="AU709"/>
      <c r="AV709"/>
    </row>
    <row r="710" spans="1:48">
      <c r="A710" s="277" t="s">
        <v>87</v>
      </c>
      <c r="B710" s="334" t="str">
        <f>'Omoregie 2008'!A13</f>
        <v>Chefren mud volcano NL18PC(5)</v>
      </c>
      <c r="C710" s="334">
        <f>'Omoregie 2008'!G13</f>
        <v>0.13</v>
      </c>
      <c r="D710" s="301">
        <f>'Omoregie 2008'!H13</f>
        <v>200000000</v>
      </c>
      <c r="E710" s="301">
        <f>'Omoregie 2008'!I13</f>
        <v>120000000</v>
      </c>
      <c r="F710" s="301">
        <f>'Omoregie 2008'!J13</f>
        <v>20000000</v>
      </c>
      <c r="G710" s="301">
        <f>E710+F710</f>
        <v>140000000</v>
      </c>
      <c r="H710" s="27">
        <f>G710/D710</f>
        <v>0.7</v>
      </c>
      <c r="I710" s="334"/>
      <c r="M710" s="27">
        <f>F710/G710</f>
        <v>0.14285714285714285</v>
      </c>
      <c r="O710" t="s">
        <v>440</v>
      </c>
      <c r="P710" s="303">
        <f>'Omoregie 2008'!K13</f>
        <v>18.464576074332101</v>
      </c>
      <c r="R710" t="s">
        <v>1395</v>
      </c>
      <c r="S710" t="s">
        <v>140</v>
      </c>
      <c r="T710" t="s">
        <v>55</v>
      </c>
      <c r="U710" t="s">
        <v>48</v>
      </c>
      <c r="V710" s="313">
        <v>0.35</v>
      </c>
      <c r="W710" s="313">
        <v>0.35</v>
      </c>
      <c r="X710" s="306" t="s">
        <v>47</v>
      </c>
      <c r="Y710" s="328" t="s">
        <v>96</v>
      </c>
      <c r="Z710" s="334" t="s">
        <v>96</v>
      </c>
      <c r="AB710" s="334" t="s">
        <v>1739</v>
      </c>
      <c r="AC710" s="334" t="s">
        <v>1702</v>
      </c>
      <c r="AP710" t="b">
        <v>1</v>
      </c>
      <c r="AQ710" s="322">
        <v>3000</v>
      </c>
      <c r="AR710" s="323" t="s">
        <v>1463</v>
      </c>
      <c r="AS710" s="322"/>
      <c r="AT710"/>
      <c r="AU710"/>
      <c r="AV710"/>
    </row>
    <row r="711" spans="1:48">
      <c r="A711" s="277" t="s">
        <v>87</v>
      </c>
      <c r="B711" s="334" t="str">
        <f>'Omoregie 2008'!A14</f>
        <v>Chefren mud volcano NL18PC(5)</v>
      </c>
      <c r="C711" s="334">
        <f>'Omoregie 2008'!G14</f>
        <v>0.15</v>
      </c>
      <c r="D711" s="301">
        <f>'Omoregie 2008'!H14</f>
        <v>200000000</v>
      </c>
      <c r="E711" s="301">
        <f>'Omoregie 2008'!I14</f>
        <v>20000000</v>
      </c>
      <c r="F711" s="301">
        <f>'Omoregie 2008'!J14</f>
        <v>30000000</v>
      </c>
      <c r="G711" s="301">
        <f>E711+F711</f>
        <v>50000000</v>
      </c>
      <c r="H711" s="27">
        <f>G711/D711</f>
        <v>0.25</v>
      </c>
      <c r="I711" s="334"/>
      <c r="M711" s="27">
        <f>F711/G711</f>
        <v>0.6</v>
      </c>
      <c r="O711" t="s">
        <v>440</v>
      </c>
      <c r="P711" s="303">
        <f>'Omoregie 2008'!K14</f>
        <v>18.096528584333399</v>
      </c>
      <c r="R711" s="304" t="s">
        <v>1395</v>
      </c>
      <c r="S711" s="304" t="s">
        <v>140</v>
      </c>
      <c r="T711" s="304" t="s">
        <v>55</v>
      </c>
      <c r="U711" s="304" t="s">
        <v>48</v>
      </c>
      <c r="V711" s="313">
        <v>0.35</v>
      </c>
      <c r="W711" s="313">
        <v>0.35</v>
      </c>
      <c r="X711" s="306" t="s">
        <v>47</v>
      </c>
      <c r="Y711" s="328" t="s">
        <v>96</v>
      </c>
      <c r="Z711" s="334" t="s">
        <v>96</v>
      </c>
      <c r="AB711" s="334" t="s">
        <v>1739</v>
      </c>
      <c r="AC711" s="334" t="s">
        <v>1702</v>
      </c>
      <c r="AP711" t="b">
        <v>1</v>
      </c>
      <c r="AQ711" s="322">
        <v>3000</v>
      </c>
      <c r="AR711" s="323" t="s">
        <v>1463</v>
      </c>
      <c r="AS711" s="322"/>
      <c r="AT711"/>
      <c r="AU711"/>
      <c r="AV711"/>
    </row>
    <row r="712" spans="1:48">
      <c r="A712" s="277" t="s">
        <v>87</v>
      </c>
      <c r="B712" s="334" t="str">
        <f>'Omoregie 2008'!A15</f>
        <v>Chefren mud volcano NL18PC(8)</v>
      </c>
      <c r="C712" s="334">
        <f>'Omoregie 2008'!G15</f>
        <v>0</v>
      </c>
      <c r="D712" s="301">
        <f>'Omoregie 2008'!H15</f>
        <v>800000000</v>
      </c>
      <c r="E712" s="301">
        <f>'Omoregie 2008'!I15</f>
        <v>540000000</v>
      </c>
      <c r="F712" s="301">
        <f>'Omoregie 2008'!J15</f>
        <v>20000000</v>
      </c>
      <c r="G712" s="301">
        <f>E712+F712</f>
        <v>560000000</v>
      </c>
      <c r="H712" s="27">
        <f>G712/D712</f>
        <v>0.7</v>
      </c>
      <c r="I712" s="334"/>
      <c r="M712" s="27">
        <f>F712/G712</f>
        <v>3.5714285714285712E-2</v>
      </c>
      <c r="O712" t="s">
        <v>440</v>
      </c>
      <c r="P712" s="303"/>
      <c r="R712" s="304" t="s">
        <v>1395</v>
      </c>
      <c r="S712" s="304" t="s">
        <v>140</v>
      </c>
      <c r="T712" s="304" t="s">
        <v>55</v>
      </c>
      <c r="U712" s="304" t="s">
        <v>48</v>
      </c>
      <c r="V712" s="313">
        <v>0.35</v>
      </c>
      <c r="W712" s="313">
        <v>0.35</v>
      </c>
      <c r="X712" s="306" t="s">
        <v>47</v>
      </c>
      <c r="Y712" s="328" t="s">
        <v>96</v>
      </c>
      <c r="Z712" s="334" t="s">
        <v>96</v>
      </c>
      <c r="AB712" s="334" t="s">
        <v>1739</v>
      </c>
      <c r="AC712" s="334" t="s">
        <v>1702</v>
      </c>
      <c r="AP712" t="b">
        <v>1</v>
      </c>
      <c r="AQ712" s="322">
        <v>3000</v>
      </c>
      <c r="AR712" s="323" t="s">
        <v>1463</v>
      </c>
      <c r="AS712" s="322"/>
      <c r="AT712"/>
      <c r="AU712"/>
      <c r="AV712"/>
    </row>
    <row r="713" spans="1:48">
      <c r="A713" s="277" t="s">
        <v>87</v>
      </c>
      <c r="B713" s="334" t="str">
        <f>'Omoregie 2008'!A16</f>
        <v>Chefren mud volcano NL18PC(8)</v>
      </c>
      <c r="C713" s="334">
        <f>'Omoregie 2008'!G16</f>
        <v>0.01</v>
      </c>
      <c r="D713" s="301">
        <f>'Omoregie 2008'!H16</f>
        <v>1280000000</v>
      </c>
      <c r="E713" s="301">
        <f>'Omoregie 2008'!I16</f>
        <v>780000000</v>
      </c>
      <c r="F713" s="301">
        <f>'Omoregie 2008'!J16</f>
        <v>30000000</v>
      </c>
      <c r="G713" s="301">
        <f>E713+F713</f>
        <v>810000000</v>
      </c>
      <c r="H713" s="27">
        <f>G713/D713</f>
        <v>0.6328125</v>
      </c>
      <c r="I713" s="334"/>
      <c r="M713" s="27">
        <f>F713/G713</f>
        <v>3.7037037037037035E-2</v>
      </c>
      <c r="O713" t="s">
        <v>440</v>
      </c>
      <c r="P713" s="293">
        <f>'Omoregie 2008'!K16</f>
        <v>29.2161569234739</v>
      </c>
      <c r="R713" s="304" t="s">
        <v>1395</v>
      </c>
      <c r="S713" s="304" t="s">
        <v>140</v>
      </c>
      <c r="T713" s="304" t="s">
        <v>55</v>
      </c>
      <c r="U713" s="304" t="s">
        <v>48</v>
      </c>
      <c r="V713" s="313">
        <v>0.35</v>
      </c>
      <c r="W713" s="313">
        <v>0.35</v>
      </c>
      <c r="X713" s="306" t="s">
        <v>47</v>
      </c>
      <c r="Y713" s="328" t="s">
        <v>96</v>
      </c>
      <c r="Z713" s="334" t="s">
        <v>96</v>
      </c>
      <c r="AB713" s="334" t="s">
        <v>1739</v>
      </c>
      <c r="AC713" s="334" t="s">
        <v>1702</v>
      </c>
      <c r="AP713" t="b">
        <v>1</v>
      </c>
      <c r="AQ713" s="322">
        <v>3000</v>
      </c>
      <c r="AR713" s="323" t="s">
        <v>1463</v>
      </c>
      <c r="AS713" s="322"/>
      <c r="AT713"/>
      <c r="AU713"/>
      <c r="AV713"/>
    </row>
    <row r="714" spans="1:48">
      <c r="A714" s="277" t="s">
        <v>87</v>
      </c>
      <c r="B714" s="334" t="str">
        <f>'Omoregie 2008'!A17</f>
        <v>Chefren mud volcano NL18PC(8)</v>
      </c>
      <c r="C714" s="334">
        <f>'Omoregie 2008'!G17</f>
        <v>0.03</v>
      </c>
      <c r="D714" s="301">
        <f>'Omoregie 2008'!H17</f>
        <v>4750000000</v>
      </c>
      <c r="E714" s="301">
        <f>'Omoregie 2008'!I17</f>
        <v>1090000000</v>
      </c>
      <c r="F714" s="301">
        <f>'Omoregie 2008'!J17</f>
        <v>950000000</v>
      </c>
      <c r="G714" s="301">
        <f>E714+F714</f>
        <v>2040000000</v>
      </c>
      <c r="H714" s="27">
        <f>G714/D714</f>
        <v>0.42947368421052634</v>
      </c>
      <c r="I714" s="334"/>
      <c r="M714" s="27">
        <f>F714/G714</f>
        <v>0.46568627450980393</v>
      </c>
      <c r="O714" t="s">
        <v>440</v>
      </c>
      <c r="P714" s="303">
        <f>'Omoregie 2008'!K17</f>
        <v>24.3698541747322</v>
      </c>
      <c r="R714" s="304" t="s">
        <v>1395</v>
      </c>
      <c r="S714" s="304" t="s">
        <v>140</v>
      </c>
      <c r="T714" s="304" t="s">
        <v>55</v>
      </c>
      <c r="U714" s="304" t="s">
        <v>48</v>
      </c>
      <c r="V714" s="313">
        <v>0.35</v>
      </c>
      <c r="W714" s="313">
        <v>0.35</v>
      </c>
      <c r="X714" s="306" t="s">
        <v>47</v>
      </c>
      <c r="Y714" s="328" t="s">
        <v>96</v>
      </c>
      <c r="Z714" s="334" t="s">
        <v>96</v>
      </c>
      <c r="AB714" s="334" t="s">
        <v>1739</v>
      </c>
      <c r="AC714" s="334" t="s">
        <v>1702</v>
      </c>
      <c r="AP714" t="b">
        <v>1</v>
      </c>
      <c r="AQ714" s="322">
        <v>3000</v>
      </c>
      <c r="AR714" s="323" t="s">
        <v>1463</v>
      </c>
      <c r="AS714" s="322"/>
      <c r="AT714"/>
      <c r="AU714"/>
      <c r="AV714"/>
    </row>
    <row r="715" spans="1:48">
      <c r="A715" s="277" t="s">
        <v>87</v>
      </c>
      <c r="B715" s="334" t="str">
        <f>'Omoregie 2008'!A18</f>
        <v>Chefren mud volcano NL18PC(8)</v>
      </c>
      <c r="C715" s="334">
        <f>'Omoregie 2008'!G18</f>
        <v>0.05</v>
      </c>
      <c r="D715" s="301">
        <f>'Omoregie 2008'!H18</f>
        <v>760000000</v>
      </c>
      <c r="E715" s="301">
        <f>'Omoregie 2008'!I18</f>
        <v>270000000</v>
      </c>
      <c r="F715" s="301">
        <f>'Omoregie 2008'!J18</f>
        <v>190000000</v>
      </c>
      <c r="G715" s="301">
        <f>E715+F715</f>
        <v>460000000</v>
      </c>
      <c r="H715" s="27">
        <f>G715/D715</f>
        <v>0.60526315789473684</v>
      </c>
      <c r="I715" s="334"/>
      <c r="M715" s="27">
        <f>F715/G715</f>
        <v>0.41304347826086957</v>
      </c>
      <c r="O715" s="322" t="s">
        <v>440</v>
      </c>
      <c r="P715" s="322">
        <f>'Omoregie 2008'!K18</f>
        <v>16.572202864885799</v>
      </c>
      <c r="R715" s="322" t="s">
        <v>1395</v>
      </c>
      <c r="S715" s="322" t="s">
        <v>140</v>
      </c>
      <c r="T715" s="322" t="s">
        <v>55</v>
      </c>
      <c r="U715" s="322" t="s">
        <v>48</v>
      </c>
      <c r="V715" s="313">
        <v>0.35</v>
      </c>
      <c r="W715" s="313">
        <v>0.35</v>
      </c>
      <c r="X715" s="306" t="s">
        <v>47</v>
      </c>
      <c r="Y715" s="327" t="s">
        <v>96</v>
      </c>
      <c r="Z715" s="334" t="s">
        <v>96</v>
      </c>
      <c r="AB715" s="334" t="s">
        <v>1739</v>
      </c>
      <c r="AC715" s="334" t="s">
        <v>1702</v>
      </c>
      <c r="AP715" t="b">
        <v>1</v>
      </c>
      <c r="AQ715" s="322">
        <v>3000</v>
      </c>
      <c r="AR715" s="323" t="s">
        <v>1463</v>
      </c>
      <c r="AS715" s="322"/>
      <c r="AT715"/>
      <c r="AU715"/>
      <c r="AV715"/>
    </row>
    <row r="716" spans="1:48">
      <c r="A716" s="277" t="s">
        <v>87</v>
      </c>
      <c r="B716" s="334" t="str">
        <f>'Omoregie 2008'!A19</f>
        <v>Chefren mud volcano NL18PC(8)</v>
      </c>
      <c r="C716" s="334">
        <f>'Omoregie 2008'!G19</f>
        <v>7.0000000000000007E-2</v>
      </c>
      <c r="D716" s="301">
        <f>'Omoregie 2008'!H19</f>
        <v>1150000000</v>
      </c>
      <c r="E716" s="301">
        <f>'Omoregie 2008'!I19</f>
        <v>300000000</v>
      </c>
      <c r="F716" s="301">
        <f>'Omoregie 2008'!J19</f>
        <v>250000000</v>
      </c>
      <c r="G716" s="301">
        <f>E716+F716</f>
        <v>550000000</v>
      </c>
      <c r="H716" s="27">
        <f>G716/D716</f>
        <v>0.47826086956521741</v>
      </c>
      <c r="I716" s="334"/>
      <c r="M716" s="27">
        <f>F716/G716</f>
        <v>0.45454545454545453</v>
      </c>
      <c r="O716" t="s">
        <v>440</v>
      </c>
      <c r="P716" s="303">
        <f>'Omoregie 2008'!K19</f>
        <v>10.2002839076009</v>
      </c>
      <c r="R716" s="304" t="s">
        <v>1395</v>
      </c>
      <c r="S716" s="304" t="s">
        <v>140</v>
      </c>
      <c r="T716" s="304" t="s">
        <v>55</v>
      </c>
      <c r="U716" s="304" t="s">
        <v>48</v>
      </c>
      <c r="V716" s="313">
        <v>0.35</v>
      </c>
      <c r="W716" s="313">
        <v>0.35</v>
      </c>
      <c r="X716" s="306" t="s">
        <v>47</v>
      </c>
      <c r="Y716" s="328" t="s">
        <v>96</v>
      </c>
      <c r="Z716" s="334" t="s">
        <v>96</v>
      </c>
      <c r="AB716" s="334" t="s">
        <v>1739</v>
      </c>
      <c r="AC716" s="334" t="s">
        <v>1702</v>
      </c>
      <c r="AP716" t="b">
        <v>1</v>
      </c>
      <c r="AQ716">
        <v>3000</v>
      </c>
      <c r="AR716" t="s">
        <v>1463</v>
      </c>
      <c r="AT716"/>
      <c r="AU716"/>
      <c r="AV716"/>
    </row>
    <row r="717" spans="1:48">
      <c r="A717" s="277" t="s">
        <v>87</v>
      </c>
      <c r="B717" s="334" t="str">
        <f>'Omoregie 2008'!A20</f>
        <v>Chefren mud volcano NL18PC(8)</v>
      </c>
      <c r="C717" s="334">
        <f>'Omoregie 2008'!G20</f>
        <v>0.09</v>
      </c>
      <c r="D717" s="301">
        <f>'Omoregie 2008'!H20</f>
        <v>1090000000</v>
      </c>
      <c r="E717" s="301">
        <f>'Omoregie 2008'!I20</f>
        <v>380000000</v>
      </c>
      <c r="F717" s="301">
        <f>'Omoregie 2008'!J20</f>
        <v>160000000</v>
      </c>
      <c r="G717" s="301">
        <f>E717+F717</f>
        <v>540000000</v>
      </c>
      <c r="H717" s="27">
        <f>G717/D717</f>
        <v>0.49541284403669728</v>
      </c>
      <c r="I717" s="334"/>
      <c r="M717" s="27">
        <f>F717/G717</f>
        <v>0.29629629629629628</v>
      </c>
      <c r="O717" t="s">
        <v>440</v>
      </c>
      <c r="P717" s="303">
        <f>'Omoregie 2008'!K20</f>
        <v>6.7830687830687904</v>
      </c>
      <c r="R717" s="304" t="s">
        <v>1395</v>
      </c>
      <c r="S717" s="304" t="s">
        <v>140</v>
      </c>
      <c r="T717" s="304" t="s">
        <v>55</v>
      </c>
      <c r="U717" s="304" t="s">
        <v>48</v>
      </c>
      <c r="V717" s="313">
        <v>0.35</v>
      </c>
      <c r="W717" s="313">
        <v>0.35</v>
      </c>
      <c r="X717" s="306" t="s">
        <v>47</v>
      </c>
      <c r="Y717" s="328" t="s">
        <v>96</v>
      </c>
      <c r="Z717" s="334" t="s">
        <v>96</v>
      </c>
      <c r="AB717" s="334" t="s">
        <v>1739</v>
      </c>
      <c r="AC717" s="334" t="s">
        <v>1702</v>
      </c>
      <c r="AP717" t="b">
        <v>1</v>
      </c>
      <c r="AQ717">
        <v>3000</v>
      </c>
      <c r="AR717" s="326" t="s">
        <v>1463</v>
      </c>
      <c r="AT717"/>
      <c r="AU717"/>
      <c r="AV717"/>
    </row>
    <row r="718" spans="1:48">
      <c r="A718" s="277" t="s">
        <v>87</v>
      </c>
      <c r="B718" s="334" t="str">
        <f>'Omoregie 2008'!A21</f>
        <v>Chefren mud volcano NL18PC(8)</v>
      </c>
      <c r="C718" s="334">
        <f>'Omoregie 2008'!G21</f>
        <v>0.11</v>
      </c>
      <c r="D718" s="301">
        <f>'Omoregie 2008'!H21</f>
        <v>910000000</v>
      </c>
      <c r="E718" s="301">
        <f>'Omoregie 2008'!I21</f>
        <v>160000000</v>
      </c>
      <c r="F718" s="301">
        <f>'Omoregie 2008'!J21</f>
        <v>240000000</v>
      </c>
      <c r="G718" s="301">
        <f>E718+F718</f>
        <v>400000000</v>
      </c>
      <c r="H718" s="27">
        <f>G718/D718</f>
        <v>0.43956043956043955</v>
      </c>
      <c r="I718" s="334"/>
      <c r="M718" s="27">
        <f>F718/G718</f>
        <v>0.6</v>
      </c>
      <c r="O718" t="s">
        <v>440</v>
      </c>
      <c r="P718" s="303">
        <f>'Omoregie 2008'!K21</f>
        <v>3.8433346238223698</v>
      </c>
      <c r="R718" s="304" t="s">
        <v>1395</v>
      </c>
      <c r="S718" s="304" t="s">
        <v>140</v>
      </c>
      <c r="T718" s="304" t="s">
        <v>55</v>
      </c>
      <c r="U718" s="304" t="s">
        <v>48</v>
      </c>
      <c r="V718" s="313">
        <v>0.35</v>
      </c>
      <c r="W718" s="313">
        <v>0.35</v>
      </c>
      <c r="X718" s="306" t="s">
        <v>47</v>
      </c>
      <c r="Y718" s="328" t="s">
        <v>96</v>
      </c>
      <c r="Z718" s="334" t="s">
        <v>96</v>
      </c>
      <c r="AB718" s="334" t="s">
        <v>1739</v>
      </c>
      <c r="AC718" s="334" t="s">
        <v>1702</v>
      </c>
      <c r="AP718" t="b">
        <v>1</v>
      </c>
      <c r="AQ718" s="326">
        <v>3000</v>
      </c>
      <c r="AR718" s="326" t="s">
        <v>1463</v>
      </c>
      <c r="AT718"/>
      <c r="AU718"/>
      <c r="AV718"/>
    </row>
    <row r="719" spans="1:48">
      <c r="A719" s="277" t="s">
        <v>87</v>
      </c>
      <c r="B719" s="334" t="str">
        <f>'Omoregie 2008'!A22</f>
        <v>Chefren mud volcano NL18PC(8)</v>
      </c>
      <c r="C719" s="334">
        <f>'Omoregie 2008'!G22</f>
        <v>0.13</v>
      </c>
      <c r="D719" s="301">
        <f>'Omoregie 2008'!H22</f>
        <v>1600000000</v>
      </c>
      <c r="E719" s="301">
        <f>'Omoregie 2008'!I22</f>
        <v>650000000</v>
      </c>
      <c r="F719" s="301">
        <f>'Omoregie 2008'!J22</f>
        <v>240000000</v>
      </c>
      <c r="G719" s="301">
        <f>E719+F719</f>
        <v>890000000</v>
      </c>
      <c r="H719" s="27">
        <f>G719/D719</f>
        <v>0.55625000000000002</v>
      </c>
      <c r="I719" s="334"/>
      <c r="M719" s="27">
        <f>F719/G719</f>
        <v>0.2696629213483146</v>
      </c>
      <c r="O719" t="s">
        <v>440</v>
      </c>
      <c r="P719" s="303">
        <f>'Omoregie 2008'!K22</f>
        <v>4.0431023357852496</v>
      </c>
      <c r="R719" s="304" t="s">
        <v>1395</v>
      </c>
      <c r="S719" s="304" t="s">
        <v>140</v>
      </c>
      <c r="T719" s="304" t="s">
        <v>55</v>
      </c>
      <c r="U719" s="304" t="s">
        <v>48</v>
      </c>
      <c r="V719" s="313">
        <v>0.35</v>
      </c>
      <c r="W719" s="313">
        <v>0.35</v>
      </c>
      <c r="X719" s="306" t="s">
        <v>47</v>
      </c>
      <c r="Y719" s="328" t="s">
        <v>96</v>
      </c>
      <c r="Z719" s="334" t="s">
        <v>96</v>
      </c>
      <c r="AB719" s="334" t="s">
        <v>1739</v>
      </c>
      <c r="AC719" s="334" t="s">
        <v>1702</v>
      </c>
      <c r="AP719" t="b">
        <v>1</v>
      </c>
      <c r="AQ719" s="326">
        <v>3000</v>
      </c>
      <c r="AR719" s="326" t="s">
        <v>1463</v>
      </c>
      <c r="AT719"/>
      <c r="AU719"/>
      <c r="AV719"/>
    </row>
    <row r="720" spans="1:48">
      <c r="A720" s="277" t="s">
        <v>87</v>
      </c>
      <c r="B720" s="328" t="str">
        <f>'Omoregie 2008'!A23</f>
        <v>Chefren mud volcano NL18PC(8)</v>
      </c>
      <c r="C720" s="334">
        <f>'Omoregie 2008'!G23</f>
        <v>0.15</v>
      </c>
      <c r="D720" s="301">
        <f>'Omoregie 2008'!H23</f>
        <v>970000000</v>
      </c>
      <c r="E720" s="301">
        <f>'Omoregie 2008'!I23</f>
        <v>390000000</v>
      </c>
      <c r="F720" s="301">
        <f>'Omoregie 2008'!J23</f>
        <v>150000000</v>
      </c>
      <c r="G720" s="301">
        <f>E720+F720</f>
        <v>540000000</v>
      </c>
      <c r="H720" s="27">
        <f>G720/D720</f>
        <v>0.55670103092783507</v>
      </c>
      <c r="I720" s="334"/>
      <c r="M720" s="27">
        <f>F720/G720</f>
        <v>0.27777777777777779</v>
      </c>
      <c r="O720" t="s">
        <v>440</v>
      </c>
      <c r="P720" s="303">
        <f>'Omoregie 2008'!K23</f>
        <v>3.2912633888243699</v>
      </c>
      <c r="R720" s="304" t="s">
        <v>1395</v>
      </c>
      <c r="S720" s="304" t="s">
        <v>140</v>
      </c>
      <c r="T720" s="304" t="s">
        <v>55</v>
      </c>
      <c r="U720" s="304" t="s">
        <v>48</v>
      </c>
      <c r="V720" s="313">
        <v>0.35</v>
      </c>
      <c r="W720" s="313">
        <v>0.35</v>
      </c>
      <c r="X720" s="306" t="s">
        <v>47</v>
      </c>
      <c r="Y720" s="326" t="s">
        <v>96</v>
      </c>
      <c r="Z720" s="334" t="s">
        <v>96</v>
      </c>
      <c r="AB720" s="334" t="s">
        <v>1739</v>
      </c>
      <c r="AC720" s="334" t="s">
        <v>1702</v>
      </c>
      <c r="AP720" t="b">
        <v>1</v>
      </c>
      <c r="AQ720" s="326">
        <v>3000</v>
      </c>
      <c r="AR720" s="326" t="s">
        <v>1463</v>
      </c>
      <c r="AT720"/>
      <c r="AU720"/>
      <c r="AV720"/>
    </row>
    <row r="721" spans="1:48">
      <c r="A721" s="277" t="s">
        <v>87</v>
      </c>
      <c r="B721" s="328" t="str">
        <f>'Omoregie 2008'!A24</f>
        <v>Chefren mud volcano NL18PC(8)</v>
      </c>
      <c r="C721" s="334">
        <f>'Omoregie 2008'!G24</f>
        <v>0.17</v>
      </c>
      <c r="D721" s="301">
        <f>'Omoregie 2008'!H24</f>
        <v>620000000</v>
      </c>
      <c r="E721" s="301">
        <f>'Omoregie 2008'!I24</f>
        <v>150000000</v>
      </c>
      <c r="F721" s="301">
        <f>'Omoregie 2008'!J24</f>
        <v>90000000</v>
      </c>
      <c r="G721" s="301">
        <f>E721+F721</f>
        <v>240000000</v>
      </c>
      <c r="H721" s="27">
        <f>G721/D721</f>
        <v>0.38709677419354838</v>
      </c>
      <c r="I721" s="334"/>
      <c r="M721" s="27">
        <f>F721/G721</f>
        <v>0.375</v>
      </c>
      <c r="O721" t="s">
        <v>440</v>
      </c>
      <c r="P721" s="303">
        <f>'Omoregie 2008'!K24</f>
        <v>3.3965672990062701</v>
      </c>
      <c r="R721" s="304" t="s">
        <v>1395</v>
      </c>
      <c r="S721" s="304" t="s">
        <v>140</v>
      </c>
      <c r="T721" s="304" t="s">
        <v>55</v>
      </c>
      <c r="U721" s="304" t="s">
        <v>48</v>
      </c>
      <c r="V721" s="313">
        <v>0.35</v>
      </c>
      <c r="W721" s="313">
        <v>0.35</v>
      </c>
      <c r="X721" s="306" t="s">
        <v>47</v>
      </c>
      <c r="Y721" s="328" t="s">
        <v>96</v>
      </c>
      <c r="Z721" s="334" t="s">
        <v>96</v>
      </c>
      <c r="AB721" s="334" t="s">
        <v>1739</v>
      </c>
      <c r="AC721" s="334" t="s">
        <v>1702</v>
      </c>
      <c r="AP721" t="b">
        <v>1</v>
      </c>
      <c r="AQ721" s="326">
        <v>3000</v>
      </c>
      <c r="AR721" s="326" t="s">
        <v>1463</v>
      </c>
      <c r="AT721"/>
      <c r="AU721"/>
      <c r="AV721"/>
    </row>
    <row r="722" spans="1:48">
      <c r="A722" s="277" t="s">
        <v>221</v>
      </c>
      <c r="B722" s="328" t="str">
        <f>'Omoregie 2009'!A7</f>
        <v>Amon mud volcano</v>
      </c>
      <c r="C722" s="334">
        <f>'Omoregie 2009'!G7</f>
        <v>0.01</v>
      </c>
      <c r="D722" s="301">
        <f>'Omoregie 2009'!H7</f>
        <v>8029999999.999999</v>
      </c>
      <c r="E722" s="301">
        <f>'Omoregie 2009'!I7</f>
        <v>990000000</v>
      </c>
      <c r="F722" s="301">
        <f>'Omoregie 2009'!J7</f>
        <v>50000000</v>
      </c>
      <c r="G722" s="301">
        <f>E722+F722</f>
        <v>1040000000</v>
      </c>
      <c r="H722" s="27">
        <f>G722/D722</f>
        <v>0.12951432129514323</v>
      </c>
      <c r="M722" s="27">
        <f>F722/G722</f>
        <v>4.807692307692308E-2</v>
      </c>
      <c r="O722" t="s">
        <v>1247</v>
      </c>
      <c r="P722" s="303">
        <f>'Omoregie 2009'!K7</f>
        <v>19.5348837209302</v>
      </c>
      <c r="R722" s="304" t="s">
        <v>1395</v>
      </c>
      <c r="S722" s="304" t="s">
        <v>140</v>
      </c>
      <c r="T722" s="304" t="s">
        <v>145</v>
      </c>
      <c r="U722" s="304" t="s">
        <v>48</v>
      </c>
      <c r="V722" s="313">
        <v>0.35</v>
      </c>
      <c r="W722" s="313">
        <v>0.35</v>
      </c>
      <c r="X722" s="306" t="s">
        <v>47</v>
      </c>
      <c r="Y722" s="327" t="s">
        <v>96</v>
      </c>
      <c r="Z722" s="334" t="s">
        <v>96</v>
      </c>
      <c r="AB722" s="334" t="s">
        <v>1739</v>
      </c>
      <c r="AC722" s="334" t="s">
        <v>1702</v>
      </c>
      <c r="AP722" t="b">
        <v>1</v>
      </c>
      <c r="AQ722" s="326">
        <v>1120</v>
      </c>
      <c r="AR722" s="326" t="s">
        <v>1463</v>
      </c>
      <c r="AT722"/>
      <c r="AU722"/>
      <c r="AV722"/>
    </row>
    <row r="723" spans="1:48">
      <c r="A723" s="277" t="s">
        <v>221</v>
      </c>
      <c r="B723" s="334" t="str">
        <f>'Omoregie 2009'!A8</f>
        <v>Amon mud volcano</v>
      </c>
      <c r="C723" s="334">
        <f>'Omoregie 2009'!G8</f>
        <v>0.03</v>
      </c>
      <c r="D723" s="301">
        <f>'Omoregie 2009'!H8</f>
        <v>7400000000</v>
      </c>
      <c r="E723" s="301">
        <f>'Omoregie 2009'!I8</f>
        <v>950000000</v>
      </c>
      <c r="F723" s="301">
        <f>'Omoregie 2009'!J8</f>
        <v>60000000</v>
      </c>
      <c r="G723" s="301">
        <f>E723+F723</f>
        <v>1010000000</v>
      </c>
      <c r="H723" s="27">
        <f>G723/D723</f>
        <v>0.13648648648648648</v>
      </c>
      <c r="M723" s="27">
        <f>F723/G723</f>
        <v>5.9405940594059403E-2</v>
      </c>
      <c r="O723" t="s">
        <v>1247</v>
      </c>
      <c r="P723" s="303">
        <f>'Omoregie 2009'!K8</f>
        <v>19.036544850498299</v>
      </c>
      <c r="R723" s="304" t="s">
        <v>1395</v>
      </c>
      <c r="S723" s="304" t="s">
        <v>140</v>
      </c>
      <c r="T723" s="304" t="s">
        <v>145</v>
      </c>
      <c r="U723" s="304" t="s">
        <v>48</v>
      </c>
      <c r="V723" s="313">
        <v>0.35</v>
      </c>
      <c r="W723" s="313">
        <v>0.35</v>
      </c>
      <c r="X723" s="306" t="s">
        <v>47</v>
      </c>
      <c r="Y723" s="328" t="s">
        <v>96</v>
      </c>
      <c r="Z723" s="334" t="s">
        <v>96</v>
      </c>
      <c r="AB723" s="334" t="s">
        <v>1739</v>
      </c>
      <c r="AC723" s="334" t="s">
        <v>1702</v>
      </c>
      <c r="AP723" t="b">
        <v>1</v>
      </c>
      <c r="AQ723" s="326">
        <v>1120</v>
      </c>
      <c r="AR723" s="326" t="s">
        <v>1463</v>
      </c>
      <c r="AT723"/>
      <c r="AU723"/>
      <c r="AV723"/>
    </row>
    <row r="724" spans="1:48">
      <c r="A724" s="277" t="s">
        <v>221</v>
      </c>
      <c r="B724" s="328" t="str">
        <f>'Omoregie 2009'!A9</f>
        <v>Amon mud volcano</v>
      </c>
      <c r="C724" s="334">
        <f>'Omoregie 2009'!G9</f>
        <v>0.11</v>
      </c>
      <c r="D724" s="301">
        <f>'Omoregie 2009'!H9</f>
        <v>300000000</v>
      </c>
      <c r="E724" s="301">
        <f>'Omoregie 2009'!I9</f>
        <v>110000000</v>
      </c>
      <c r="F724" s="301">
        <f>'Omoregie 2009'!J9</f>
        <v>10000000</v>
      </c>
      <c r="G724" s="301">
        <f>E724+F724</f>
        <v>120000000</v>
      </c>
      <c r="H724" s="27">
        <f>G724/D724</f>
        <v>0.4</v>
      </c>
      <c r="M724" s="27">
        <f>F724/G724</f>
        <v>8.3333333333333329E-2</v>
      </c>
      <c r="O724" t="s">
        <v>1247</v>
      </c>
      <c r="P724" s="293">
        <f>'Omoregie 2009'!K9</f>
        <v>17.940199335548101</v>
      </c>
      <c r="R724" s="304" t="s">
        <v>1395</v>
      </c>
      <c r="S724" s="304" t="s">
        <v>140</v>
      </c>
      <c r="T724" s="304" t="s">
        <v>145</v>
      </c>
      <c r="U724" s="304" t="s">
        <v>48</v>
      </c>
      <c r="V724" s="313">
        <v>0.35</v>
      </c>
      <c r="W724" s="313">
        <v>0.35</v>
      </c>
      <c r="X724" s="306" t="s">
        <v>47</v>
      </c>
      <c r="Y724" s="328" t="s">
        <v>96</v>
      </c>
      <c r="Z724" s="334" t="s">
        <v>96</v>
      </c>
      <c r="AB724" s="334" t="s">
        <v>1739</v>
      </c>
      <c r="AC724" s="334" t="s">
        <v>1702</v>
      </c>
      <c r="AP724" t="b">
        <v>1</v>
      </c>
      <c r="AQ724" s="326">
        <v>1120</v>
      </c>
      <c r="AR724" s="326" t="s">
        <v>1463</v>
      </c>
      <c r="AT724"/>
      <c r="AU724"/>
      <c r="AV724"/>
    </row>
    <row r="725" spans="1:48">
      <c r="A725" s="277" t="s">
        <v>221</v>
      </c>
      <c r="B725" s="328" t="s">
        <v>1539</v>
      </c>
      <c r="C725" s="334">
        <f>'Omoregie 2009'!G22</f>
        <v>0.01</v>
      </c>
      <c r="D725" s="301">
        <f>'Omoregie 2009'!H22</f>
        <v>1280000000</v>
      </c>
      <c r="E725" s="301">
        <f>'Omoregie 2009'!I22</f>
        <v>770000000</v>
      </c>
      <c r="F725" s="301">
        <f>'Omoregie 2009'!J22</f>
        <v>20000000</v>
      </c>
      <c r="G725" s="301">
        <f>E725+F725</f>
        <v>790000000</v>
      </c>
      <c r="H725" s="27">
        <f>G725/D725</f>
        <v>0.6171875</v>
      </c>
      <c r="M725" s="27">
        <f>F725/G725</f>
        <v>2.5316455696202531E-2</v>
      </c>
      <c r="O725" t="s">
        <v>1247</v>
      </c>
      <c r="P725" s="303">
        <f>'Omoregie 2009'!K22</f>
        <v>18.788311688311602</v>
      </c>
      <c r="R725" s="304" t="s">
        <v>1395</v>
      </c>
      <c r="S725" s="304" t="s">
        <v>140</v>
      </c>
      <c r="T725" s="304" t="s">
        <v>145</v>
      </c>
      <c r="U725" s="304" t="s">
        <v>48</v>
      </c>
      <c r="V725" s="313">
        <v>0.35</v>
      </c>
      <c r="W725" s="313">
        <v>0.35</v>
      </c>
      <c r="X725" s="306" t="s">
        <v>47</v>
      </c>
      <c r="Y725" s="334" t="s">
        <v>96</v>
      </c>
      <c r="Z725" s="334" t="s">
        <v>96</v>
      </c>
      <c r="AB725" s="334" t="s">
        <v>1739</v>
      </c>
      <c r="AC725" s="334" t="s">
        <v>1702</v>
      </c>
      <c r="AP725" t="b">
        <v>1</v>
      </c>
      <c r="AQ725" s="326">
        <v>3000</v>
      </c>
      <c r="AR725" s="326" t="s">
        <v>1463</v>
      </c>
      <c r="AT725"/>
      <c r="AU725"/>
      <c r="AV725"/>
    </row>
    <row r="726" spans="1:48">
      <c r="A726" s="277" t="s">
        <v>221</v>
      </c>
      <c r="B726" s="328" t="s">
        <v>1539</v>
      </c>
      <c r="C726" s="334">
        <f>'Omoregie 2009'!G23</f>
        <v>0.03</v>
      </c>
      <c r="D726" s="301">
        <f>'Omoregie 2009'!H23</f>
        <v>4760000000</v>
      </c>
      <c r="E726" s="301">
        <f>'Omoregie 2009'!I23</f>
        <v>1090000000</v>
      </c>
      <c r="F726" s="301">
        <f>'Omoregie 2009'!J23</f>
        <v>270000000</v>
      </c>
      <c r="G726" s="301">
        <f>E726+F726</f>
        <v>1360000000</v>
      </c>
      <c r="H726" s="27">
        <f>G726/D726</f>
        <v>0.2857142857142857</v>
      </c>
      <c r="M726" s="27">
        <f>F726/G726</f>
        <v>0.19852941176470587</v>
      </c>
      <c r="O726" t="s">
        <v>1247</v>
      </c>
      <c r="P726" s="303">
        <f>'Omoregie 2009'!K23</f>
        <v>16.899999999999999</v>
      </c>
      <c r="R726" s="304" t="s">
        <v>1395</v>
      </c>
      <c r="S726" s="304" t="s">
        <v>140</v>
      </c>
      <c r="T726" s="304" t="s">
        <v>145</v>
      </c>
      <c r="U726" s="304" t="s">
        <v>48</v>
      </c>
      <c r="V726" s="313">
        <v>0.35</v>
      </c>
      <c r="W726" s="313">
        <v>0.35</v>
      </c>
      <c r="X726" s="306" t="s">
        <v>47</v>
      </c>
      <c r="Y726" s="334" t="s">
        <v>96</v>
      </c>
      <c r="Z726" s="334" t="s">
        <v>96</v>
      </c>
      <c r="AB726" s="334" t="s">
        <v>1739</v>
      </c>
      <c r="AC726" s="334" t="s">
        <v>1702</v>
      </c>
      <c r="AP726" t="b">
        <v>1</v>
      </c>
      <c r="AQ726" s="326">
        <v>3000</v>
      </c>
      <c r="AR726" s="326" t="s">
        <v>1463</v>
      </c>
      <c r="AT726"/>
      <c r="AU726"/>
      <c r="AV726"/>
    </row>
    <row r="727" spans="1:48">
      <c r="A727" s="277" t="s">
        <v>221</v>
      </c>
      <c r="B727" s="328" t="s">
        <v>1539</v>
      </c>
      <c r="C727" s="334">
        <f>'Omoregie 2009'!G24</f>
        <v>0.11</v>
      </c>
      <c r="D727" s="301">
        <f>'Omoregie 2009'!H24</f>
        <v>4590000000</v>
      </c>
      <c r="E727" s="301">
        <f>'Omoregie 2009'!I24</f>
        <v>160000000</v>
      </c>
      <c r="F727" s="301">
        <f>'Omoregie 2009'!J24</f>
        <v>340000000</v>
      </c>
      <c r="G727" s="301">
        <f>E727+F727</f>
        <v>500000000</v>
      </c>
      <c r="H727" s="27">
        <f>G727/D727</f>
        <v>0.10893246187363835</v>
      </c>
      <c r="M727" s="27">
        <f>F727/G727</f>
        <v>0.68</v>
      </c>
      <c r="O727" t="s">
        <v>1247</v>
      </c>
      <c r="P727" s="303">
        <f>'Omoregie 2009'!K24</f>
        <v>17.1753246753246</v>
      </c>
      <c r="R727" s="304" t="s">
        <v>1395</v>
      </c>
      <c r="S727" s="304" t="s">
        <v>140</v>
      </c>
      <c r="T727" s="304" t="s">
        <v>145</v>
      </c>
      <c r="U727" s="304" t="s">
        <v>48</v>
      </c>
      <c r="V727" s="313">
        <v>0.35</v>
      </c>
      <c r="W727" s="313">
        <v>0.35</v>
      </c>
      <c r="X727" s="306" t="s">
        <v>47</v>
      </c>
      <c r="Y727" s="334" t="s">
        <v>96</v>
      </c>
      <c r="Z727" s="334" t="s">
        <v>96</v>
      </c>
      <c r="AB727" s="334" t="s">
        <v>1739</v>
      </c>
      <c r="AC727" s="334" t="s">
        <v>1702</v>
      </c>
      <c r="AP727" t="b">
        <v>1</v>
      </c>
      <c r="AQ727" s="326">
        <v>3000</v>
      </c>
      <c r="AR727" s="326" t="s">
        <v>1463</v>
      </c>
      <c r="AT727"/>
      <c r="AU727"/>
      <c r="AV727"/>
    </row>
    <row r="728" spans="1:48">
      <c r="A728" s="277" t="s">
        <v>221</v>
      </c>
      <c r="B728" s="334" t="s">
        <v>1614</v>
      </c>
      <c r="C728" s="334">
        <f>'Omoregie 2009'!G19</f>
        <v>0.01</v>
      </c>
      <c r="D728" s="301">
        <f>'Omoregie 2009'!H19</f>
        <v>900000000</v>
      </c>
      <c r="E728" s="301">
        <f>'Omoregie 2009'!I19</f>
        <v>470000000</v>
      </c>
      <c r="F728" s="301">
        <f>'Omoregie 2009'!J19</f>
        <v>60000000</v>
      </c>
      <c r="G728" s="301">
        <f>E728+F728</f>
        <v>530000000</v>
      </c>
      <c r="H728" s="27">
        <f>G728/D728</f>
        <v>0.58888888888888891</v>
      </c>
      <c r="M728" s="27">
        <f>F728/G728</f>
        <v>0.11320754716981132</v>
      </c>
      <c r="O728" t="s">
        <v>1247</v>
      </c>
      <c r="P728" s="326">
        <f>'Omoregie 2009'!K19</f>
        <v>26.466233766233699</v>
      </c>
      <c r="R728" s="304" t="s">
        <v>1395</v>
      </c>
      <c r="S728" s="304" t="s">
        <v>140</v>
      </c>
      <c r="T728" s="304" t="s">
        <v>145</v>
      </c>
      <c r="U728" s="304" t="s">
        <v>48</v>
      </c>
      <c r="V728" s="313">
        <v>0.35</v>
      </c>
      <c r="W728" s="313">
        <v>0.35</v>
      </c>
      <c r="X728" s="306" t="s">
        <v>47</v>
      </c>
      <c r="Y728" s="334" t="s">
        <v>96</v>
      </c>
      <c r="Z728" s="334" t="s">
        <v>96</v>
      </c>
      <c r="AB728" s="334" t="s">
        <v>1739</v>
      </c>
      <c r="AC728" s="334" t="s">
        <v>1702</v>
      </c>
      <c r="AP728" t="b">
        <v>1</v>
      </c>
      <c r="AQ728" s="326">
        <v>3000</v>
      </c>
      <c r="AR728" s="326" t="s">
        <v>1463</v>
      </c>
      <c r="AT728"/>
      <c r="AU728"/>
      <c r="AV728"/>
    </row>
    <row r="729" spans="1:48">
      <c r="A729" s="277" t="s">
        <v>221</v>
      </c>
      <c r="B729" s="328" t="s">
        <v>1614</v>
      </c>
      <c r="C729" s="334">
        <f>'Omoregie 2009'!G20</f>
        <v>0.03</v>
      </c>
      <c r="D729" s="301">
        <f>'Omoregie 2009'!H20</f>
        <v>2100000000</v>
      </c>
      <c r="E729" s="301">
        <f>'Omoregie 2009'!I20</f>
        <v>490000000</v>
      </c>
      <c r="F729" s="301">
        <f>'Omoregie 2009'!J20</f>
        <v>70000000</v>
      </c>
      <c r="G729" s="301">
        <f>E729+F729</f>
        <v>560000000</v>
      </c>
      <c r="H729" s="27">
        <f>G729/D729</f>
        <v>0.26666666666666666</v>
      </c>
      <c r="M729" s="27">
        <f>F729/G729</f>
        <v>0.125</v>
      </c>
      <c r="O729" t="s">
        <v>1247</v>
      </c>
      <c r="P729" s="303">
        <f>'Omoregie 2009'!K20</f>
        <v>15.9896103896103</v>
      </c>
      <c r="R729" s="304" t="s">
        <v>1395</v>
      </c>
      <c r="S729" s="304" t="s">
        <v>140</v>
      </c>
      <c r="T729" s="304" t="s">
        <v>145</v>
      </c>
      <c r="U729" s="304" t="s">
        <v>48</v>
      </c>
      <c r="V729" s="313">
        <v>0.35</v>
      </c>
      <c r="W729" s="313">
        <v>0.35</v>
      </c>
      <c r="X729" s="306" t="s">
        <v>47</v>
      </c>
      <c r="Y729" s="334" t="s">
        <v>96</v>
      </c>
      <c r="Z729" s="334" t="s">
        <v>96</v>
      </c>
      <c r="AB729" s="334" t="s">
        <v>1739</v>
      </c>
      <c r="AC729" s="334" t="s">
        <v>1702</v>
      </c>
      <c r="AP729" t="b">
        <v>1</v>
      </c>
      <c r="AQ729" s="326">
        <v>3000</v>
      </c>
      <c r="AR729" s="326" t="s">
        <v>1463</v>
      </c>
      <c r="AT729"/>
      <c r="AU729"/>
      <c r="AV729"/>
    </row>
    <row r="730" spans="1:48">
      <c r="A730" s="277" t="s">
        <v>221</v>
      </c>
      <c r="B730" s="334" t="s">
        <v>1614</v>
      </c>
      <c r="C730" s="334">
        <f>'Omoregie 2009'!G21</f>
        <v>0.11</v>
      </c>
      <c r="D730" s="301">
        <f>'Omoregie 2009'!H21</f>
        <v>420000000</v>
      </c>
      <c r="E730" s="301">
        <f>'Omoregie 2009'!I21</f>
        <v>130000000</v>
      </c>
      <c r="F730" s="301">
        <f>'Omoregie 2009'!J21</f>
        <v>70000000</v>
      </c>
      <c r="G730" s="301">
        <f>E730+F730</f>
        <v>200000000</v>
      </c>
      <c r="H730" s="27">
        <f>G730/D730</f>
        <v>0.47619047619047616</v>
      </c>
      <c r="M730" s="27">
        <f>F730/G730</f>
        <v>0.35</v>
      </c>
      <c r="O730" t="s">
        <v>1247</v>
      </c>
      <c r="P730" s="303">
        <f>'Omoregie 2009'!K21</f>
        <v>4.5688311688311503</v>
      </c>
      <c r="R730" s="304" t="s">
        <v>1395</v>
      </c>
      <c r="S730" s="304" t="s">
        <v>140</v>
      </c>
      <c r="T730" s="304" t="s">
        <v>145</v>
      </c>
      <c r="U730" s="304" t="s">
        <v>48</v>
      </c>
      <c r="V730" s="313">
        <v>0.35</v>
      </c>
      <c r="W730" s="313">
        <v>0.35</v>
      </c>
      <c r="X730" s="306" t="s">
        <v>47</v>
      </c>
      <c r="Y730" s="334" t="s">
        <v>96</v>
      </c>
      <c r="Z730" s="334" t="s">
        <v>96</v>
      </c>
      <c r="AB730" s="334" t="s">
        <v>1739</v>
      </c>
      <c r="AC730" s="334" t="s">
        <v>1702</v>
      </c>
      <c r="AP730" t="b">
        <v>1</v>
      </c>
      <c r="AQ730" s="326">
        <v>3000</v>
      </c>
      <c r="AR730" s="326" t="s">
        <v>1463</v>
      </c>
      <c r="AT730"/>
      <c r="AU730"/>
      <c r="AV730"/>
    </row>
    <row r="731" spans="1:48">
      <c r="A731" s="277" t="s">
        <v>221</v>
      </c>
      <c r="B731" s="334" t="s">
        <v>1541</v>
      </c>
      <c r="C731" s="334">
        <f>'Omoregie 2009'!G10</f>
        <v>0.01</v>
      </c>
      <c r="D731" s="301">
        <f>'Omoregie 2009'!H10</f>
        <v>4870000000</v>
      </c>
      <c r="E731" s="301">
        <f>'Omoregie 2009'!I10</f>
        <v>1650000000</v>
      </c>
      <c r="F731" s="301">
        <f>'Omoregie 2009'!J10</f>
        <v>260000000</v>
      </c>
      <c r="G731" s="301">
        <f>E731+F731</f>
        <v>1910000000</v>
      </c>
      <c r="H731" s="27">
        <f>G731/D731</f>
        <v>0.3921971252566735</v>
      </c>
      <c r="M731" s="27">
        <f>F731/G731</f>
        <v>0.13612565445026178</v>
      </c>
      <c r="O731" t="s">
        <v>1247</v>
      </c>
      <c r="P731" s="303">
        <f>'Omoregie 2009'!K10</f>
        <v>11.6256442870838</v>
      </c>
      <c r="R731" s="304" t="s">
        <v>1395</v>
      </c>
      <c r="S731" s="304" t="s">
        <v>140</v>
      </c>
      <c r="T731" s="304" t="s">
        <v>145</v>
      </c>
      <c r="U731" s="304" t="s">
        <v>48</v>
      </c>
      <c r="V731" s="313">
        <v>0.35</v>
      </c>
      <c r="W731" s="313">
        <v>0.35</v>
      </c>
      <c r="X731" s="306" t="s">
        <v>47</v>
      </c>
      <c r="Y731" s="334" t="s">
        <v>96</v>
      </c>
      <c r="Z731" s="334" t="s">
        <v>96</v>
      </c>
      <c r="AB731" s="334" t="s">
        <v>1739</v>
      </c>
      <c r="AC731" s="334" t="s">
        <v>1702</v>
      </c>
      <c r="AP731" t="b">
        <v>1</v>
      </c>
      <c r="AQ731" s="326">
        <v>990</v>
      </c>
      <c r="AR731" s="326" t="s">
        <v>1463</v>
      </c>
      <c r="AT731"/>
      <c r="AU731"/>
      <c r="AV731"/>
    </row>
    <row r="732" spans="1:48">
      <c r="A732" s="277" t="s">
        <v>221</v>
      </c>
      <c r="B732" s="328" t="s">
        <v>1541</v>
      </c>
      <c r="C732" s="334">
        <f>'Omoregie 2009'!G11</f>
        <v>0.03</v>
      </c>
      <c r="D732" s="301">
        <f>'Omoregie 2009'!H11</f>
        <v>7440000000</v>
      </c>
      <c r="E732" s="301">
        <f>'Omoregie 2009'!I11</f>
        <v>730000000</v>
      </c>
      <c r="F732" s="301">
        <f>'Omoregie 2009'!J11</f>
        <v>50000000</v>
      </c>
      <c r="G732" s="301">
        <f>E732+F732</f>
        <v>780000000</v>
      </c>
      <c r="H732" s="27">
        <f>G732/D732</f>
        <v>0.10483870967741936</v>
      </c>
      <c r="M732" s="27">
        <f>F732/G732</f>
        <v>6.4102564102564097E-2</v>
      </c>
      <c r="O732" t="s">
        <v>1247</v>
      </c>
      <c r="P732" s="326">
        <f>'Omoregie 2009'!K11</f>
        <v>13.4094296101529</v>
      </c>
      <c r="R732" s="304" t="s">
        <v>1395</v>
      </c>
      <c r="S732" s="304" t="s">
        <v>140</v>
      </c>
      <c r="T732" s="304" t="s">
        <v>145</v>
      </c>
      <c r="U732" s="322" t="s">
        <v>48</v>
      </c>
      <c r="V732" s="313">
        <v>0.35</v>
      </c>
      <c r="W732" s="313">
        <v>0.35</v>
      </c>
      <c r="X732" s="306" t="s">
        <v>47</v>
      </c>
      <c r="Y732" s="334" t="s">
        <v>96</v>
      </c>
      <c r="Z732" s="334" t="s">
        <v>96</v>
      </c>
      <c r="AB732" s="334" t="s">
        <v>1739</v>
      </c>
      <c r="AC732" s="334" t="s">
        <v>1702</v>
      </c>
      <c r="AP732" t="b">
        <v>1</v>
      </c>
      <c r="AQ732">
        <v>990</v>
      </c>
      <c r="AR732" t="s">
        <v>1463</v>
      </c>
      <c r="AT732"/>
      <c r="AU732"/>
      <c r="AV732"/>
    </row>
    <row r="733" spans="1:48">
      <c r="A733" s="277" t="s">
        <v>221</v>
      </c>
      <c r="B733" s="334" t="s">
        <v>1541</v>
      </c>
      <c r="C733" s="334">
        <f>'Omoregie 2009'!G12</f>
        <v>0.11</v>
      </c>
      <c r="D733" s="301">
        <f>'Omoregie 2009'!H12</f>
        <v>3960000000</v>
      </c>
      <c r="E733" s="301">
        <f>'Omoregie 2009'!I12</f>
        <v>860000000</v>
      </c>
      <c r="F733" s="301">
        <f>'Omoregie 2009'!J12</f>
        <v>110000000</v>
      </c>
      <c r="G733" s="301">
        <f>E733+F733</f>
        <v>970000000</v>
      </c>
      <c r="H733" s="27">
        <f>G733/D733</f>
        <v>0.24494949494949494</v>
      </c>
      <c r="M733" s="27">
        <f>F733/G733</f>
        <v>0.1134020618556701</v>
      </c>
      <c r="O733" t="s">
        <v>1247</v>
      </c>
      <c r="P733" s="326">
        <f>'Omoregie 2009'!K12</f>
        <v>9.9754150490275109</v>
      </c>
      <c r="R733" s="304" t="s">
        <v>1395</v>
      </c>
      <c r="S733" s="304" t="s">
        <v>140</v>
      </c>
      <c r="T733" s="304" t="s">
        <v>145</v>
      </c>
      <c r="U733" s="322" t="s">
        <v>48</v>
      </c>
      <c r="V733" s="313">
        <v>0.35</v>
      </c>
      <c r="W733" s="313">
        <v>0.35</v>
      </c>
      <c r="X733" s="306" t="s">
        <v>47</v>
      </c>
      <c r="Y733" s="334" t="s">
        <v>96</v>
      </c>
      <c r="Z733" s="334" t="s">
        <v>96</v>
      </c>
      <c r="AB733" s="334" t="s">
        <v>1739</v>
      </c>
      <c r="AC733" s="334" t="s">
        <v>1702</v>
      </c>
      <c r="AP733" t="b">
        <v>1</v>
      </c>
      <c r="AQ733">
        <v>990</v>
      </c>
      <c r="AR733" t="s">
        <v>1463</v>
      </c>
      <c r="AT733"/>
      <c r="AU733"/>
      <c r="AV733"/>
    </row>
    <row r="734" spans="1:48">
      <c r="A734" s="277" t="s">
        <v>221</v>
      </c>
      <c r="B734" s="334" t="s">
        <v>1662</v>
      </c>
      <c r="C734" s="334">
        <f>'Omoregie 2009'!G16</f>
        <v>0.01</v>
      </c>
      <c r="D734" s="301">
        <f>'Omoregie 2009'!H16</f>
        <v>3520000000</v>
      </c>
      <c r="E734" s="301">
        <f>'Omoregie 2009'!I16</f>
        <v>2080000000</v>
      </c>
      <c r="F734" s="301">
        <f>'Omoregie 2009'!J16</f>
        <v>110000000</v>
      </c>
      <c r="G734" s="301">
        <f>E734+F734</f>
        <v>2190000000</v>
      </c>
      <c r="H734" s="27">
        <f>G734/D734</f>
        <v>0.62215909090909094</v>
      </c>
      <c r="M734" s="27">
        <f>F734/G734</f>
        <v>5.0228310502283102E-2</v>
      </c>
      <c r="O734" t="s">
        <v>1247</v>
      </c>
      <c r="P734" s="303"/>
      <c r="R734" s="304" t="s">
        <v>1395</v>
      </c>
      <c r="S734" s="304" t="s">
        <v>140</v>
      </c>
      <c r="T734" s="304" t="s">
        <v>145</v>
      </c>
      <c r="U734" s="322" t="s">
        <v>48</v>
      </c>
      <c r="V734" s="313">
        <v>0.35</v>
      </c>
      <c r="W734" s="313">
        <v>0.35</v>
      </c>
      <c r="X734" s="306" t="s">
        <v>47</v>
      </c>
      <c r="Y734" s="334" t="s">
        <v>96</v>
      </c>
      <c r="Z734" s="334" t="s">
        <v>96</v>
      </c>
      <c r="AB734" s="334" t="s">
        <v>1739</v>
      </c>
      <c r="AC734" s="334" t="s">
        <v>1702</v>
      </c>
      <c r="AP734" t="b">
        <v>1</v>
      </c>
      <c r="AQ734">
        <v>1946</v>
      </c>
      <c r="AR734" t="s">
        <v>1463</v>
      </c>
      <c r="AT734"/>
      <c r="AU734"/>
      <c r="AV734"/>
    </row>
    <row r="735" spans="1:48">
      <c r="A735" s="277" t="s">
        <v>221</v>
      </c>
      <c r="B735" s="328" t="s">
        <v>1662</v>
      </c>
      <c r="C735" s="328">
        <f>'Omoregie 2009'!G17</f>
        <v>0.03</v>
      </c>
      <c r="D735" s="301">
        <f>'Omoregie 2009'!H17</f>
        <v>3620000000</v>
      </c>
      <c r="E735" s="301">
        <f>'Omoregie 2009'!I17</f>
        <v>2440000000</v>
      </c>
      <c r="F735" s="301">
        <f>'Omoregie 2009'!J17</f>
        <v>40000000</v>
      </c>
      <c r="G735" s="301">
        <f>E735+F735</f>
        <v>2480000000</v>
      </c>
      <c r="H735" s="27">
        <f>G735/D735</f>
        <v>0.68508287292817682</v>
      </c>
      <c r="M735" s="27">
        <f>F735/G735</f>
        <v>1.6129032258064516E-2</v>
      </c>
      <c r="O735" t="s">
        <v>1247</v>
      </c>
      <c r="P735" s="303">
        <f>'Omoregie 2009'!K17</f>
        <v>21.892156204757399</v>
      </c>
      <c r="R735" s="304" t="s">
        <v>1395</v>
      </c>
      <c r="S735" s="304" t="s">
        <v>140</v>
      </c>
      <c r="T735" s="304" t="s">
        <v>145</v>
      </c>
      <c r="U735" s="322" t="s">
        <v>48</v>
      </c>
      <c r="V735" s="313">
        <v>0.35</v>
      </c>
      <c r="W735" s="313">
        <v>0.35</v>
      </c>
      <c r="X735" s="306" t="s">
        <v>47</v>
      </c>
      <c r="Y735" s="334" t="s">
        <v>96</v>
      </c>
      <c r="Z735" s="334" t="s">
        <v>96</v>
      </c>
      <c r="AB735" s="334" t="s">
        <v>1739</v>
      </c>
      <c r="AC735" s="334" t="s">
        <v>1702</v>
      </c>
      <c r="AP735" t="b">
        <v>1</v>
      </c>
      <c r="AQ735">
        <v>1946</v>
      </c>
      <c r="AR735" t="s">
        <v>1463</v>
      </c>
      <c r="AT735"/>
      <c r="AU735"/>
      <c r="AV735"/>
    </row>
    <row r="736" spans="1:48">
      <c r="A736" s="277" t="s">
        <v>221</v>
      </c>
      <c r="B736" s="328" t="s">
        <v>1662</v>
      </c>
      <c r="C736" s="328">
        <f>'Omoregie 2009'!G18</f>
        <v>0.11</v>
      </c>
      <c r="D736" s="301">
        <f>'Omoregie 2009'!H18</f>
        <v>2700000000</v>
      </c>
      <c r="E736" s="301">
        <f>'Omoregie 2009'!I18</f>
        <v>160000000</v>
      </c>
      <c r="F736" s="301">
        <f>'Omoregie 2009'!J18</f>
        <v>90000000</v>
      </c>
      <c r="G736" s="301">
        <f>E736+F736</f>
        <v>250000000</v>
      </c>
      <c r="H736" s="27">
        <f>G736/D736</f>
        <v>9.2592592592592587E-2</v>
      </c>
      <c r="M736" s="27">
        <f>F736/G736</f>
        <v>0.36</v>
      </c>
      <c r="O736" t="s">
        <v>1247</v>
      </c>
      <c r="P736" s="303">
        <f>'Omoregie 2009'!K18</f>
        <v>12.1715452688904</v>
      </c>
      <c r="R736" s="304" t="s">
        <v>1395</v>
      </c>
      <c r="S736" s="304" t="s">
        <v>140</v>
      </c>
      <c r="T736" s="304" t="s">
        <v>145</v>
      </c>
      <c r="U736" s="322" t="s">
        <v>48</v>
      </c>
      <c r="V736" s="313">
        <v>0.35</v>
      </c>
      <c r="W736" s="313">
        <v>0.35</v>
      </c>
      <c r="X736" s="306" t="s">
        <v>47</v>
      </c>
      <c r="Y736" s="334" t="s">
        <v>96</v>
      </c>
      <c r="Z736" s="334" t="s">
        <v>96</v>
      </c>
      <c r="AB736" s="334" t="s">
        <v>1739</v>
      </c>
      <c r="AC736" s="334" t="s">
        <v>1702</v>
      </c>
      <c r="AP736" t="b">
        <v>1</v>
      </c>
      <c r="AQ736">
        <v>1946</v>
      </c>
      <c r="AR736" t="s">
        <v>1463</v>
      </c>
      <c r="AT736"/>
      <c r="AU736"/>
      <c r="AV736"/>
    </row>
    <row r="737" spans="1:48">
      <c r="A737" s="277" t="s">
        <v>221</v>
      </c>
      <c r="B737" s="328" t="s">
        <v>1544</v>
      </c>
      <c r="C737" s="328">
        <f>'Omoregie 2009'!G25</f>
        <v>0.01</v>
      </c>
      <c r="D737" s="301">
        <f>'Omoregie 2009'!H25</f>
        <v>20450000000</v>
      </c>
      <c r="E737" s="301">
        <f>'Omoregie 2009'!I25</f>
        <v>5960000000</v>
      </c>
      <c r="F737" s="301">
        <f>'Omoregie 2009'!J25</f>
        <v>3270000000</v>
      </c>
      <c r="G737" s="301">
        <f>E737+F737</f>
        <v>9230000000</v>
      </c>
      <c r="H737" s="27">
        <f>G737/D737</f>
        <v>0.4513447432762836</v>
      </c>
      <c r="M737" s="27">
        <f>F737/G737</f>
        <v>0.35427952329360779</v>
      </c>
      <c r="O737" t="s">
        <v>1247</v>
      </c>
      <c r="P737" s="303">
        <f>'Omoregie 2009'!K25</f>
        <v>18.242857142857101</v>
      </c>
      <c r="R737" s="304" t="s">
        <v>1395</v>
      </c>
      <c r="S737" s="304" t="s">
        <v>140</v>
      </c>
      <c r="T737" s="304" t="s">
        <v>145</v>
      </c>
      <c r="U737" s="322" t="s">
        <v>48</v>
      </c>
      <c r="V737" s="313">
        <v>0.35</v>
      </c>
      <c r="W737" s="313">
        <v>0.35</v>
      </c>
      <c r="X737" s="306" t="s">
        <v>47</v>
      </c>
      <c r="Y737" s="334" t="s">
        <v>96</v>
      </c>
      <c r="Z737" s="334" t="s">
        <v>96</v>
      </c>
      <c r="AB737" s="334" t="s">
        <v>1739</v>
      </c>
      <c r="AC737" s="334" t="s">
        <v>1702</v>
      </c>
      <c r="AP737" t="b">
        <v>1</v>
      </c>
      <c r="AQ737">
        <v>1946</v>
      </c>
      <c r="AR737" t="s">
        <v>1463</v>
      </c>
      <c r="AT737"/>
      <c r="AU737"/>
      <c r="AV737"/>
    </row>
    <row r="738" spans="1:48">
      <c r="A738" s="277" t="s">
        <v>221</v>
      </c>
      <c r="B738" s="328" t="s">
        <v>1544</v>
      </c>
      <c r="C738" s="328">
        <f>'Omoregie 2009'!G26</f>
        <v>0.03</v>
      </c>
      <c r="D738" s="301">
        <f>'Omoregie 2009'!H26</f>
        <v>1800000000</v>
      </c>
      <c r="E738" s="301">
        <f>'Omoregie 2009'!I26</f>
        <v>760000000</v>
      </c>
      <c r="F738" s="301">
        <f>'Omoregie 2009'!J26</f>
        <v>320000000</v>
      </c>
      <c r="G738" s="301">
        <f>E738+F738</f>
        <v>1080000000</v>
      </c>
      <c r="H738" s="27">
        <f>G738/D738</f>
        <v>0.6</v>
      </c>
      <c r="M738" s="27">
        <f>F738/G738</f>
        <v>0.29629629629629628</v>
      </c>
      <c r="O738" t="s">
        <v>1247</v>
      </c>
      <c r="P738" s="293">
        <f>'Omoregie 2009'!K26</f>
        <v>18.637662337662299</v>
      </c>
      <c r="R738" s="304" t="s">
        <v>1395</v>
      </c>
      <c r="S738" s="304" t="s">
        <v>140</v>
      </c>
      <c r="T738" s="304" t="s">
        <v>145</v>
      </c>
      <c r="U738" s="322" t="s">
        <v>48</v>
      </c>
      <c r="V738" s="313">
        <v>0.35</v>
      </c>
      <c r="W738" s="313">
        <v>0.35</v>
      </c>
      <c r="X738" s="306" t="s">
        <v>47</v>
      </c>
      <c r="Y738" s="334" t="s">
        <v>96</v>
      </c>
      <c r="Z738" s="334" t="s">
        <v>96</v>
      </c>
      <c r="AB738" s="334" t="s">
        <v>1739</v>
      </c>
      <c r="AC738" s="334" t="s">
        <v>1702</v>
      </c>
      <c r="AP738" t="b">
        <v>1</v>
      </c>
      <c r="AQ738">
        <v>1946</v>
      </c>
      <c r="AR738" t="s">
        <v>1463</v>
      </c>
      <c r="AT738"/>
      <c r="AU738"/>
      <c r="AV738"/>
    </row>
    <row r="739" spans="1:48">
      <c r="A739" s="277" t="s">
        <v>221</v>
      </c>
      <c r="B739" s="334" t="s">
        <v>1544</v>
      </c>
      <c r="C739" s="334">
        <f>'Omoregie 2009'!G27</f>
        <v>0.11</v>
      </c>
      <c r="D739" s="301">
        <f>'Omoregie 2009'!H27</f>
        <v>1990000000</v>
      </c>
      <c r="E739" s="301">
        <f>'Omoregie 2009'!I27</f>
        <v>540000000</v>
      </c>
      <c r="F739" s="301">
        <f>'Omoregie 2009'!J27</f>
        <v>660000000</v>
      </c>
      <c r="G739" s="301">
        <f>E739+F739</f>
        <v>1200000000</v>
      </c>
      <c r="H739" s="27">
        <f>G739/D739</f>
        <v>0.60301507537688437</v>
      </c>
      <c r="M739" s="27">
        <f>F739/G739</f>
        <v>0.55000000000000004</v>
      </c>
      <c r="O739" t="s">
        <v>1247</v>
      </c>
      <c r="P739" s="303">
        <f>'Omoregie 2009'!K27</f>
        <v>17.637662337662299</v>
      </c>
      <c r="R739" s="304" t="s">
        <v>1395</v>
      </c>
      <c r="S739" s="304" t="s">
        <v>140</v>
      </c>
      <c r="T739" s="304" t="s">
        <v>145</v>
      </c>
      <c r="U739" s="322" t="s">
        <v>48</v>
      </c>
      <c r="V739" s="313">
        <v>0.35</v>
      </c>
      <c r="W739" s="313">
        <v>0.35</v>
      </c>
      <c r="X739" s="306" t="s">
        <v>47</v>
      </c>
      <c r="Y739" s="334" t="s">
        <v>96</v>
      </c>
      <c r="Z739" s="334" t="s">
        <v>96</v>
      </c>
      <c r="AB739" s="334" t="s">
        <v>1739</v>
      </c>
      <c r="AC739" s="334" t="s">
        <v>1702</v>
      </c>
      <c r="AP739" t="b">
        <v>1</v>
      </c>
      <c r="AQ739">
        <v>1946</v>
      </c>
      <c r="AR739" t="s">
        <v>1463</v>
      </c>
      <c r="AT739"/>
      <c r="AU739"/>
      <c r="AV739"/>
    </row>
    <row r="740" spans="1:48">
      <c r="A740" s="277" t="s">
        <v>221</v>
      </c>
      <c r="B740" s="334" t="s">
        <v>1673</v>
      </c>
      <c r="C740" s="334">
        <f>'Omoregie 2009'!G13</f>
        <v>0.01</v>
      </c>
      <c r="D740" s="301">
        <f>'Omoregie 2009'!H13</f>
        <v>670000000</v>
      </c>
      <c r="E740" s="301">
        <f>'Omoregie 2009'!I13</f>
        <v>320000000</v>
      </c>
      <c r="F740" s="301">
        <f>'Omoregie 2009'!J13</f>
        <v>110000000</v>
      </c>
      <c r="G740" s="301">
        <f>E740+F740</f>
        <v>430000000</v>
      </c>
      <c r="H740" s="27">
        <f>G740/D740</f>
        <v>0.64179104477611937</v>
      </c>
      <c r="M740" s="27">
        <f>F740/G740</f>
        <v>0.2558139534883721</v>
      </c>
      <c r="O740" t="s">
        <v>1247</v>
      </c>
      <c r="P740" s="303"/>
      <c r="R740" s="304" t="s">
        <v>1395</v>
      </c>
      <c r="S740" s="304" t="s">
        <v>140</v>
      </c>
      <c r="T740" s="304" t="s">
        <v>145</v>
      </c>
      <c r="U740" s="322" t="s">
        <v>48</v>
      </c>
      <c r="V740" s="313">
        <v>0.35</v>
      </c>
      <c r="W740" s="313">
        <v>0.35</v>
      </c>
      <c r="X740" s="306" t="s">
        <v>47</v>
      </c>
      <c r="Y740" s="334" t="s">
        <v>96</v>
      </c>
      <c r="Z740" s="334" t="s">
        <v>96</v>
      </c>
      <c r="AB740" s="334" t="s">
        <v>1739</v>
      </c>
      <c r="AC740" s="334" t="s">
        <v>1702</v>
      </c>
      <c r="AP740" t="b">
        <v>1</v>
      </c>
      <c r="AQ740">
        <v>2127</v>
      </c>
      <c r="AR740" t="s">
        <v>1463</v>
      </c>
      <c r="AT740"/>
      <c r="AU740"/>
      <c r="AV740"/>
    </row>
    <row r="741" spans="1:48">
      <c r="A741" s="277" t="s">
        <v>221</v>
      </c>
      <c r="B741" s="334" t="s">
        <v>1673</v>
      </c>
      <c r="C741" s="334">
        <f>'Omoregie 2009'!G14</f>
        <v>0.03</v>
      </c>
      <c r="D741" s="301">
        <f>'Omoregie 2009'!H14</f>
        <v>880000000</v>
      </c>
      <c r="E741" s="301">
        <f>'Omoregie 2009'!I14</f>
        <v>220000000</v>
      </c>
      <c r="F741" s="301">
        <f>'Omoregie 2009'!J14</f>
        <v>20000000</v>
      </c>
      <c r="G741" s="301">
        <f>E741+F741</f>
        <v>240000000</v>
      </c>
      <c r="H741" s="27">
        <f>G741/D741</f>
        <v>0.27272727272727271</v>
      </c>
      <c r="M741" s="27">
        <f>F741/G741</f>
        <v>8.3333333333333329E-2</v>
      </c>
      <c r="O741" t="s">
        <v>1247</v>
      </c>
      <c r="P741" s="293"/>
      <c r="R741" s="304" t="s">
        <v>1395</v>
      </c>
      <c r="S741" s="304" t="s">
        <v>140</v>
      </c>
      <c r="T741" s="304" t="s">
        <v>145</v>
      </c>
      <c r="U741" s="322" t="s">
        <v>48</v>
      </c>
      <c r="V741" s="313">
        <v>0.35</v>
      </c>
      <c r="W741" s="313">
        <v>0.35</v>
      </c>
      <c r="X741" s="306" t="s">
        <v>47</v>
      </c>
      <c r="Y741" s="334" t="s">
        <v>96</v>
      </c>
      <c r="Z741" s="334" t="s">
        <v>96</v>
      </c>
      <c r="AB741" s="334" t="s">
        <v>1739</v>
      </c>
      <c r="AC741" s="334" t="s">
        <v>1702</v>
      </c>
      <c r="AP741" t="b">
        <v>1</v>
      </c>
      <c r="AQ741">
        <v>2127</v>
      </c>
      <c r="AR741" t="s">
        <v>1463</v>
      </c>
      <c r="AT741"/>
      <c r="AU741"/>
      <c r="AV741"/>
    </row>
    <row r="742" spans="1:48">
      <c r="A742" s="277" t="s">
        <v>221</v>
      </c>
      <c r="B742" s="334" t="s">
        <v>1673</v>
      </c>
      <c r="C742" s="334">
        <f>'Omoregie 2009'!G15</f>
        <v>0.11</v>
      </c>
      <c r="D742" s="301">
        <f>'Omoregie 2009'!H15</f>
        <v>410000000</v>
      </c>
      <c r="E742" s="301">
        <f>'Omoregie 2009'!I15</f>
        <v>80000000</v>
      </c>
      <c r="F742" s="301">
        <f>'Omoregie 2009'!J15</f>
        <v>10000000</v>
      </c>
      <c r="G742" s="301">
        <f>E742+F742</f>
        <v>90000000</v>
      </c>
      <c r="H742" s="27">
        <f>G742/D742</f>
        <v>0.21951219512195122</v>
      </c>
      <c r="M742" s="27">
        <f>F742/G742</f>
        <v>0.1111111111111111</v>
      </c>
      <c r="O742" t="s">
        <v>1247</v>
      </c>
      <c r="P742" s="303"/>
      <c r="R742" s="304" t="s">
        <v>1395</v>
      </c>
      <c r="S742" s="304" t="s">
        <v>140</v>
      </c>
      <c r="T742" s="304" t="s">
        <v>145</v>
      </c>
      <c r="U742" s="322" t="s">
        <v>48</v>
      </c>
      <c r="V742" s="313">
        <v>0.35</v>
      </c>
      <c r="W742" s="313">
        <v>0.35</v>
      </c>
      <c r="X742" s="306" t="s">
        <v>47</v>
      </c>
      <c r="Y742" s="334" t="s">
        <v>96</v>
      </c>
      <c r="Z742" s="334" t="s">
        <v>96</v>
      </c>
      <c r="AB742" s="334" t="s">
        <v>1739</v>
      </c>
      <c r="AC742" s="334" t="s">
        <v>1702</v>
      </c>
      <c r="AP742" t="b">
        <v>1</v>
      </c>
      <c r="AQ742">
        <v>2127</v>
      </c>
      <c r="AR742" t="s">
        <v>1463</v>
      </c>
      <c r="AT742"/>
      <c r="AU742"/>
      <c r="AV742"/>
    </row>
    <row r="743" spans="1:48">
      <c r="A743" s="334" t="s">
        <v>1089</v>
      </c>
      <c r="B743" s="328" t="s">
        <v>42</v>
      </c>
      <c r="C743" s="328">
        <f>'Orcutt 2005, Table 1'!C12</f>
        <v>0.01</v>
      </c>
      <c r="D743" s="301">
        <f>'Orcutt 2005, Table 1'!E12</f>
        <v>3700000000</v>
      </c>
      <c r="E743" s="301">
        <f>'Orcutt 2005, Table 1'!H12</f>
        <v>2904500000</v>
      </c>
      <c r="F743" s="301">
        <f>'Orcutt 2005, Table 1'!J12</f>
        <v>162800000.00000003</v>
      </c>
      <c r="G743" s="301">
        <f>E743+F743</f>
        <v>3067300000</v>
      </c>
      <c r="H743" s="27">
        <f>G743/D743</f>
        <v>0.82899999999999996</v>
      </c>
      <c r="I743" s="336"/>
      <c r="M743" s="27">
        <f>F743/G743</f>
        <v>5.3075995174909539E-2</v>
      </c>
      <c r="O743" t="s">
        <v>71</v>
      </c>
      <c r="P743" s="303"/>
      <c r="R743" s="304" t="s">
        <v>1395</v>
      </c>
      <c r="S743" s="304" t="s">
        <v>141</v>
      </c>
      <c r="T743" s="304" t="s">
        <v>145</v>
      </c>
      <c r="U743" s="322" t="s">
        <v>1365</v>
      </c>
      <c r="V743" s="313">
        <v>0.55000000000000004</v>
      </c>
      <c r="W743" s="313">
        <v>0.55000000000000004</v>
      </c>
      <c r="X743" s="306" t="s">
        <v>248</v>
      </c>
      <c r="Y743" s="334" t="s">
        <v>96</v>
      </c>
      <c r="Z743" s="314" t="s">
        <v>100</v>
      </c>
      <c r="AB743" s="334" t="s">
        <v>1739</v>
      </c>
      <c r="AC743" s="334" t="s">
        <v>1702</v>
      </c>
      <c r="AP743" t="b">
        <v>1</v>
      </c>
      <c r="AQ743">
        <v>504</v>
      </c>
      <c r="AR743" t="s">
        <v>1463</v>
      </c>
      <c r="AT743"/>
      <c r="AU743"/>
      <c r="AV743"/>
    </row>
    <row r="744" spans="1:48">
      <c r="A744" s="334" t="s">
        <v>1089</v>
      </c>
      <c r="B744" s="327" t="s">
        <v>42</v>
      </c>
      <c r="C744" s="334">
        <f>'Orcutt 2005, Table 1'!C13</f>
        <v>0.03</v>
      </c>
      <c r="D744" s="301">
        <f>'Orcutt 2005, Table 1'!E13</f>
        <v>2500000000</v>
      </c>
      <c r="E744" s="301">
        <f>'Orcutt 2005, Table 1'!H13</f>
        <v>1987500000</v>
      </c>
      <c r="F744" s="301">
        <f>'Orcutt 2005, Table 1'!J13</f>
        <v>102500000</v>
      </c>
      <c r="G744" s="301">
        <f>E744+F744</f>
        <v>2090000000</v>
      </c>
      <c r="H744" s="27">
        <f>G744/D744</f>
        <v>0.83599999999999997</v>
      </c>
      <c r="M744" s="27">
        <f>F744/G744</f>
        <v>4.9043062200956937E-2</v>
      </c>
      <c r="O744" t="s">
        <v>71</v>
      </c>
      <c r="P744" s="326"/>
      <c r="R744" s="304" t="s">
        <v>1395</v>
      </c>
      <c r="S744" s="304" t="s">
        <v>141</v>
      </c>
      <c r="T744" s="304" t="s">
        <v>145</v>
      </c>
      <c r="U744" s="322" t="s">
        <v>1365</v>
      </c>
      <c r="V744" s="313">
        <v>0.55000000000000004</v>
      </c>
      <c r="W744" s="313">
        <v>0.55000000000000004</v>
      </c>
      <c r="X744" s="306" t="s">
        <v>248</v>
      </c>
      <c r="Y744" s="334" t="s">
        <v>96</v>
      </c>
      <c r="Z744" s="314" t="s">
        <v>100</v>
      </c>
      <c r="AB744" s="334" t="s">
        <v>1739</v>
      </c>
      <c r="AC744" s="334" t="s">
        <v>1702</v>
      </c>
      <c r="AP744" t="b">
        <v>1</v>
      </c>
      <c r="AQ744">
        <v>504</v>
      </c>
      <c r="AR744" t="s">
        <v>1463</v>
      </c>
      <c r="AT744"/>
      <c r="AU744"/>
      <c r="AV744"/>
    </row>
    <row r="745" spans="1:48">
      <c r="A745" s="334" t="s">
        <v>1089</v>
      </c>
      <c r="B745" s="334" t="s">
        <v>42</v>
      </c>
      <c r="C745" s="334">
        <f>'Orcutt 2005, Table 1'!C14</f>
        <v>0.05</v>
      </c>
      <c r="D745" s="301">
        <f>'Orcutt 2005, Table 1'!E14</f>
        <v>2200000000</v>
      </c>
      <c r="E745" s="301">
        <f>'Orcutt 2005, Table 1'!H14</f>
        <v>1738000000</v>
      </c>
      <c r="F745" s="301">
        <f>'Orcutt 2005, Table 1'!J14</f>
        <v>264000000</v>
      </c>
      <c r="G745" s="301">
        <f>E745+F745</f>
        <v>2002000000</v>
      </c>
      <c r="H745" s="27">
        <f>G745/D745</f>
        <v>0.91</v>
      </c>
      <c r="M745" s="27">
        <f>F745/G745</f>
        <v>0.13186813186813187</v>
      </c>
      <c r="O745" t="s">
        <v>71</v>
      </c>
      <c r="P745" s="326"/>
      <c r="R745" s="304" t="s">
        <v>1395</v>
      </c>
      <c r="S745" s="304" t="s">
        <v>141</v>
      </c>
      <c r="T745" s="304" t="s">
        <v>145</v>
      </c>
      <c r="U745" s="322" t="s">
        <v>1365</v>
      </c>
      <c r="V745" s="313">
        <v>0.55000000000000004</v>
      </c>
      <c r="W745" s="313">
        <v>0.55000000000000004</v>
      </c>
      <c r="X745" s="306" t="s">
        <v>248</v>
      </c>
      <c r="Y745" s="334" t="s">
        <v>96</v>
      </c>
      <c r="Z745" s="314" t="s">
        <v>100</v>
      </c>
      <c r="AB745" s="334" t="s">
        <v>1739</v>
      </c>
      <c r="AC745" s="334" t="s">
        <v>1702</v>
      </c>
      <c r="AP745" t="b">
        <v>1</v>
      </c>
      <c r="AQ745">
        <v>504</v>
      </c>
      <c r="AR745" s="326" t="s">
        <v>1463</v>
      </c>
      <c r="AT745"/>
      <c r="AU745"/>
      <c r="AV745"/>
    </row>
    <row r="746" spans="1:48">
      <c r="A746" s="334" t="s">
        <v>1089</v>
      </c>
      <c r="B746" s="328" t="s">
        <v>42</v>
      </c>
      <c r="C746" s="328">
        <f>'Orcutt 2005, Table 1'!C15</f>
        <v>7.0000000000000007E-2</v>
      </c>
      <c r="D746" s="301">
        <f>'Orcutt 2005, Table 1'!E15</f>
        <v>2200000000</v>
      </c>
      <c r="E746" s="301">
        <f>'Orcutt 2005, Table 1'!H15</f>
        <v>1628000000</v>
      </c>
      <c r="F746" s="301">
        <f>'Orcutt 2005, Table 1'!J15</f>
        <v>539000000</v>
      </c>
      <c r="G746" s="301">
        <f>E746+F746</f>
        <v>2167000000</v>
      </c>
      <c r="H746" s="27">
        <f>G746/D746</f>
        <v>0.98499999999999999</v>
      </c>
      <c r="M746" s="27">
        <f>F746/G746</f>
        <v>0.24873096446700507</v>
      </c>
      <c r="O746" t="s">
        <v>71</v>
      </c>
      <c r="P746" s="303"/>
      <c r="R746" s="304" t="s">
        <v>1395</v>
      </c>
      <c r="S746" s="304" t="s">
        <v>141</v>
      </c>
      <c r="T746" s="304" t="s">
        <v>145</v>
      </c>
      <c r="U746" s="322" t="s">
        <v>1365</v>
      </c>
      <c r="V746" s="313">
        <v>0.55000000000000004</v>
      </c>
      <c r="W746" s="313">
        <v>0.55000000000000004</v>
      </c>
      <c r="X746" s="306" t="s">
        <v>248</v>
      </c>
      <c r="Y746" s="334" t="s">
        <v>96</v>
      </c>
      <c r="Z746" s="314" t="s">
        <v>100</v>
      </c>
      <c r="AA746" s="327"/>
      <c r="AB746" s="334" t="s">
        <v>1739</v>
      </c>
      <c r="AC746" s="334" t="s">
        <v>1702</v>
      </c>
      <c r="AE746" s="327"/>
      <c r="AP746" t="b">
        <v>1</v>
      </c>
      <c r="AQ746">
        <v>504</v>
      </c>
      <c r="AR746" s="326" t="s">
        <v>1463</v>
      </c>
      <c r="AT746"/>
      <c r="AU746"/>
      <c r="AV746"/>
    </row>
    <row r="747" spans="1:48">
      <c r="A747" s="334" t="s">
        <v>1089</v>
      </c>
      <c r="B747" s="328" t="s">
        <v>42</v>
      </c>
      <c r="C747" s="328">
        <f>'Orcutt 2005, Table 1'!C16</f>
        <v>0.09</v>
      </c>
      <c r="O747" t="s">
        <v>71</v>
      </c>
      <c r="P747" s="293"/>
      <c r="R747" s="304" t="s">
        <v>1395</v>
      </c>
      <c r="S747" s="304" t="s">
        <v>141</v>
      </c>
      <c r="T747" s="304" t="s">
        <v>145</v>
      </c>
      <c r="U747" s="322" t="s">
        <v>1365</v>
      </c>
      <c r="V747" s="313">
        <v>0.55000000000000004</v>
      </c>
      <c r="W747" s="313">
        <v>0.55000000000000004</v>
      </c>
      <c r="X747" s="306" t="s">
        <v>248</v>
      </c>
      <c r="Y747" s="334" t="s">
        <v>96</v>
      </c>
      <c r="Z747" s="314" t="s">
        <v>100</v>
      </c>
      <c r="AB747" s="334" t="s">
        <v>1739</v>
      </c>
      <c r="AC747" s="334" t="s">
        <v>1702</v>
      </c>
      <c r="AP747" t="b">
        <v>1</v>
      </c>
      <c r="AQ747">
        <v>504</v>
      </c>
      <c r="AR747" s="326" t="s">
        <v>1463</v>
      </c>
      <c r="AT747"/>
      <c r="AU747"/>
      <c r="AV747"/>
    </row>
    <row r="748" spans="1:48">
      <c r="A748" s="334" t="s">
        <v>1089</v>
      </c>
      <c r="B748" s="327" t="s">
        <v>42</v>
      </c>
      <c r="C748" s="328">
        <f>'Orcutt 2005, Table 1'!C17</f>
        <v>0.11</v>
      </c>
      <c r="O748" t="s">
        <v>71</v>
      </c>
      <c r="P748" s="303"/>
      <c r="R748" s="304" t="s">
        <v>1395</v>
      </c>
      <c r="S748" s="304" t="s">
        <v>141</v>
      </c>
      <c r="T748" s="304" t="s">
        <v>145</v>
      </c>
      <c r="U748" s="322" t="s">
        <v>1365</v>
      </c>
      <c r="V748" s="313">
        <v>0.55000000000000004</v>
      </c>
      <c r="W748" s="313">
        <v>0.55000000000000004</v>
      </c>
      <c r="X748" s="306" t="s">
        <v>248</v>
      </c>
      <c r="Y748" s="334" t="s">
        <v>96</v>
      </c>
      <c r="Z748" s="314" t="s">
        <v>100</v>
      </c>
      <c r="AB748" s="334" t="s">
        <v>1739</v>
      </c>
      <c r="AC748" s="334" t="s">
        <v>1702</v>
      </c>
      <c r="AP748" t="b">
        <v>1</v>
      </c>
      <c r="AQ748">
        <v>504</v>
      </c>
      <c r="AR748" s="326" t="s">
        <v>1463</v>
      </c>
      <c r="AT748"/>
      <c r="AU748"/>
      <c r="AV748"/>
    </row>
    <row r="749" spans="1:48">
      <c r="A749" s="334" t="s">
        <v>1236</v>
      </c>
      <c r="B749" s="334" t="s">
        <v>43</v>
      </c>
      <c r="C749" s="334">
        <f>'Orcutt 2005, Table 1'!C6</f>
        <v>0.01</v>
      </c>
      <c r="D749" s="301">
        <f>'Orcutt 2005, Table 1'!E6</f>
        <v>5400000000</v>
      </c>
      <c r="E749" s="301">
        <f>'Orcutt 2005, Table 1'!H6</f>
        <v>3483000000</v>
      </c>
      <c r="F749" s="301">
        <f>'Orcutt 2005, Table 1'!J6</f>
        <v>302399999.99999994</v>
      </c>
      <c r="G749" s="301">
        <f>E749+F749</f>
        <v>3785400000</v>
      </c>
      <c r="H749" s="27">
        <f>G749/D749</f>
        <v>0.70099999999999996</v>
      </c>
      <c r="I749" s="181"/>
      <c r="M749" s="27">
        <f>F749/G749</f>
        <v>7.9885877318116957E-2</v>
      </c>
      <c r="O749" t="s">
        <v>71</v>
      </c>
      <c r="P749" s="303"/>
      <c r="R749" s="304" t="s">
        <v>1395</v>
      </c>
      <c r="S749" s="304" t="s">
        <v>141</v>
      </c>
      <c r="T749" s="304" t="s">
        <v>145</v>
      </c>
      <c r="U749" s="322" t="s">
        <v>1365</v>
      </c>
      <c r="V749" s="313">
        <v>0.55000000000000004</v>
      </c>
      <c r="W749" s="313">
        <v>0.55000000000000004</v>
      </c>
      <c r="X749" s="306" t="s">
        <v>248</v>
      </c>
      <c r="Y749" s="334" t="s">
        <v>96</v>
      </c>
      <c r="Z749" s="314" t="s">
        <v>100</v>
      </c>
      <c r="AB749" s="334" t="s">
        <v>1739</v>
      </c>
      <c r="AC749" s="334" t="s">
        <v>1702</v>
      </c>
      <c r="AP749" t="b">
        <v>1</v>
      </c>
      <c r="AQ749">
        <v>650</v>
      </c>
      <c r="AR749" s="326" t="s">
        <v>1463</v>
      </c>
      <c r="AT749"/>
      <c r="AU749"/>
      <c r="AV749"/>
    </row>
    <row r="750" spans="1:48">
      <c r="A750" s="334" t="s">
        <v>1236</v>
      </c>
      <c r="B750" s="327" t="s">
        <v>43</v>
      </c>
      <c r="C750" s="328">
        <f>'Orcutt 2005, Table 1'!C7</f>
        <v>0.03</v>
      </c>
      <c r="D750" s="301">
        <f>'Orcutt 2005, Table 1'!E7</f>
        <v>4800000000</v>
      </c>
      <c r="E750" s="301">
        <f>'Orcutt 2005, Table 1'!H7</f>
        <v>2654400000</v>
      </c>
      <c r="F750" s="301">
        <f>'Orcutt 2005, Table 1'!J7</f>
        <v>811200000</v>
      </c>
      <c r="G750" s="301">
        <f>E750+F750</f>
        <v>3465600000</v>
      </c>
      <c r="H750" s="27">
        <f>G750/D750</f>
        <v>0.72199999999999998</v>
      </c>
      <c r="M750" s="27">
        <f>F750/G750</f>
        <v>0.23407202216066483</v>
      </c>
      <c r="O750" t="s">
        <v>71</v>
      </c>
      <c r="P750" s="303"/>
      <c r="R750" s="304" t="s">
        <v>1395</v>
      </c>
      <c r="S750" s="304" t="s">
        <v>141</v>
      </c>
      <c r="T750" s="304" t="s">
        <v>145</v>
      </c>
      <c r="U750" s="322" t="s">
        <v>1365</v>
      </c>
      <c r="V750" s="313">
        <v>0.55000000000000004</v>
      </c>
      <c r="W750" s="313">
        <v>0.55000000000000004</v>
      </c>
      <c r="X750" s="306" t="s">
        <v>248</v>
      </c>
      <c r="Y750" s="334" t="s">
        <v>96</v>
      </c>
      <c r="Z750" s="314" t="s">
        <v>100</v>
      </c>
      <c r="AB750" s="334" t="s">
        <v>1739</v>
      </c>
      <c r="AC750" s="334" t="s">
        <v>1702</v>
      </c>
      <c r="AP750" t="b">
        <v>1</v>
      </c>
      <c r="AQ750">
        <v>650</v>
      </c>
      <c r="AR750" s="326" t="s">
        <v>1463</v>
      </c>
      <c r="AT750"/>
      <c r="AU750"/>
      <c r="AV750"/>
    </row>
    <row r="751" spans="1:48">
      <c r="A751" s="334" t="s">
        <v>1089</v>
      </c>
      <c r="B751" s="327" t="s">
        <v>43</v>
      </c>
      <c r="C751" s="328">
        <f>'Orcutt 2005, Table 1'!C8</f>
        <v>0.05</v>
      </c>
      <c r="D751" s="301">
        <f>'Orcutt 2005, Table 1'!E8</f>
        <v>5500000000</v>
      </c>
      <c r="E751" s="301">
        <f>'Orcutt 2005, Table 1'!H8</f>
        <v>1589500000</v>
      </c>
      <c r="F751" s="301">
        <f>'Orcutt 2005, Table 1'!J8</f>
        <v>2255000000</v>
      </c>
      <c r="G751" s="301">
        <f>E751+F751</f>
        <v>3844500000</v>
      </c>
      <c r="H751" s="27">
        <f>G751/D751</f>
        <v>0.69899999999999995</v>
      </c>
      <c r="M751" s="27">
        <f>F751/G751</f>
        <v>0.58655221745350505</v>
      </c>
      <c r="O751" t="s">
        <v>71</v>
      </c>
      <c r="P751" s="303"/>
      <c r="R751" s="304" t="s">
        <v>1395</v>
      </c>
      <c r="S751" s="304" t="s">
        <v>141</v>
      </c>
      <c r="T751" s="304" t="s">
        <v>145</v>
      </c>
      <c r="U751" s="322" t="s">
        <v>1365</v>
      </c>
      <c r="V751" s="313">
        <v>0.55000000000000004</v>
      </c>
      <c r="W751" s="313">
        <v>0.55000000000000004</v>
      </c>
      <c r="X751" s="306" t="s">
        <v>248</v>
      </c>
      <c r="Y751" s="334" t="s">
        <v>96</v>
      </c>
      <c r="Z751" s="314" t="s">
        <v>100</v>
      </c>
      <c r="AB751" s="334" t="s">
        <v>1739</v>
      </c>
      <c r="AC751" s="334" t="s">
        <v>1702</v>
      </c>
      <c r="AP751" t="b">
        <v>1</v>
      </c>
      <c r="AQ751">
        <v>650</v>
      </c>
      <c r="AR751" s="326" t="s">
        <v>1463</v>
      </c>
      <c r="AT751"/>
      <c r="AU751"/>
      <c r="AV751"/>
    </row>
    <row r="752" spans="1:48">
      <c r="A752" s="334" t="s">
        <v>1089</v>
      </c>
      <c r="B752" s="334" t="s">
        <v>43</v>
      </c>
      <c r="C752" s="334">
        <f>'Orcutt 2005, Table 1'!C9</f>
        <v>7.0000000000000007E-2</v>
      </c>
      <c r="D752" s="301">
        <f>'Orcutt 2005, Table 1'!E9</f>
        <v>5400000000</v>
      </c>
      <c r="E752" s="301">
        <f>'Orcutt 2005, Table 1'!H9</f>
        <v>1231200000</v>
      </c>
      <c r="F752" s="301">
        <f>'Orcutt 2005, Table 1'!J9</f>
        <v>2030400000</v>
      </c>
      <c r="G752" s="301">
        <f>E752+F752</f>
        <v>3261600000</v>
      </c>
      <c r="H752" s="27">
        <f>G752/D752</f>
        <v>0.60399999999999998</v>
      </c>
      <c r="M752" s="27">
        <f>F752/G752</f>
        <v>0.62251655629139069</v>
      </c>
      <c r="O752" t="s">
        <v>71</v>
      </c>
      <c r="P752" s="303"/>
      <c r="R752" s="304" t="s">
        <v>1395</v>
      </c>
      <c r="S752" s="304" t="s">
        <v>141</v>
      </c>
      <c r="T752" s="304" t="s">
        <v>145</v>
      </c>
      <c r="U752" s="322" t="s">
        <v>1365</v>
      </c>
      <c r="V752" s="313">
        <v>0.55000000000000004</v>
      </c>
      <c r="W752" s="313">
        <v>0.55000000000000004</v>
      </c>
      <c r="X752" s="306" t="s">
        <v>248</v>
      </c>
      <c r="Y752" s="334" t="s">
        <v>96</v>
      </c>
      <c r="Z752" s="314" t="s">
        <v>100</v>
      </c>
      <c r="AA752" s="334"/>
      <c r="AB752" s="334" t="s">
        <v>1739</v>
      </c>
      <c r="AC752" s="334" t="s">
        <v>1702</v>
      </c>
      <c r="AE752" s="334"/>
      <c r="AP752" t="b">
        <v>1</v>
      </c>
      <c r="AQ752">
        <v>650</v>
      </c>
      <c r="AR752" s="326" t="s">
        <v>1463</v>
      </c>
      <c r="AT752"/>
      <c r="AU752"/>
      <c r="AV752"/>
    </row>
    <row r="753" spans="1:48">
      <c r="A753" s="334" t="s">
        <v>1089</v>
      </c>
      <c r="B753" s="328" t="s">
        <v>43</v>
      </c>
      <c r="C753" s="328">
        <f>'Orcutt 2005, Table 1'!C10</f>
        <v>0.09</v>
      </c>
      <c r="D753" s="301">
        <f>'Orcutt 2005, Table 1'!E10</f>
        <v>6800000000</v>
      </c>
      <c r="E753" s="301">
        <f>'Orcutt 2005, Table 1'!H10</f>
        <v>795600000</v>
      </c>
      <c r="F753" s="301">
        <f>'Orcutt 2005, Table 1'!J10</f>
        <v>3284400000</v>
      </c>
      <c r="G753" s="301">
        <f>E753+F753</f>
        <v>4080000000</v>
      </c>
      <c r="H753" s="27">
        <f>G753/D753</f>
        <v>0.6</v>
      </c>
      <c r="M753" s="27">
        <f>F753/G753</f>
        <v>0.80500000000000005</v>
      </c>
      <c r="O753" t="s">
        <v>71</v>
      </c>
      <c r="P753" s="293"/>
      <c r="R753" s="304" t="s">
        <v>1395</v>
      </c>
      <c r="S753" s="304" t="s">
        <v>141</v>
      </c>
      <c r="T753" s="304" t="s">
        <v>145</v>
      </c>
      <c r="U753" s="322" t="s">
        <v>1365</v>
      </c>
      <c r="V753" s="313">
        <v>0.55000000000000004</v>
      </c>
      <c r="W753" s="313">
        <v>0.55000000000000004</v>
      </c>
      <c r="X753" s="306" t="s">
        <v>248</v>
      </c>
      <c r="Y753" s="334" t="s">
        <v>96</v>
      </c>
      <c r="Z753" s="314" t="s">
        <v>100</v>
      </c>
      <c r="AB753" s="334" t="s">
        <v>1739</v>
      </c>
      <c r="AC753" s="334" t="s">
        <v>1702</v>
      </c>
      <c r="AP753" t="b">
        <v>1</v>
      </c>
      <c r="AQ753">
        <v>650</v>
      </c>
      <c r="AR753" s="326" t="s">
        <v>1463</v>
      </c>
      <c r="AT753"/>
      <c r="AU753"/>
      <c r="AV753"/>
    </row>
    <row r="754" spans="1:48">
      <c r="A754" s="334" t="s">
        <v>1089</v>
      </c>
      <c r="B754" s="328" t="s">
        <v>43</v>
      </c>
      <c r="C754" s="334">
        <f>'Orcutt 2005, Table 1'!C11</f>
        <v>0.11</v>
      </c>
      <c r="O754" t="s">
        <v>71</v>
      </c>
      <c r="P754" s="303"/>
      <c r="R754" s="304" t="s">
        <v>1395</v>
      </c>
      <c r="S754" s="304" t="s">
        <v>141</v>
      </c>
      <c r="T754" s="304" t="s">
        <v>145</v>
      </c>
      <c r="U754" s="304" t="s">
        <v>1365</v>
      </c>
      <c r="V754" s="313">
        <v>0.55000000000000004</v>
      </c>
      <c r="W754" s="313">
        <v>0.55000000000000004</v>
      </c>
      <c r="X754" s="306" t="s">
        <v>248</v>
      </c>
      <c r="Y754" s="334" t="s">
        <v>96</v>
      </c>
      <c r="Z754" s="314" t="s">
        <v>100</v>
      </c>
      <c r="AB754" s="334" t="s">
        <v>1739</v>
      </c>
      <c r="AC754" s="334" t="s">
        <v>1702</v>
      </c>
      <c r="AP754" t="b">
        <v>1</v>
      </c>
      <c r="AQ754" s="326">
        <v>650</v>
      </c>
      <c r="AR754" t="s">
        <v>1463</v>
      </c>
      <c r="AT754"/>
      <c r="AU754"/>
      <c r="AV754"/>
    </row>
    <row r="755" spans="1:48">
      <c r="A755" s="277" t="s">
        <v>63</v>
      </c>
      <c r="B755" s="328" t="s">
        <v>15</v>
      </c>
      <c r="C755" s="328">
        <f>'Pernthaler 2002'!D4</f>
        <v>5.4154620409037407E-3</v>
      </c>
      <c r="H755" s="27">
        <f>'Pernthaler 2002'!E4</f>
        <v>0.86725024092515202</v>
      </c>
      <c r="O755" t="s">
        <v>71</v>
      </c>
      <c r="P755" s="328"/>
      <c r="Q755" s="301" t="b">
        <v>1</v>
      </c>
      <c r="R755" s="304" t="s">
        <v>53</v>
      </c>
      <c r="S755" s="304" t="s">
        <v>72</v>
      </c>
      <c r="T755" s="304" t="s">
        <v>51</v>
      </c>
      <c r="U755" s="304" t="s">
        <v>6</v>
      </c>
      <c r="V755" s="313">
        <v>0.55000000000000004</v>
      </c>
      <c r="W755" s="313">
        <v>0.55000000000000004</v>
      </c>
      <c r="X755" s="306" t="s">
        <v>248</v>
      </c>
      <c r="Y755" s="334" t="s">
        <v>96</v>
      </c>
      <c r="Z755" s="314" t="s">
        <v>100</v>
      </c>
      <c r="AB755" s="334" t="s">
        <v>311</v>
      </c>
      <c r="AC755" s="334" t="s">
        <v>1702</v>
      </c>
      <c r="AR755" s="326" t="s">
        <v>162</v>
      </c>
      <c r="AT755"/>
      <c r="AU755"/>
      <c r="AV755"/>
    </row>
    <row r="756" spans="1:48">
      <c r="A756" s="277" t="s">
        <v>63</v>
      </c>
      <c r="B756" s="328" t="s">
        <v>15</v>
      </c>
      <c r="C756" s="328">
        <f>'Pernthaler 2002'!D5</f>
        <v>1.64150337295213E-2</v>
      </c>
      <c r="H756" s="27">
        <f>'Pernthaler 2002'!E5</f>
        <v>0.90218438805011203</v>
      </c>
      <c r="O756" t="s">
        <v>71</v>
      </c>
      <c r="P756" s="303"/>
      <c r="Q756" s="301" t="b">
        <v>1</v>
      </c>
      <c r="R756" s="304" t="s">
        <v>53</v>
      </c>
      <c r="S756" s="304" t="s">
        <v>72</v>
      </c>
      <c r="T756" s="304" t="s">
        <v>51</v>
      </c>
      <c r="U756" s="304" t="s">
        <v>6</v>
      </c>
      <c r="V756" s="313">
        <v>0.55000000000000004</v>
      </c>
      <c r="W756" s="313">
        <v>0.55000000000000004</v>
      </c>
      <c r="X756" s="306" t="s">
        <v>248</v>
      </c>
      <c r="Y756" s="334" t="s">
        <v>96</v>
      </c>
      <c r="Z756" s="314" t="s">
        <v>100</v>
      </c>
      <c r="AB756" s="334" t="s">
        <v>311</v>
      </c>
      <c r="AC756" s="334" t="s">
        <v>1702</v>
      </c>
      <c r="AQ756" s="326"/>
      <c r="AR756" s="326" t="s">
        <v>162</v>
      </c>
      <c r="AT756"/>
      <c r="AU756"/>
      <c r="AV756"/>
    </row>
    <row r="757" spans="1:48">
      <c r="A757" s="277" t="s">
        <v>62</v>
      </c>
      <c r="B757" s="328" t="s">
        <v>15</v>
      </c>
      <c r="C757" s="334">
        <f>'Pernthaler 2002'!D6</f>
        <v>2.6899293286219001E-2</v>
      </c>
      <c r="H757" s="27">
        <f>'Pernthaler 2002'!E6</f>
        <v>0.99851429489238597</v>
      </c>
      <c r="O757" t="s">
        <v>71</v>
      </c>
      <c r="P757" s="326"/>
      <c r="Q757" s="301" t="b">
        <v>1</v>
      </c>
      <c r="R757" s="304" t="s">
        <v>53</v>
      </c>
      <c r="S757" s="304" t="s">
        <v>72</v>
      </c>
      <c r="T757" s="304" t="s">
        <v>51</v>
      </c>
      <c r="U757" s="304" t="s">
        <v>6</v>
      </c>
      <c r="V757" s="313">
        <v>0.55000000000000004</v>
      </c>
      <c r="W757" s="313">
        <v>0.55000000000000004</v>
      </c>
      <c r="X757" s="306" t="s">
        <v>248</v>
      </c>
      <c r="Y757" s="334" t="s">
        <v>96</v>
      </c>
      <c r="Z757" s="314" t="s">
        <v>100</v>
      </c>
      <c r="AB757" s="334" t="s">
        <v>311</v>
      </c>
      <c r="AC757" s="334" t="s">
        <v>1702</v>
      </c>
      <c r="AQ757" s="326"/>
      <c r="AR757" s="326" t="s">
        <v>162</v>
      </c>
      <c r="AT757"/>
      <c r="AU757"/>
      <c r="AV757"/>
    </row>
    <row r="758" spans="1:48">
      <c r="A758" s="277" t="s">
        <v>62</v>
      </c>
      <c r="B758" s="328" t="s">
        <v>15</v>
      </c>
      <c r="C758" s="334">
        <f>'Pernthaler 2002'!D7</f>
        <v>3.5652104079666E-2</v>
      </c>
      <c r="H758" s="27">
        <f>'Pernthaler 2002'!E7</f>
        <v>0.94113395438483705</v>
      </c>
      <c r="O758" t="s">
        <v>71</v>
      </c>
      <c r="P758" s="326"/>
      <c r="Q758" s="301" t="b">
        <v>1</v>
      </c>
      <c r="R758" s="304" t="s">
        <v>53</v>
      </c>
      <c r="S758" s="304" t="s">
        <v>72</v>
      </c>
      <c r="T758" s="304" t="s">
        <v>51</v>
      </c>
      <c r="U758" s="304" t="s">
        <v>6</v>
      </c>
      <c r="V758" s="313">
        <v>0.55000000000000004</v>
      </c>
      <c r="W758" s="313">
        <v>0.55000000000000004</v>
      </c>
      <c r="X758" s="306" t="s">
        <v>248</v>
      </c>
      <c r="Y758" s="334" t="s">
        <v>96</v>
      </c>
      <c r="Z758" s="314" t="s">
        <v>100</v>
      </c>
      <c r="AB758" s="334" t="s">
        <v>311</v>
      </c>
      <c r="AC758" s="334" t="s">
        <v>1702</v>
      </c>
      <c r="AQ758" s="326"/>
      <c r="AR758" s="326" t="s">
        <v>162</v>
      </c>
      <c r="AT758"/>
      <c r="AU758"/>
      <c r="AV758"/>
    </row>
    <row r="759" spans="1:48">
      <c r="A759" s="277" t="s">
        <v>62</v>
      </c>
      <c r="B759" s="328" t="s">
        <v>15</v>
      </c>
      <c r="C759" s="334">
        <f>'Pernthaler 2002'!D8</f>
        <v>4.6080147767427006E-2</v>
      </c>
      <c r="H759" s="27">
        <f>'Pernthaler 2002'!E8</f>
        <v>0.93507067137809097</v>
      </c>
      <c r="O759" t="s">
        <v>71</v>
      </c>
      <c r="P759" s="293"/>
      <c r="Q759" s="301" t="b">
        <v>1</v>
      </c>
      <c r="R759" s="304" t="s">
        <v>53</v>
      </c>
      <c r="S759" s="304" t="s">
        <v>72</v>
      </c>
      <c r="T759" s="304" t="s">
        <v>51</v>
      </c>
      <c r="U759" s="304" t="s">
        <v>6</v>
      </c>
      <c r="V759" s="313">
        <v>0.55000000000000004</v>
      </c>
      <c r="W759" s="313">
        <v>0.55000000000000004</v>
      </c>
      <c r="X759" s="306" t="s">
        <v>248</v>
      </c>
      <c r="Y759" s="334" t="s">
        <v>96</v>
      </c>
      <c r="Z759" s="314" t="s">
        <v>100</v>
      </c>
      <c r="AB759" s="334" t="s">
        <v>311</v>
      </c>
      <c r="AC759" s="334" t="s">
        <v>1702</v>
      </c>
      <c r="AQ759" s="326"/>
      <c r="AR759" s="326" t="s">
        <v>162</v>
      </c>
      <c r="AT759"/>
      <c r="AU759"/>
      <c r="AV759"/>
    </row>
    <row r="760" spans="1:48">
      <c r="A760" s="277" t="s">
        <v>62</v>
      </c>
      <c r="B760" s="328" t="s">
        <v>15</v>
      </c>
      <c r="C760" s="334">
        <f>'Pernthaler 2002'!D9</f>
        <v>6.0913641717528604E-2</v>
      </c>
      <c r="H760" s="27">
        <f>'Pernthaler 2002'!E9</f>
        <v>0.95322036620623196</v>
      </c>
      <c r="O760" t="s">
        <v>71</v>
      </c>
      <c r="P760" s="293"/>
      <c r="Q760" s="301" t="b">
        <v>1</v>
      </c>
      <c r="R760" s="304" t="s">
        <v>53</v>
      </c>
      <c r="S760" s="304" t="s">
        <v>72</v>
      </c>
      <c r="T760" s="304" t="s">
        <v>51</v>
      </c>
      <c r="U760" s="304" t="s">
        <v>6</v>
      </c>
      <c r="V760" s="313">
        <v>0.55000000000000004</v>
      </c>
      <c r="W760" s="313">
        <v>0.55000000000000004</v>
      </c>
      <c r="X760" s="306" t="s">
        <v>248</v>
      </c>
      <c r="Y760" s="334" t="s">
        <v>96</v>
      </c>
      <c r="Z760" s="314" t="s">
        <v>100</v>
      </c>
      <c r="AB760" s="334" t="s">
        <v>311</v>
      </c>
      <c r="AC760" s="334" t="s">
        <v>1702</v>
      </c>
      <c r="AQ760" s="326"/>
      <c r="AR760" s="326" t="s">
        <v>162</v>
      </c>
      <c r="AT760"/>
      <c r="AU760"/>
      <c r="AV760"/>
    </row>
    <row r="761" spans="1:48">
      <c r="A761" s="277" t="s">
        <v>62</v>
      </c>
      <c r="B761" s="328" t="s">
        <v>15</v>
      </c>
      <c r="C761" s="334">
        <f>'Pernthaler 2002'!D10</f>
        <v>7.9899614519755802E-2</v>
      </c>
      <c r="H761" s="27">
        <f>'Pernthaler 2002'!E10</f>
        <v>0.53481368454866596</v>
      </c>
      <c r="O761" t="s">
        <v>71</v>
      </c>
      <c r="P761" s="293"/>
      <c r="Q761" s="301" t="b">
        <v>1</v>
      </c>
      <c r="R761" s="304" t="s">
        <v>53</v>
      </c>
      <c r="S761" s="304" t="s">
        <v>72</v>
      </c>
      <c r="T761" s="304" t="s">
        <v>51</v>
      </c>
      <c r="U761" s="304" t="s">
        <v>6</v>
      </c>
      <c r="V761" s="313">
        <v>0.55000000000000004</v>
      </c>
      <c r="W761" s="313">
        <v>0.55000000000000004</v>
      </c>
      <c r="X761" s="306" t="s">
        <v>248</v>
      </c>
      <c r="Y761" s="334" t="s">
        <v>96</v>
      </c>
      <c r="Z761" s="314" t="s">
        <v>100</v>
      </c>
      <c r="AB761" s="334" t="s">
        <v>311</v>
      </c>
      <c r="AC761" s="334" t="s">
        <v>1702</v>
      </c>
      <c r="AQ761" s="326"/>
      <c r="AR761" s="326" t="s">
        <v>162</v>
      </c>
      <c r="AT761"/>
      <c r="AU761"/>
      <c r="AV761"/>
    </row>
    <row r="762" spans="1:48">
      <c r="A762" s="277" t="s">
        <v>62</v>
      </c>
      <c r="B762" s="328" t="s">
        <v>15</v>
      </c>
      <c r="C762" s="334">
        <f>'Pernthaler 2002'!D11</f>
        <v>0.10080067459042701</v>
      </c>
      <c r="H762" s="27">
        <f>'Pernthaler 2002'!E11</f>
        <v>0.60460167041439095</v>
      </c>
      <c r="O762" t="s">
        <v>71</v>
      </c>
      <c r="P762" s="293"/>
      <c r="Q762" s="301" t="b">
        <v>1</v>
      </c>
      <c r="R762" s="304" t="s">
        <v>53</v>
      </c>
      <c r="S762" s="304" t="s">
        <v>72</v>
      </c>
      <c r="T762" s="304" t="s">
        <v>51</v>
      </c>
      <c r="U762" s="304" t="s">
        <v>6</v>
      </c>
      <c r="V762" s="313">
        <v>0.55000000000000004</v>
      </c>
      <c r="W762" s="313">
        <v>0.55000000000000004</v>
      </c>
      <c r="X762" s="306" t="s">
        <v>248</v>
      </c>
      <c r="Y762" s="334" t="s">
        <v>96</v>
      </c>
      <c r="Z762" s="314" t="s">
        <v>100</v>
      </c>
      <c r="AB762" s="334" t="s">
        <v>311</v>
      </c>
      <c r="AC762" s="334" t="s">
        <v>1702</v>
      </c>
      <c r="AQ762" s="326"/>
      <c r="AR762" s="326" t="s">
        <v>162</v>
      </c>
      <c r="AT762"/>
      <c r="AU762"/>
      <c r="AV762"/>
    </row>
    <row r="763" spans="1:48">
      <c r="A763" s="277" t="s">
        <v>62</v>
      </c>
      <c r="B763" s="328" t="s">
        <v>15</v>
      </c>
      <c r="C763" s="334">
        <f>'Pernthaler 2002'!D12</f>
        <v>0.12058866045615099</v>
      </c>
      <c r="H763" s="27">
        <f>'Pernthaler 2002'!E12</f>
        <v>0.64700449726951503</v>
      </c>
      <c r="O763" t="s">
        <v>71</v>
      </c>
      <c r="P763" s="293"/>
      <c r="Q763" s="301" t="b">
        <v>1</v>
      </c>
      <c r="R763" s="304" t="s">
        <v>53</v>
      </c>
      <c r="S763" s="304" t="s">
        <v>72</v>
      </c>
      <c r="T763" s="304" t="s">
        <v>51</v>
      </c>
      <c r="U763" s="304" t="s">
        <v>6</v>
      </c>
      <c r="V763" s="313">
        <v>0.55000000000000004</v>
      </c>
      <c r="W763" s="313">
        <v>0.55000000000000004</v>
      </c>
      <c r="X763" s="306" t="s">
        <v>248</v>
      </c>
      <c r="Y763" s="334" t="s">
        <v>96</v>
      </c>
      <c r="Z763" s="314" t="s">
        <v>100</v>
      </c>
      <c r="AB763" s="334" t="s">
        <v>311</v>
      </c>
      <c r="AC763" s="334" t="s">
        <v>1702</v>
      </c>
      <c r="AQ763" s="326"/>
      <c r="AR763" s="326" t="s">
        <v>162</v>
      </c>
      <c r="AT763"/>
      <c r="AU763"/>
      <c r="AV763"/>
    </row>
    <row r="764" spans="1:48">
      <c r="A764" s="277" t="s">
        <v>62</v>
      </c>
      <c r="B764" s="328" t="s">
        <v>15</v>
      </c>
      <c r="C764" s="334">
        <f>'Pernthaler 2002'!D13</f>
        <v>0.15028937787771698</v>
      </c>
      <c r="H764" s="27">
        <f>'Pernthaler 2002'!E13</f>
        <v>0.74473980083520697</v>
      </c>
      <c r="O764" t="s">
        <v>71</v>
      </c>
      <c r="P764" s="293"/>
      <c r="Q764" s="301" t="b">
        <v>1</v>
      </c>
      <c r="R764" s="304" t="s">
        <v>53</v>
      </c>
      <c r="S764" s="304" t="s">
        <v>72</v>
      </c>
      <c r="T764" s="304" t="s">
        <v>51</v>
      </c>
      <c r="U764" s="304" t="s">
        <v>6</v>
      </c>
      <c r="V764" s="313">
        <v>0.55000000000000004</v>
      </c>
      <c r="W764" s="313">
        <v>0.55000000000000004</v>
      </c>
      <c r="X764" s="306" t="s">
        <v>248</v>
      </c>
      <c r="Y764" s="334" t="s">
        <v>96</v>
      </c>
      <c r="Z764" s="314" t="s">
        <v>100</v>
      </c>
      <c r="AB764" s="334" t="s">
        <v>311</v>
      </c>
      <c r="AC764" s="334" t="s">
        <v>1702</v>
      </c>
      <c r="AQ764" s="326"/>
      <c r="AR764" s="326" t="s">
        <v>162</v>
      </c>
      <c r="AT764"/>
      <c r="AU764"/>
      <c r="AV764"/>
    </row>
    <row r="765" spans="1:48">
      <c r="A765" s="277" t="s">
        <v>62</v>
      </c>
      <c r="B765" s="334" t="s">
        <v>14</v>
      </c>
      <c r="C765" s="334">
        <f>'Pernthaler 2002'!D4</f>
        <v>5.4154620409037407E-3</v>
      </c>
      <c r="H765" s="27">
        <f>'Pernthaler 2002'!F4</f>
        <v>0.71370061034371901</v>
      </c>
      <c r="O765" t="s">
        <v>73</v>
      </c>
      <c r="P765" s="303"/>
      <c r="Q765" s="301" t="b">
        <v>1</v>
      </c>
      <c r="R765" s="304" t="s">
        <v>53</v>
      </c>
      <c r="S765" s="304" t="s">
        <v>72</v>
      </c>
      <c r="T765" s="304" t="s">
        <v>51</v>
      </c>
      <c r="U765" s="304" t="s">
        <v>7</v>
      </c>
      <c r="V765" s="313">
        <v>0.55000000000000004</v>
      </c>
      <c r="W765" s="313">
        <v>0.55000000000000004</v>
      </c>
      <c r="X765" s="313"/>
      <c r="Y765" s="313"/>
      <c r="Z765" s="313"/>
      <c r="AB765" s="334" t="s">
        <v>311</v>
      </c>
      <c r="AQ765" s="326"/>
      <c r="AR765" s="326" t="s">
        <v>162</v>
      </c>
      <c r="AT765"/>
      <c r="AU765"/>
      <c r="AV765"/>
    </row>
    <row r="766" spans="1:48">
      <c r="A766" s="277" t="s">
        <v>62</v>
      </c>
      <c r="B766" s="334" t="s">
        <v>14</v>
      </c>
      <c r="C766" s="334">
        <f>'Pernthaler 2002'!D5</f>
        <v>1.64150337295213E-2</v>
      </c>
      <c r="H766" s="27">
        <f>'Pernthaler 2002'!F5</f>
        <v>0.47209283649212902</v>
      </c>
      <c r="O766" t="s">
        <v>73</v>
      </c>
      <c r="P766" s="325"/>
      <c r="Q766" s="301" t="b">
        <v>1</v>
      </c>
      <c r="R766" s="304" t="s">
        <v>53</v>
      </c>
      <c r="S766" s="304" t="s">
        <v>72</v>
      </c>
      <c r="T766" s="304" t="s">
        <v>51</v>
      </c>
      <c r="U766" s="304" t="s">
        <v>7</v>
      </c>
      <c r="V766" s="313">
        <v>0.55000000000000004</v>
      </c>
      <c r="W766" s="313">
        <v>0.55000000000000004</v>
      </c>
      <c r="X766" s="313"/>
      <c r="Y766" s="313"/>
      <c r="Z766" s="313"/>
      <c r="AB766" s="334" t="s">
        <v>311</v>
      </c>
      <c r="AQ766" s="326"/>
      <c r="AR766" s="326" t="s">
        <v>162</v>
      </c>
      <c r="AT766"/>
      <c r="AU766"/>
      <c r="AV766"/>
    </row>
    <row r="767" spans="1:48">
      <c r="A767" s="277" t="s">
        <v>62</v>
      </c>
      <c r="B767" s="328" t="s">
        <v>14</v>
      </c>
      <c r="C767" s="334">
        <f>'Pernthaler 2002'!D6</f>
        <v>2.6899293286219001E-2</v>
      </c>
      <c r="H767" s="27">
        <f>'Pernthaler 2002'!F6</f>
        <v>0.49674751044009002</v>
      </c>
      <c r="O767" t="s">
        <v>73</v>
      </c>
      <c r="P767" s="325"/>
      <c r="Q767" s="301" t="b">
        <v>1</v>
      </c>
      <c r="R767" s="304" t="s">
        <v>53</v>
      </c>
      <c r="S767" s="304" t="s">
        <v>72</v>
      </c>
      <c r="T767" s="304" t="s">
        <v>51</v>
      </c>
      <c r="U767" s="304" t="s">
        <v>7</v>
      </c>
      <c r="V767" s="313">
        <v>0.55000000000000004</v>
      </c>
      <c r="W767" s="313">
        <v>0.55000000000000004</v>
      </c>
      <c r="X767" s="313"/>
      <c r="Y767" s="313"/>
      <c r="Z767" s="313"/>
      <c r="AB767" s="334" t="s">
        <v>311</v>
      </c>
      <c r="AQ767" s="326"/>
      <c r="AR767" s="326" t="s">
        <v>162</v>
      </c>
      <c r="AT767"/>
      <c r="AU767"/>
      <c r="AV767"/>
    </row>
    <row r="768" spans="1:48">
      <c r="A768" s="277" t="s">
        <v>62</v>
      </c>
      <c r="B768" s="328" t="s">
        <v>14</v>
      </c>
      <c r="C768" s="334">
        <f>'Pernthaler 2002'!D7</f>
        <v>3.5652104079666E-2</v>
      </c>
      <c r="H768" s="27">
        <f>'Pernthaler 2002'!F7</f>
        <v>0.58275778991326599</v>
      </c>
      <c r="O768" t="s">
        <v>73</v>
      </c>
      <c r="Q768" s="301" t="b">
        <v>1</v>
      </c>
      <c r="R768" s="304" t="s">
        <v>53</v>
      </c>
      <c r="S768" s="304" t="s">
        <v>72</v>
      </c>
      <c r="T768" s="304" t="s">
        <v>51</v>
      </c>
      <c r="U768" s="304" t="s">
        <v>7</v>
      </c>
      <c r="V768" s="313">
        <v>0.55000000000000004</v>
      </c>
      <c r="W768" s="313">
        <v>0.55000000000000004</v>
      </c>
      <c r="X768" s="313"/>
      <c r="Y768" s="313"/>
      <c r="Z768" s="313"/>
      <c r="AB768" s="334" t="s">
        <v>311</v>
      </c>
      <c r="AQ768" s="326"/>
      <c r="AR768" s="326" t="s">
        <v>162</v>
      </c>
      <c r="AT768"/>
      <c r="AU768"/>
      <c r="AV768"/>
    </row>
    <row r="769" spans="1:48">
      <c r="A769" s="277" t="s">
        <v>62</v>
      </c>
      <c r="B769" s="328" t="s">
        <v>14</v>
      </c>
      <c r="C769" s="334">
        <f>'Pernthaler 2002'!D8</f>
        <v>4.6080147767427006E-2</v>
      </c>
      <c r="H769" s="27">
        <f>'Pernthaler 2002'!F8</f>
        <v>0.40254577577899098</v>
      </c>
      <c r="O769" t="s">
        <v>73</v>
      </c>
      <c r="Q769" s="301" t="b">
        <v>1</v>
      </c>
      <c r="R769" s="304" t="s">
        <v>53</v>
      </c>
      <c r="S769" s="304" t="s">
        <v>72</v>
      </c>
      <c r="T769" s="304" t="s">
        <v>51</v>
      </c>
      <c r="U769" s="304" t="s">
        <v>7</v>
      </c>
      <c r="V769" s="313">
        <v>0.55000000000000004</v>
      </c>
      <c r="W769" s="313">
        <v>0.55000000000000004</v>
      </c>
      <c r="X769" s="313"/>
      <c r="Y769" s="313"/>
      <c r="Z769" s="313"/>
      <c r="AB769" s="334" t="s">
        <v>311</v>
      </c>
      <c r="AQ769" s="326"/>
      <c r="AR769" s="326" t="s">
        <v>162</v>
      </c>
      <c r="AT769"/>
      <c r="AU769"/>
      <c r="AV769"/>
    </row>
    <row r="770" spans="1:48">
      <c r="A770" s="277" t="s">
        <v>62</v>
      </c>
      <c r="B770" s="328" t="s">
        <v>14</v>
      </c>
      <c r="C770" s="334">
        <f>'Pernthaler 2002'!D9</f>
        <v>6.0913641717528604E-2</v>
      </c>
      <c r="H770" s="27">
        <f>'Pernthaler 2002'!F9</f>
        <v>0.355886604561516</v>
      </c>
      <c r="O770" t="s">
        <v>73</v>
      </c>
      <c r="Q770" s="301" t="b">
        <v>1</v>
      </c>
      <c r="R770" s="304" t="s">
        <v>53</v>
      </c>
      <c r="S770" s="304" t="s">
        <v>72</v>
      </c>
      <c r="T770" s="304" t="s">
        <v>51</v>
      </c>
      <c r="U770" s="304" t="s">
        <v>7</v>
      </c>
      <c r="V770" s="313">
        <v>0.55000000000000004</v>
      </c>
      <c r="W770" s="313">
        <v>0.55000000000000004</v>
      </c>
      <c r="X770" s="313"/>
      <c r="Y770" s="313"/>
      <c r="Z770" s="313"/>
      <c r="AB770" s="334" t="s">
        <v>311</v>
      </c>
      <c r="AQ770" s="326"/>
      <c r="AR770" s="326" t="s">
        <v>162</v>
      </c>
      <c r="AT770"/>
      <c r="AU770"/>
      <c r="AV770"/>
    </row>
    <row r="771" spans="1:48">
      <c r="A771" s="277" t="s">
        <v>62</v>
      </c>
      <c r="B771" s="328" t="s">
        <v>14</v>
      </c>
      <c r="C771" s="334">
        <f>'Pernthaler 2002'!D10</f>
        <v>7.9899614519755802E-2</v>
      </c>
      <c r="H771" s="27">
        <f>'Pernthaler 2002'!F10</f>
        <v>0.388090266623835</v>
      </c>
      <c r="O771" t="s">
        <v>73</v>
      </c>
      <c r="P771" s="303"/>
      <c r="Q771" s="301" t="b">
        <v>1</v>
      </c>
      <c r="R771" s="304" t="s">
        <v>53</v>
      </c>
      <c r="S771" s="304" t="s">
        <v>72</v>
      </c>
      <c r="T771" s="304" t="s">
        <v>51</v>
      </c>
      <c r="U771" s="304" t="s">
        <v>7</v>
      </c>
      <c r="V771" s="313">
        <v>0.55000000000000004</v>
      </c>
      <c r="W771" s="313">
        <v>0.55000000000000004</v>
      </c>
      <c r="X771" s="313"/>
      <c r="Y771" s="313"/>
      <c r="Z771" s="313"/>
      <c r="AB771" s="334" t="s">
        <v>311</v>
      </c>
      <c r="AQ771" s="326"/>
      <c r="AR771" s="326" t="s">
        <v>162</v>
      </c>
      <c r="AT771"/>
      <c r="AU771"/>
      <c r="AV771"/>
    </row>
    <row r="772" spans="1:48">
      <c r="A772" s="277" t="s">
        <v>62</v>
      </c>
      <c r="B772" s="334" t="s">
        <v>14</v>
      </c>
      <c r="C772" s="334">
        <f>'Pernthaler 2002'!D11</f>
        <v>0.10080067459042701</v>
      </c>
      <c r="H772" s="27">
        <f>'Pernthaler 2002'!F11</f>
        <v>0.31448763250883399</v>
      </c>
      <c r="O772" t="s">
        <v>73</v>
      </c>
      <c r="P772" s="325"/>
      <c r="Q772" s="301" t="b">
        <v>1</v>
      </c>
      <c r="R772" s="304" t="s">
        <v>53</v>
      </c>
      <c r="S772" s="304" t="s">
        <v>72</v>
      </c>
      <c r="T772" s="304" t="s">
        <v>51</v>
      </c>
      <c r="U772" s="304" t="s">
        <v>7</v>
      </c>
      <c r="V772" s="313">
        <v>0.55000000000000004</v>
      </c>
      <c r="W772" s="313">
        <v>0.55000000000000004</v>
      </c>
      <c r="X772" s="313"/>
      <c r="Y772" s="313"/>
      <c r="Z772" s="313"/>
      <c r="AB772" s="334" t="s">
        <v>311</v>
      </c>
      <c r="AQ772" s="326"/>
      <c r="AR772" s="326" t="s">
        <v>162</v>
      </c>
      <c r="AT772"/>
      <c r="AU772"/>
      <c r="AV772"/>
    </row>
    <row r="773" spans="1:48">
      <c r="A773" s="277" t="s">
        <v>62</v>
      </c>
      <c r="B773" s="334" t="s">
        <v>14</v>
      </c>
      <c r="C773" s="334">
        <f>'Pernthaler 2002'!D12</f>
        <v>0.12058866045615099</v>
      </c>
      <c r="H773" s="336">
        <f>'Pernthaler 2002'!F12</f>
        <v>0.30232091230324398</v>
      </c>
      <c r="O773" t="s">
        <v>73</v>
      </c>
      <c r="P773" s="325"/>
      <c r="Q773" s="301" t="b">
        <v>1</v>
      </c>
      <c r="R773" s="304" t="s">
        <v>53</v>
      </c>
      <c r="S773" s="304" t="s">
        <v>72</v>
      </c>
      <c r="T773" s="304" t="s">
        <v>51</v>
      </c>
      <c r="U773" s="304" t="s">
        <v>7</v>
      </c>
      <c r="V773" s="313">
        <v>0.55000000000000004</v>
      </c>
      <c r="W773" s="313">
        <v>0.55000000000000004</v>
      </c>
      <c r="X773" s="313"/>
      <c r="Y773" s="313"/>
      <c r="Z773" s="313"/>
      <c r="AB773" s="334" t="s">
        <v>311</v>
      </c>
      <c r="AQ773" s="326"/>
      <c r="AR773" s="326" t="s">
        <v>162</v>
      </c>
      <c r="AT773"/>
      <c r="AU773"/>
      <c r="AV773"/>
    </row>
    <row r="774" spans="1:48">
      <c r="A774" s="277" t="s">
        <v>62</v>
      </c>
      <c r="B774" s="334" t="s">
        <v>8</v>
      </c>
      <c r="C774" s="334">
        <f>'Pernthaler 2002'!D13</f>
        <v>0.15028937787771698</v>
      </c>
      <c r="H774" s="27">
        <f>'Pernthaler 2002'!F13</f>
        <v>0.26349180854481102</v>
      </c>
      <c r="O774" t="s">
        <v>73</v>
      </c>
      <c r="Q774" s="301" t="b">
        <v>1</v>
      </c>
      <c r="R774" s="304" t="s">
        <v>53</v>
      </c>
      <c r="S774" s="304" t="s">
        <v>72</v>
      </c>
      <c r="T774" s="304" t="s">
        <v>51</v>
      </c>
      <c r="U774" s="304" t="s">
        <v>7</v>
      </c>
      <c r="V774" s="313">
        <v>0.55000000000000004</v>
      </c>
      <c r="W774" s="313">
        <v>0.55000000000000004</v>
      </c>
      <c r="X774" s="313"/>
      <c r="Y774" s="313"/>
      <c r="Z774" s="313"/>
      <c r="AB774" s="334" t="s">
        <v>311</v>
      </c>
      <c r="AQ774" s="326"/>
      <c r="AR774" s="326" t="s">
        <v>162</v>
      </c>
      <c r="AT774"/>
      <c r="AU774"/>
      <c r="AV774"/>
    </row>
    <row r="775" spans="1:48">
      <c r="A775" s="277" t="s">
        <v>189</v>
      </c>
      <c r="B775" s="334" t="s">
        <v>1540</v>
      </c>
      <c r="C775" s="334">
        <f>'Quan 2010'!F5</f>
        <v>0.01</v>
      </c>
      <c r="D775" s="301">
        <f>'Quan 2010'!G5</f>
        <v>1710000000.0000002</v>
      </c>
      <c r="E775" s="301">
        <f>'Quan 2010'!H5</f>
        <v>1200000000</v>
      </c>
      <c r="F775" s="301">
        <f>'Quan 2010'!I5</f>
        <v>22000000</v>
      </c>
      <c r="G775" s="301">
        <f>E775+F775</f>
        <v>1222000000</v>
      </c>
      <c r="H775" s="336">
        <f>G775/D775</f>
        <v>0.7146198830409356</v>
      </c>
      <c r="M775" s="27">
        <f>F775/G775</f>
        <v>1.8003273322422259E-2</v>
      </c>
      <c r="O775" t="s">
        <v>943</v>
      </c>
      <c r="P775" s="334"/>
      <c r="R775" s="304" t="s">
        <v>1277</v>
      </c>
      <c r="S775" s="304" t="s">
        <v>142</v>
      </c>
      <c r="T775" s="304" t="s">
        <v>47</v>
      </c>
      <c r="U775" s="304" t="s">
        <v>47</v>
      </c>
      <c r="V775" s="334"/>
      <c r="W775" s="334"/>
      <c r="X775" s="334"/>
      <c r="Y775" s="334"/>
      <c r="Z775" s="334"/>
      <c r="AB775" s="334" t="s">
        <v>1739</v>
      </c>
      <c r="AC775" s="334" t="s">
        <v>1702</v>
      </c>
      <c r="AQ775" s="326"/>
      <c r="AR775" s="326"/>
      <c r="AS775" t="b">
        <v>1</v>
      </c>
      <c r="AT775"/>
      <c r="AU775"/>
      <c r="AV775"/>
    </row>
    <row r="776" spans="1:48">
      <c r="A776" s="277" t="s">
        <v>189</v>
      </c>
      <c r="B776" s="334" t="s">
        <v>1540</v>
      </c>
      <c r="C776" s="334">
        <f>'Quan 2010'!F6</f>
        <v>0.03</v>
      </c>
      <c r="D776" s="301">
        <f>'Quan 2010'!G6</f>
        <v>2010000000.0000002</v>
      </c>
      <c r="E776" s="301">
        <f>'Quan 2010'!H6</f>
        <v>1440000000</v>
      </c>
      <c r="F776" s="301">
        <f>'Quan 2010'!I6</f>
        <v>24000000</v>
      </c>
      <c r="G776" s="301">
        <f>E776+F776</f>
        <v>1464000000</v>
      </c>
      <c r="H776" s="336">
        <f>G776/D776</f>
        <v>0.72835820895522374</v>
      </c>
      <c r="M776" s="27">
        <f>F776/G776</f>
        <v>1.6393442622950821E-2</v>
      </c>
      <c r="O776" t="s">
        <v>943</v>
      </c>
      <c r="P776" s="327"/>
      <c r="R776" s="304" t="s">
        <v>1277</v>
      </c>
      <c r="S776" s="304" t="s">
        <v>142</v>
      </c>
      <c r="T776" s="304" t="s">
        <v>47</v>
      </c>
      <c r="U776" s="304" t="s">
        <v>47</v>
      </c>
      <c r="V776" s="334"/>
      <c r="W776" s="334"/>
      <c r="X776" s="334"/>
      <c r="Y776" s="334"/>
      <c r="Z776" s="334"/>
      <c r="AB776" s="334" t="s">
        <v>1739</v>
      </c>
      <c r="AC776" s="334" t="s">
        <v>1702</v>
      </c>
      <c r="AQ776" s="326"/>
      <c r="AR776" s="326"/>
      <c r="AS776" t="b">
        <v>1</v>
      </c>
      <c r="AT776"/>
      <c r="AU776"/>
      <c r="AV776"/>
    </row>
    <row r="777" spans="1:48">
      <c r="A777" s="277" t="s">
        <v>189</v>
      </c>
      <c r="B777" s="334" t="s">
        <v>1540</v>
      </c>
      <c r="C777" s="334">
        <f>'Quan 2010'!F7</f>
        <v>0.05</v>
      </c>
      <c r="D777" s="301">
        <f>'Quan 2010'!G7</f>
        <v>1870000000</v>
      </c>
      <c r="E777" s="301">
        <f>'Quan 2010'!H7</f>
        <v>1380000000</v>
      </c>
      <c r="F777" s="301">
        <f>'Quan 2010'!I7</f>
        <v>22000000</v>
      </c>
      <c r="G777" s="301">
        <f>E777+F777</f>
        <v>1402000000</v>
      </c>
      <c r="H777" s="27">
        <f>G777/D777</f>
        <v>0.74973262032085564</v>
      </c>
      <c r="M777" s="27">
        <f>F777/G777</f>
        <v>1.5691868758915834E-2</v>
      </c>
      <c r="O777" t="s">
        <v>943</v>
      </c>
      <c r="R777" s="304" t="s">
        <v>1277</v>
      </c>
      <c r="S777" s="304" t="s">
        <v>142</v>
      </c>
      <c r="T777" s="304" t="s">
        <v>47</v>
      </c>
      <c r="U777" s="304" t="s">
        <v>47</v>
      </c>
      <c r="V777" s="334"/>
      <c r="W777" s="334"/>
      <c r="X777" s="334"/>
      <c r="Y777" s="334"/>
      <c r="Z777" s="334"/>
      <c r="AB777" s="334" t="s">
        <v>1739</v>
      </c>
      <c r="AC777" s="334" t="s">
        <v>1702</v>
      </c>
      <c r="AQ777" s="326"/>
      <c r="AR777" s="326"/>
      <c r="AS777" t="b">
        <v>1</v>
      </c>
      <c r="AT777"/>
      <c r="AU777"/>
      <c r="AV777"/>
    </row>
    <row r="778" spans="1:48">
      <c r="A778" s="277" t="s">
        <v>189</v>
      </c>
      <c r="B778" s="334" t="s">
        <v>1540</v>
      </c>
      <c r="C778" s="334">
        <f>'Quan 2010'!F8</f>
        <v>7.0000000000000007E-2</v>
      </c>
      <c r="D778" s="301">
        <f>'Quan 2010'!G8</f>
        <v>1110000000</v>
      </c>
      <c r="E778" s="301">
        <f>'Quan 2010'!H8</f>
        <v>819999999.99999988</v>
      </c>
      <c r="F778" s="301">
        <f>'Quan 2010'!I8</f>
        <v>46000000</v>
      </c>
      <c r="G778" s="301">
        <f>E778+F778</f>
        <v>865999999.99999988</v>
      </c>
      <c r="H778" s="27">
        <f>G778/D778</f>
        <v>0.78018018018018009</v>
      </c>
      <c r="M778" s="27">
        <f>F778/G778</f>
        <v>5.3117782909930723E-2</v>
      </c>
      <c r="O778" t="s">
        <v>943</v>
      </c>
      <c r="P778" s="303"/>
      <c r="R778" s="304" t="s">
        <v>1277</v>
      </c>
      <c r="S778" s="304" t="s">
        <v>142</v>
      </c>
      <c r="T778" s="304" t="s">
        <v>47</v>
      </c>
      <c r="U778" s="304" t="s">
        <v>47</v>
      </c>
      <c r="V778" s="334"/>
      <c r="W778" s="334"/>
      <c r="X778" s="334"/>
      <c r="Y778" s="334"/>
      <c r="Z778" s="334"/>
      <c r="AB778" s="334" t="s">
        <v>1739</v>
      </c>
      <c r="AC778" s="334" t="s">
        <v>1702</v>
      </c>
      <c r="AQ778" s="326"/>
      <c r="AR778" s="326"/>
      <c r="AS778" t="b">
        <v>1</v>
      </c>
      <c r="AT778"/>
      <c r="AU778"/>
      <c r="AV778"/>
    </row>
    <row r="779" spans="1:48">
      <c r="A779" s="277" t="s">
        <v>189</v>
      </c>
      <c r="B779" s="334" t="s">
        <v>1540</v>
      </c>
      <c r="C779" s="334">
        <f>'Quan 2010'!F9</f>
        <v>0.09</v>
      </c>
      <c r="D779" s="301">
        <f>'Quan 2010'!G9</f>
        <v>840000000</v>
      </c>
      <c r="E779" s="301">
        <f>'Quan 2010'!H9</f>
        <v>600000000</v>
      </c>
      <c r="F779" s="301">
        <f>'Quan 2010'!I9</f>
        <v>82000000</v>
      </c>
      <c r="G779" s="301">
        <f>E779+F779</f>
        <v>682000000</v>
      </c>
      <c r="H779" s="336">
        <f>G779/D779</f>
        <v>0.81190476190476191</v>
      </c>
      <c r="M779" s="27">
        <f>F779/G779</f>
        <v>0.12023460410557185</v>
      </c>
      <c r="O779" t="s">
        <v>943</v>
      </c>
      <c r="P779" s="325"/>
      <c r="R779" s="304" t="s">
        <v>1277</v>
      </c>
      <c r="S779" s="304" t="s">
        <v>142</v>
      </c>
      <c r="T779" s="304" t="s">
        <v>47</v>
      </c>
      <c r="U779" s="304" t="s">
        <v>47</v>
      </c>
      <c r="V779" s="334"/>
      <c r="W779" s="334"/>
      <c r="X779" s="334"/>
      <c r="Y779" s="334"/>
      <c r="Z779" s="334"/>
      <c r="AB779" s="334" t="s">
        <v>1739</v>
      </c>
      <c r="AC779" s="334" t="s">
        <v>1702</v>
      </c>
      <c r="AQ779" s="326"/>
      <c r="AR779" s="326"/>
      <c r="AS779" t="b">
        <v>1</v>
      </c>
      <c r="AT779"/>
      <c r="AU779"/>
      <c r="AV779"/>
    </row>
    <row r="780" spans="1:48">
      <c r="A780" s="277" t="s">
        <v>189</v>
      </c>
      <c r="B780" s="328" t="s">
        <v>1540</v>
      </c>
      <c r="C780" s="334">
        <f>'Quan 2010'!F10</f>
        <v>0.115</v>
      </c>
      <c r="D780" s="301">
        <f>'Quan 2010'!G10</f>
        <v>790000000</v>
      </c>
      <c r="E780" s="301">
        <f>'Quan 2010'!H10</f>
        <v>509999999.99999994</v>
      </c>
      <c r="F780" s="301">
        <f>'Quan 2010'!I10</f>
        <v>93000000</v>
      </c>
      <c r="G780" s="301">
        <f>E780+F780</f>
        <v>603000000</v>
      </c>
      <c r="H780" s="336">
        <f>G780/D780</f>
        <v>0.76329113924050629</v>
      </c>
      <c r="M780" s="27">
        <f>F780/G780</f>
        <v>0.15422885572139303</v>
      </c>
      <c r="O780" t="s">
        <v>943</v>
      </c>
      <c r="P780" s="325"/>
      <c r="R780" s="304" t="s">
        <v>1277</v>
      </c>
      <c r="S780" s="304" t="s">
        <v>142</v>
      </c>
      <c r="T780" s="304" t="s">
        <v>47</v>
      </c>
      <c r="U780" s="304" t="s">
        <v>47</v>
      </c>
      <c r="V780" s="334"/>
      <c r="W780" s="334"/>
      <c r="X780" s="334"/>
      <c r="Y780" s="334"/>
      <c r="Z780" s="334"/>
      <c r="AB780" s="334" t="s">
        <v>1739</v>
      </c>
      <c r="AC780" s="334" t="s">
        <v>1702</v>
      </c>
      <c r="AQ780" s="326"/>
      <c r="AR780" s="326"/>
      <c r="AS780" t="b">
        <v>1</v>
      </c>
      <c r="AT780"/>
      <c r="AU780"/>
      <c r="AV780"/>
    </row>
    <row r="781" spans="1:48">
      <c r="A781" s="277" t="s">
        <v>189</v>
      </c>
      <c r="B781" s="334" t="s">
        <v>1540</v>
      </c>
      <c r="C781" s="334">
        <f>'Quan 2010'!F11</f>
        <v>0.14000000000000001</v>
      </c>
      <c r="D781" s="301">
        <f>'Quan 2010'!G11</f>
        <v>1280000000</v>
      </c>
      <c r="E781" s="301">
        <f>'Quan 2010'!H11</f>
        <v>1090000000</v>
      </c>
      <c r="F781" s="301">
        <f>'Quan 2010'!I11</f>
        <v>84000000</v>
      </c>
      <c r="G781" s="301">
        <f>E781+F781</f>
        <v>1174000000</v>
      </c>
      <c r="H781" s="27">
        <f>G781/D781</f>
        <v>0.91718750000000004</v>
      </c>
      <c r="M781" s="27">
        <f>F781/G781</f>
        <v>7.1550255536626917E-2</v>
      </c>
      <c r="O781" t="s">
        <v>943</v>
      </c>
      <c r="P781" s="326"/>
      <c r="R781" s="304" t="s">
        <v>1277</v>
      </c>
      <c r="S781" s="304" t="s">
        <v>142</v>
      </c>
      <c r="T781" s="304" t="s">
        <v>47</v>
      </c>
      <c r="U781" s="304" t="s">
        <v>47</v>
      </c>
      <c r="V781" s="334"/>
      <c r="W781" s="334"/>
      <c r="X781" s="334"/>
      <c r="Y781" s="334"/>
      <c r="Z781" s="334"/>
      <c r="AB781" s="334" t="s">
        <v>1739</v>
      </c>
      <c r="AC781" s="334" t="s">
        <v>1702</v>
      </c>
      <c r="AQ781" s="326"/>
      <c r="AR781" s="326"/>
      <c r="AS781" t="b">
        <v>1</v>
      </c>
      <c r="AT781"/>
      <c r="AU781"/>
      <c r="AV781"/>
    </row>
    <row r="782" spans="1:48">
      <c r="A782" s="277" t="s">
        <v>189</v>
      </c>
      <c r="B782" s="334" t="s">
        <v>1540</v>
      </c>
      <c r="C782" s="334">
        <f>'Quan 2010'!F12</f>
        <v>0.16500000000000001</v>
      </c>
      <c r="D782" s="301">
        <f>'Quan 2010'!G12</f>
        <v>1060000000</v>
      </c>
      <c r="E782" s="301">
        <f>'Quan 2010'!H12</f>
        <v>740000000</v>
      </c>
      <c r="F782" s="301">
        <f>'Quan 2010'!I12</f>
        <v>43000000</v>
      </c>
      <c r="G782" s="301">
        <f>E782+F782</f>
        <v>783000000</v>
      </c>
      <c r="H782" s="336">
        <f>G782/D782</f>
        <v>0.73867924528301887</v>
      </c>
      <c r="M782" s="27">
        <f>F782/G782</f>
        <v>5.4916985951468711E-2</v>
      </c>
      <c r="O782" t="s">
        <v>943</v>
      </c>
      <c r="P782" s="303"/>
      <c r="R782" s="304" t="s">
        <v>1277</v>
      </c>
      <c r="S782" s="304" t="s">
        <v>142</v>
      </c>
      <c r="T782" s="304" t="s">
        <v>47</v>
      </c>
      <c r="U782" s="304" t="s">
        <v>47</v>
      </c>
      <c r="V782" s="334"/>
      <c r="W782" s="334"/>
      <c r="X782" s="334"/>
      <c r="Y782" s="334"/>
      <c r="Z782" s="334"/>
      <c r="AB782" s="334" t="s">
        <v>1739</v>
      </c>
      <c r="AC782" s="334" t="s">
        <v>1702</v>
      </c>
      <c r="AQ782" s="326"/>
      <c r="AR782" s="326"/>
      <c r="AS782" t="b">
        <v>1</v>
      </c>
      <c r="AT782"/>
      <c r="AU782"/>
      <c r="AV782"/>
    </row>
    <row r="783" spans="1:48">
      <c r="A783" s="277" t="s">
        <v>189</v>
      </c>
      <c r="B783" s="334" t="s">
        <v>1540</v>
      </c>
      <c r="C783" s="334">
        <f>'Quan 2010'!F13</f>
        <v>0.19500000000000001</v>
      </c>
      <c r="D783" s="301">
        <f>'Quan 2010'!G13</f>
        <v>1080000000</v>
      </c>
      <c r="E783" s="301">
        <f>'Quan 2010'!H13</f>
        <v>880000000.00000012</v>
      </c>
      <c r="F783" s="301">
        <f>'Quan 2010'!I13</f>
        <v>31000000</v>
      </c>
      <c r="G783" s="301">
        <f>E783+F783</f>
        <v>911000000.00000012</v>
      </c>
      <c r="H783" s="336">
        <f>G783/D783</f>
        <v>0.84351851851851867</v>
      </c>
      <c r="M783" s="27">
        <f>F783/G783</f>
        <v>3.4028540065861687E-2</v>
      </c>
      <c r="O783" t="s">
        <v>943</v>
      </c>
      <c r="P783" s="303"/>
      <c r="R783" s="304" t="s">
        <v>1277</v>
      </c>
      <c r="S783" s="304" t="s">
        <v>142</v>
      </c>
      <c r="T783" s="304" t="s">
        <v>47</v>
      </c>
      <c r="U783" s="304" t="s">
        <v>47</v>
      </c>
      <c r="V783" s="334"/>
      <c r="W783" s="334"/>
      <c r="X783" s="334"/>
      <c r="Y783" s="334"/>
      <c r="Z783" s="334"/>
      <c r="AB783" s="334" t="s">
        <v>1739</v>
      </c>
      <c r="AC783" s="334" t="s">
        <v>1702</v>
      </c>
      <c r="AQ783" s="326"/>
      <c r="AR783" s="326"/>
      <c r="AS783" t="b">
        <v>1</v>
      </c>
      <c r="AT783"/>
      <c r="AU783"/>
      <c r="AV783"/>
    </row>
    <row r="784" spans="1:48">
      <c r="A784" s="277" t="s">
        <v>189</v>
      </c>
      <c r="B784" s="334" t="s">
        <v>1540</v>
      </c>
      <c r="C784" s="334">
        <f>'Quan 2010'!F14</f>
        <v>0.22500000000000001</v>
      </c>
      <c r="D784" s="301">
        <f>'Quan 2010'!G14</f>
        <v>1730000000</v>
      </c>
      <c r="E784" s="301">
        <f>'Quan 2010'!H14</f>
        <v>1380000000</v>
      </c>
      <c r="F784" s="301">
        <f>'Quan 2010'!I14</f>
        <v>40000000</v>
      </c>
      <c r="G784" s="301">
        <f>E784+F784</f>
        <v>1420000000</v>
      </c>
      <c r="H784" s="336">
        <f>G784/D784</f>
        <v>0.82080924855491333</v>
      </c>
      <c r="M784" s="27">
        <f>F784/G784</f>
        <v>2.8169014084507043E-2</v>
      </c>
      <c r="O784" t="s">
        <v>943</v>
      </c>
      <c r="P784" s="303"/>
      <c r="R784" s="304" t="s">
        <v>1277</v>
      </c>
      <c r="S784" s="304" t="s">
        <v>142</v>
      </c>
      <c r="T784" s="304" t="s">
        <v>47</v>
      </c>
      <c r="U784" s="304" t="s">
        <v>47</v>
      </c>
      <c r="V784" s="334"/>
      <c r="W784" s="334"/>
      <c r="X784" s="334"/>
      <c r="Y784" s="334"/>
      <c r="Z784" s="334"/>
      <c r="AB784" s="334" t="s">
        <v>1739</v>
      </c>
      <c r="AC784" s="334" t="s">
        <v>1702</v>
      </c>
      <c r="AQ784" s="326"/>
      <c r="AR784" s="326"/>
      <c r="AS784" t="b">
        <v>1</v>
      </c>
      <c r="AT784"/>
      <c r="AU784"/>
      <c r="AV784"/>
    </row>
    <row r="785" spans="1:48">
      <c r="A785" s="277" t="s">
        <v>189</v>
      </c>
      <c r="B785" s="334" t="s">
        <v>1540</v>
      </c>
      <c r="C785" s="334">
        <f>'Quan 2010'!F15</f>
        <v>0.255</v>
      </c>
      <c r="D785" s="301">
        <f>'Quan 2010'!G15</f>
        <v>1540000000</v>
      </c>
      <c r="E785" s="301">
        <f>'Quan 2010'!H15</f>
        <v>1200000000</v>
      </c>
      <c r="F785" s="301">
        <f>'Quan 2010'!I15</f>
        <v>53000000</v>
      </c>
      <c r="G785" s="301">
        <f>E785+F785</f>
        <v>1253000000</v>
      </c>
      <c r="H785" s="27">
        <f>G785/D785</f>
        <v>0.8136363636363636</v>
      </c>
      <c r="M785" s="27">
        <f>F785/G785</f>
        <v>4.2298483639265763E-2</v>
      </c>
      <c r="O785" t="s">
        <v>943</v>
      </c>
      <c r="P785" s="303"/>
      <c r="R785" s="304" t="s">
        <v>1277</v>
      </c>
      <c r="S785" s="304" t="s">
        <v>142</v>
      </c>
      <c r="T785" s="304" t="s">
        <v>47</v>
      </c>
      <c r="U785" s="304" t="s">
        <v>47</v>
      </c>
      <c r="V785" s="334"/>
      <c r="W785" s="334"/>
      <c r="X785" s="334"/>
      <c r="Y785" s="334"/>
      <c r="Z785" s="334"/>
      <c r="AB785" s="334" t="s">
        <v>1739</v>
      </c>
      <c r="AC785" s="334" t="s">
        <v>1702</v>
      </c>
      <c r="AQ785" s="326"/>
      <c r="AR785" s="326"/>
      <c r="AS785" t="b">
        <v>1</v>
      </c>
      <c r="AT785"/>
      <c r="AU785"/>
      <c r="AV785"/>
    </row>
    <row r="786" spans="1:48">
      <c r="A786" s="277" t="s">
        <v>189</v>
      </c>
      <c r="B786" s="334" t="s">
        <v>1540</v>
      </c>
      <c r="C786" s="334">
        <f>'Quan 2010'!F16</f>
        <v>0.28499999999999998</v>
      </c>
      <c r="D786" s="301">
        <f>'Quan 2010'!G16</f>
        <v>1520000000</v>
      </c>
      <c r="E786" s="301">
        <f>'Quan 2010'!H16</f>
        <v>1230000000</v>
      </c>
      <c r="F786" s="301">
        <f>'Quan 2010'!I16</f>
        <v>15000000</v>
      </c>
      <c r="G786" s="301">
        <f>E786+F786</f>
        <v>1245000000</v>
      </c>
      <c r="H786" s="27">
        <f>G786/D786</f>
        <v>0.81907894736842102</v>
      </c>
      <c r="M786" s="27">
        <f>F786/G786</f>
        <v>1.2048192771084338E-2</v>
      </c>
      <c r="O786" t="s">
        <v>943</v>
      </c>
      <c r="R786" s="304" t="s">
        <v>1277</v>
      </c>
      <c r="S786" s="304" t="s">
        <v>142</v>
      </c>
      <c r="T786" s="304" t="s">
        <v>47</v>
      </c>
      <c r="U786" s="304" t="s">
        <v>47</v>
      </c>
      <c r="V786" s="334"/>
      <c r="W786" s="334"/>
      <c r="X786" s="334"/>
      <c r="Y786" s="334"/>
      <c r="Z786" s="334"/>
      <c r="AA786" s="334"/>
      <c r="AB786" s="334" t="s">
        <v>1739</v>
      </c>
      <c r="AC786" s="334" t="s">
        <v>1702</v>
      </c>
      <c r="AE786" s="334"/>
      <c r="AQ786" s="326"/>
      <c r="AR786" s="326"/>
      <c r="AS786" t="b">
        <v>1</v>
      </c>
      <c r="AT786"/>
      <c r="AU786"/>
      <c r="AV786"/>
    </row>
    <row r="787" spans="1:48">
      <c r="A787" s="277" t="s">
        <v>189</v>
      </c>
      <c r="B787" s="334" t="s">
        <v>1540</v>
      </c>
      <c r="C787" s="334">
        <f>'Quan 2010'!F17</f>
        <v>0.315</v>
      </c>
      <c r="D787" s="301">
        <f>'Quan 2010'!G17</f>
        <v>910000000</v>
      </c>
      <c r="E787" s="301">
        <f>'Quan 2010'!H17</f>
        <v>650000000</v>
      </c>
      <c r="F787" s="301">
        <f>'Quan 2010'!I17</f>
        <v>111000000</v>
      </c>
      <c r="G787" s="301">
        <f>E787+F787</f>
        <v>761000000</v>
      </c>
      <c r="H787" s="27">
        <f>G787/D787</f>
        <v>0.83626373626373629</v>
      </c>
      <c r="M787" s="27">
        <f>F787/G787</f>
        <v>0.14586070959264127</v>
      </c>
      <c r="O787" t="s">
        <v>943</v>
      </c>
      <c r="P787" s="325"/>
      <c r="R787" s="304" t="s">
        <v>1277</v>
      </c>
      <c r="S787" s="304" t="s">
        <v>142</v>
      </c>
      <c r="T787" s="304" t="s">
        <v>47</v>
      </c>
      <c r="U787" s="304" t="s">
        <v>47</v>
      </c>
      <c r="V787" s="334"/>
      <c r="W787" s="334"/>
      <c r="X787" s="334"/>
      <c r="Y787" s="334"/>
      <c r="Z787" s="334"/>
      <c r="AB787" s="334" t="s">
        <v>1739</v>
      </c>
      <c r="AC787" s="334" t="s">
        <v>1702</v>
      </c>
      <c r="AQ787" s="326"/>
      <c r="AR787" s="326"/>
      <c r="AS787" t="b">
        <v>1</v>
      </c>
      <c r="AT787"/>
      <c r="AU787"/>
      <c r="AV787"/>
    </row>
    <row r="788" spans="1:48">
      <c r="A788" s="277" t="s">
        <v>189</v>
      </c>
      <c r="B788" s="328" t="s">
        <v>1540</v>
      </c>
      <c r="C788" s="334">
        <f>'Quan 2010'!F18</f>
        <v>0.34499999999999997</v>
      </c>
      <c r="D788" s="301">
        <f>'Quan 2010'!G18</f>
        <v>1160000000</v>
      </c>
      <c r="E788" s="301">
        <f>'Quan 2010'!H18</f>
        <v>930000000.00000012</v>
      </c>
      <c r="F788" s="301">
        <f>'Quan 2010'!I18</f>
        <v>118000000</v>
      </c>
      <c r="G788" s="301">
        <f>E788+F788</f>
        <v>1048000000.0000001</v>
      </c>
      <c r="H788" s="27">
        <f>G788/D788</f>
        <v>0.90344827586206911</v>
      </c>
      <c r="M788" s="27">
        <f>F788/G788</f>
        <v>0.11259541984732824</v>
      </c>
      <c r="O788" t="s">
        <v>943</v>
      </c>
      <c r="P788" s="323"/>
      <c r="R788" s="304" t="s">
        <v>1277</v>
      </c>
      <c r="S788" s="304" t="s">
        <v>142</v>
      </c>
      <c r="T788" s="304" t="s">
        <v>47</v>
      </c>
      <c r="U788" s="304" t="s">
        <v>47</v>
      </c>
      <c r="V788" s="334"/>
      <c r="W788" s="334"/>
      <c r="X788" s="334"/>
      <c r="Y788" s="334"/>
      <c r="Z788" s="334"/>
      <c r="AB788" s="334" t="s">
        <v>1739</v>
      </c>
      <c r="AC788" s="334" t="s">
        <v>1702</v>
      </c>
      <c r="AQ788" s="326"/>
      <c r="AR788" s="326"/>
      <c r="AS788" t="b">
        <v>1</v>
      </c>
      <c r="AT788"/>
      <c r="AU788"/>
      <c r="AV788"/>
    </row>
    <row r="789" spans="1:48">
      <c r="A789" s="277" t="s">
        <v>189</v>
      </c>
      <c r="B789" s="328" t="s">
        <v>1540</v>
      </c>
      <c r="C789" s="334">
        <f>'Quan 2010'!F19</f>
        <v>0.375</v>
      </c>
      <c r="D789" s="301">
        <f>'Quan 2010'!G19</f>
        <v>1110000000</v>
      </c>
      <c r="E789" s="301">
        <f>'Quan 2010'!H19</f>
        <v>690000000</v>
      </c>
      <c r="F789" s="301">
        <f>'Quan 2010'!I19</f>
        <v>77000000</v>
      </c>
      <c r="G789" s="301">
        <f>E789+F789</f>
        <v>767000000</v>
      </c>
      <c r="H789" s="336">
        <f>G789/D789</f>
        <v>0.69099099099099104</v>
      </c>
      <c r="M789" s="27">
        <f>F789/G789</f>
        <v>0.10039113428943937</v>
      </c>
      <c r="O789" t="s">
        <v>943</v>
      </c>
      <c r="P789" s="289"/>
      <c r="R789" s="304" t="s">
        <v>1277</v>
      </c>
      <c r="S789" s="304" t="s">
        <v>142</v>
      </c>
      <c r="T789" s="304" t="s">
        <v>47</v>
      </c>
      <c r="U789" s="304" t="s">
        <v>47</v>
      </c>
      <c r="V789" s="334"/>
      <c r="W789" s="334"/>
      <c r="X789" s="334"/>
      <c r="Y789" s="334"/>
      <c r="Z789" s="334"/>
      <c r="AB789" s="334" t="s">
        <v>1739</v>
      </c>
      <c r="AC789" s="334" t="s">
        <v>1702</v>
      </c>
      <c r="AQ789" s="326"/>
      <c r="AR789" s="326"/>
      <c r="AS789" t="b">
        <v>1</v>
      </c>
      <c r="AT789"/>
      <c r="AU789"/>
      <c r="AV789"/>
    </row>
    <row r="790" spans="1:48">
      <c r="A790" s="277" t="s">
        <v>189</v>
      </c>
      <c r="B790" s="328" t="s">
        <v>1540</v>
      </c>
      <c r="C790" s="334">
        <f>'Quan 2010'!F20</f>
        <v>0.40500000000000003</v>
      </c>
      <c r="D790" s="301">
        <f>'Quan 2010'!G20</f>
        <v>910000000</v>
      </c>
      <c r="E790" s="301">
        <f>'Quan 2010'!H20</f>
        <v>620000000</v>
      </c>
      <c r="F790" s="301">
        <f>'Quan 2010'!I20</f>
        <v>68000000</v>
      </c>
      <c r="G790" s="301">
        <f>E790+F790</f>
        <v>688000000</v>
      </c>
      <c r="H790" s="27">
        <f>G790/D790</f>
        <v>0.75604395604395602</v>
      </c>
      <c r="M790" s="27">
        <f>F790/G790</f>
        <v>9.8837209302325577E-2</v>
      </c>
      <c r="O790" t="s">
        <v>943</v>
      </c>
      <c r="P790" s="303"/>
      <c r="R790" s="304" t="s">
        <v>1277</v>
      </c>
      <c r="S790" s="304" t="s">
        <v>142</v>
      </c>
      <c r="T790" s="304" t="s">
        <v>47</v>
      </c>
      <c r="U790" s="304" t="s">
        <v>47</v>
      </c>
      <c r="V790" s="334"/>
      <c r="W790" s="334"/>
      <c r="X790" s="334"/>
      <c r="Y790" s="334"/>
      <c r="Z790" s="334"/>
      <c r="AB790" s="334" t="s">
        <v>1739</v>
      </c>
      <c r="AC790" s="334" t="s">
        <v>1702</v>
      </c>
      <c r="AQ790" s="326"/>
      <c r="AR790" s="326"/>
      <c r="AS790" t="b">
        <v>1</v>
      </c>
      <c r="AT790"/>
      <c r="AU790"/>
      <c r="AV790"/>
    </row>
    <row r="791" spans="1:48">
      <c r="A791" s="277" t="s">
        <v>189</v>
      </c>
      <c r="B791" s="328" t="s">
        <v>1540</v>
      </c>
      <c r="C791" s="334">
        <f>'Quan 2010'!F21</f>
        <v>0.43</v>
      </c>
      <c r="D791" s="301">
        <f>'Quan 2010'!G21</f>
        <v>800000000</v>
      </c>
      <c r="E791" s="301">
        <f>'Quan 2010'!H21</f>
        <v>770000000</v>
      </c>
      <c r="F791" s="301">
        <f>'Quan 2010'!I21</f>
        <v>65000000</v>
      </c>
      <c r="G791" s="301">
        <f>E791+F791</f>
        <v>835000000</v>
      </c>
      <c r="H791" s="336">
        <f>G791/D791</f>
        <v>1.04375</v>
      </c>
      <c r="M791" s="27">
        <f>F791/G791</f>
        <v>7.7844311377245512E-2</v>
      </c>
      <c r="O791" t="s">
        <v>943</v>
      </c>
      <c r="P791" s="303"/>
      <c r="R791" s="304" t="s">
        <v>1277</v>
      </c>
      <c r="S791" s="304" t="s">
        <v>142</v>
      </c>
      <c r="T791" s="304" t="s">
        <v>47</v>
      </c>
      <c r="U791" s="304" t="s">
        <v>47</v>
      </c>
      <c r="V791" s="334"/>
      <c r="W791" s="334"/>
      <c r="X791" s="334"/>
      <c r="Y791" s="334"/>
      <c r="Z791" s="334"/>
      <c r="AB791" s="334" t="s">
        <v>1739</v>
      </c>
      <c r="AC791" s="334" t="s">
        <v>1702</v>
      </c>
      <c r="AQ791" s="326"/>
      <c r="AR791" s="326"/>
      <c r="AS791" t="b">
        <v>1</v>
      </c>
      <c r="AT791"/>
      <c r="AU791"/>
      <c r="AV791"/>
    </row>
    <row r="792" spans="1:48">
      <c r="A792" s="277" t="s">
        <v>1368</v>
      </c>
      <c r="B792" s="334" t="s">
        <v>1683</v>
      </c>
      <c r="C792" s="334">
        <f>'FPT Ravenschlag 2001'!B6</f>
        <v>2.5000000000000001E-3</v>
      </c>
      <c r="D792" s="301">
        <f>'FPT Ravenschlag 2001'!C6</f>
        <v>2900000000</v>
      </c>
      <c r="E792" s="301">
        <f>'FPT Ravenschlag 2001'!G6</f>
        <v>1679100000</v>
      </c>
      <c r="F792" s="301">
        <f>'FPT Ravenschlag 2001'!I6</f>
        <v>185600000</v>
      </c>
      <c r="G792" s="301">
        <f>E792+F792</f>
        <v>1864700000</v>
      </c>
      <c r="H792" s="27">
        <f>G792/D792</f>
        <v>0.64300000000000002</v>
      </c>
      <c r="M792" s="27">
        <f>F792/G792</f>
        <v>9.9533437013996889E-2</v>
      </c>
      <c r="O792" t="s">
        <v>943</v>
      </c>
      <c r="P792" s="334"/>
      <c r="R792" s="304" t="s">
        <v>53</v>
      </c>
      <c r="S792" s="304" t="s">
        <v>52</v>
      </c>
      <c r="T792" s="304" t="s">
        <v>54</v>
      </c>
      <c r="U792" s="304" t="s">
        <v>54</v>
      </c>
      <c r="V792" s="313">
        <v>0.1</v>
      </c>
      <c r="W792" s="313">
        <v>0.35</v>
      </c>
      <c r="X792" s="306" t="s">
        <v>248</v>
      </c>
      <c r="Y792" s="334">
        <v>50</v>
      </c>
      <c r="Z792" s="315" t="s">
        <v>100</v>
      </c>
      <c r="AA792" s="313" t="s">
        <v>47</v>
      </c>
      <c r="AB792" s="334" t="s">
        <v>311</v>
      </c>
      <c r="AC792" s="334" t="s">
        <v>1702</v>
      </c>
      <c r="AE792" s="315"/>
      <c r="AQ792" s="326">
        <v>218</v>
      </c>
      <c r="AR792" s="326"/>
      <c r="AS792" t="b">
        <v>1</v>
      </c>
      <c r="AT792"/>
      <c r="AU792"/>
      <c r="AV792"/>
    </row>
    <row r="793" spans="1:48">
      <c r="A793" s="277" t="s">
        <v>1286</v>
      </c>
      <c r="B793" s="334" t="s">
        <v>1683</v>
      </c>
      <c r="C793" s="334">
        <f>'FPT Ravenschlag 2001'!B7</f>
        <v>7.4999999999999997E-3</v>
      </c>
      <c r="D793" s="301">
        <f>'FPT Ravenschlag 2001'!C7</f>
        <v>3500000000</v>
      </c>
      <c r="E793" s="301">
        <f>'FPT Ravenschlag 2001'!G7</f>
        <v>1956499999.9999998</v>
      </c>
      <c r="F793" s="301">
        <f>'FPT Ravenschlag 2001'!I7</f>
        <v>63000000.000000007</v>
      </c>
      <c r="G793" s="301">
        <f>E793+F793</f>
        <v>2019499999.9999998</v>
      </c>
      <c r="H793" s="27">
        <f>G793/D793</f>
        <v>0.57699999999999996</v>
      </c>
      <c r="M793" s="27">
        <f>F793/G793</f>
        <v>3.1195840554592728E-2</v>
      </c>
      <c r="O793" t="s">
        <v>943</v>
      </c>
      <c r="P793" s="328"/>
      <c r="R793" s="304" t="s">
        <v>53</v>
      </c>
      <c r="S793" s="304" t="s">
        <v>52</v>
      </c>
      <c r="T793" s="304" t="s">
        <v>54</v>
      </c>
      <c r="U793" s="304" t="s">
        <v>54</v>
      </c>
      <c r="V793" s="313">
        <v>0.1</v>
      </c>
      <c r="W793" s="313">
        <v>0.35</v>
      </c>
      <c r="X793" s="306" t="s">
        <v>248</v>
      </c>
      <c r="Y793" s="326">
        <v>50</v>
      </c>
      <c r="Z793" s="315" t="s">
        <v>100</v>
      </c>
      <c r="AB793" s="334" t="s">
        <v>311</v>
      </c>
      <c r="AC793" s="334" t="s">
        <v>1702</v>
      </c>
      <c r="AQ793" s="326">
        <v>218</v>
      </c>
      <c r="AR793" s="326"/>
      <c r="AS793" t="b">
        <v>1</v>
      </c>
      <c r="AT793"/>
      <c r="AU793"/>
      <c r="AV793"/>
    </row>
    <row r="794" spans="1:48">
      <c r="A794" s="277" t="s">
        <v>1286</v>
      </c>
      <c r="B794" s="334" t="s">
        <v>1683</v>
      </c>
      <c r="C794" s="334">
        <f>'FPT Ravenschlag 2001'!B8</f>
        <v>1.2500000000000001E-2</v>
      </c>
      <c r="D794" s="301">
        <f>'FPT Ravenschlag 2001'!C8</f>
        <v>3100000000</v>
      </c>
      <c r="E794" s="301">
        <f>'FPT Ravenschlag 2001'!G8</f>
        <v>1739100000.0000002</v>
      </c>
      <c r="F794" s="301">
        <f>'FPT Ravenschlag 2001'!I8</f>
        <v>89900000</v>
      </c>
      <c r="G794" s="301">
        <f>E794+F794</f>
        <v>1829000000.0000002</v>
      </c>
      <c r="H794" s="27">
        <f>G794/D794</f>
        <v>0.59000000000000008</v>
      </c>
      <c r="M794" s="27">
        <f>F794/G794</f>
        <v>4.9152542372881351E-2</v>
      </c>
      <c r="O794" t="s">
        <v>943</v>
      </c>
      <c r="P794" s="303"/>
      <c r="R794" s="304" t="s">
        <v>53</v>
      </c>
      <c r="S794" s="304" t="s">
        <v>52</v>
      </c>
      <c r="T794" s="304" t="s">
        <v>54</v>
      </c>
      <c r="U794" s="304" t="s">
        <v>54</v>
      </c>
      <c r="V794" s="313">
        <v>0.1</v>
      </c>
      <c r="W794" s="313">
        <v>0.35</v>
      </c>
      <c r="X794" s="306" t="s">
        <v>248</v>
      </c>
      <c r="Y794" s="326">
        <v>50</v>
      </c>
      <c r="Z794" s="315" t="s">
        <v>100</v>
      </c>
      <c r="AB794" s="334" t="s">
        <v>311</v>
      </c>
      <c r="AC794" s="334" t="s">
        <v>1702</v>
      </c>
      <c r="AQ794" s="326">
        <v>218</v>
      </c>
      <c r="AR794" s="326"/>
      <c r="AS794" t="b">
        <v>1</v>
      </c>
      <c r="AT794"/>
      <c r="AU794"/>
      <c r="AV794"/>
    </row>
    <row r="795" spans="1:48">
      <c r="A795" s="277" t="s">
        <v>1286</v>
      </c>
      <c r="B795" s="334" t="s">
        <v>1683</v>
      </c>
      <c r="C795" s="334">
        <f>'FPT Ravenschlag 2001'!B9</f>
        <v>1.7500000000000002E-2</v>
      </c>
      <c r="D795" s="301">
        <f>'FPT Ravenschlag 2001'!C9</f>
        <v>4200000000</v>
      </c>
      <c r="E795" s="301">
        <f>'FPT Ravenschlag 2001'!G9</f>
        <v>2230200000</v>
      </c>
      <c r="F795" s="301">
        <f>'FPT Ravenschlag 2001'!I9</f>
        <v>88200000</v>
      </c>
      <c r="G795" s="301">
        <f>E795+F795</f>
        <v>2318400000</v>
      </c>
      <c r="H795" s="27">
        <f>G795/D795</f>
        <v>0.55200000000000005</v>
      </c>
      <c r="M795" s="27">
        <f>F795/G795</f>
        <v>3.8043478260869568E-2</v>
      </c>
      <c r="O795" t="s">
        <v>943</v>
      </c>
      <c r="P795" s="289"/>
      <c r="R795" s="304" t="s">
        <v>53</v>
      </c>
      <c r="S795" s="304" t="s">
        <v>52</v>
      </c>
      <c r="T795" s="304" t="s">
        <v>54</v>
      </c>
      <c r="U795" s="304" t="s">
        <v>54</v>
      </c>
      <c r="V795" s="313">
        <v>0.1</v>
      </c>
      <c r="W795" s="313">
        <v>0.35</v>
      </c>
      <c r="X795" s="306" t="s">
        <v>248</v>
      </c>
      <c r="Y795" s="328">
        <v>50</v>
      </c>
      <c r="Z795" s="315" t="s">
        <v>100</v>
      </c>
      <c r="AB795" s="334" t="s">
        <v>311</v>
      </c>
      <c r="AC795" s="334" t="s">
        <v>1702</v>
      </c>
      <c r="AQ795" s="326">
        <v>218</v>
      </c>
      <c r="AR795" s="326"/>
      <c r="AS795" t="b">
        <v>1</v>
      </c>
      <c r="AT795"/>
      <c r="AU795"/>
      <c r="AV795"/>
    </row>
    <row r="796" spans="1:48">
      <c r="A796" s="277" t="s">
        <v>1286</v>
      </c>
      <c r="B796" s="328" t="s">
        <v>1683</v>
      </c>
      <c r="C796" s="334">
        <f>'FPT Ravenschlag 2001'!B10</f>
        <v>2.2499999999999999E-2</v>
      </c>
      <c r="D796" s="301">
        <f>'FPT Ravenschlag 2001'!C10</f>
        <v>4100000000</v>
      </c>
      <c r="E796" s="301">
        <f>'FPT Ravenschlag 2001'!G10</f>
        <v>2357500000</v>
      </c>
      <c r="F796" s="301">
        <f>'FPT Ravenschlag 2001'!I10</f>
        <v>73800000.000000015</v>
      </c>
      <c r="G796" s="301">
        <f>E796+F796</f>
        <v>2431300000</v>
      </c>
      <c r="H796" s="27">
        <f>G796/D796</f>
        <v>0.59299999999999997</v>
      </c>
      <c r="M796" s="27">
        <f>F796/G796</f>
        <v>3.0354131534569988E-2</v>
      </c>
      <c r="O796" t="s">
        <v>943</v>
      </c>
      <c r="P796" s="303"/>
      <c r="R796" s="304" t="s">
        <v>53</v>
      </c>
      <c r="S796" s="304" t="s">
        <v>52</v>
      </c>
      <c r="T796" s="304" t="s">
        <v>54</v>
      </c>
      <c r="U796" s="304" t="s">
        <v>54</v>
      </c>
      <c r="V796" s="313">
        <v>0.1</v>
      </c>
      <c r="W796" s="313">
        <v>0.35</v>
      </c>
      <c r="X796" s="306" t="s">
        <v>248</v>
      </c>
      <c r="Y796" s="326">
        <v>50</v>
      </c>
      <c r="Z796" s="315" t="s">
        <v>100</v>
      </c>
      <c r="AB796" s="334" t="s">
        <v>311</v>
      </c>
      <c r="AC796" s="334" t="s">
        <v>1702</v>
      </c>
      <c r="AQ796" s="326">
        <v>218</v>
      </c>
      <c r="AR796" s="326"/>
      <c r="AS796" t="b">
        <v>1</v>
      </c>
      <c r="AT796"/>
      <c r="AU796"/>
      <c r="AV796"/>
    </row>
    <row r="797" spans="1:48">
      <c r="A797" s="277" t="s">
        <v>1286</v>
      </c>
      <c r="B797" s="334" t="s">
        <v>1683</v>
      </c>
      <c r="C797" s="334">
        <f>'FPT Ravenschlag 2001'!B11</f>
        <v>2.75E-2</v>
      </c>
      <c r="D797" s="301">
        <f>'FPT Ravenschlag 2001'!C11</f>
        <v>3700000000</v>
      </c>
      <c r="E797" s="301">
        <f>'FPT Ravenschlag 2001'!G11</f>
        <v>1772300000</v>
      </c>
      <c r="F797" s="301">
        <f>'FPT Ravenschlag 2001'!I11</f>
        <v>51799999.999999993</v>
      </c>
      <c r="G797" s="301">
        <f>E797+F797</f>
        <v>1824100000</v>
      </c>
      <c r="H797" s="27">
        <f>G797/D797</f>
        <v>0.49299999999999999</v>
      </c>
      <c r="M797" s="27">
        <f>F797/G797</f>
        <v>2.8397565922920889E-2</v>
      </c>
      <c r="O797" t="s">
        <v>943</v>
      </c>
      <c r="P797" s="303"/>
      <c r="R797" s="304" t="s">
        <v>53</v>
      </c>
      <c r="S797" s="304" t="s">
        <v>52</v>
      </c>
      <c r="T797" s="304" t="s">
        <v>54</v>
      </c>
      <c r="U797" s="304" t="s">
        <v>54</v>
      </c>
      <c r="V797" s="313">
        <v>0.1</v>
      </c>
      <c r="W797" s="313">
        <v>0.35</v>
      </c>
      <c r="X797" s="306" t="s">
        <v>248</v>
      </c>
      <c r="Y797" s="328">
        <v>50</v>
      </c>
      <c r="Z797" s="315" t="s">
        <v>100</v>
      </c>
      <c r="AB797" s="334" t="s">
        <v>311</v>
      </c>
      <c r="AC797" s="334" t="s">
        <v>1702</v>
      </c>
      <c r="AQ797" s="326">
        <v>218</v>
      </c>
      <c r="AR797" s="326"/>
      <c r="AS797" t="b">
        <v>1</v>
      </c>
      <c r="AT797"/>
      <c r="AU797"/>
      <c r="AV797"/>
    </row>
    <row r="798" spans="1:48">
      <c r="A798" s="277" t="s">
        <v>1286</v>
      </c>
      <c r="B798" s="334" t="s">
        <v>1683</v>
      </c>
      <c r="C798" s="334">
        <f>'FPT Ravenschlag 2001'!B12</f>
        <v>3.2500000000000001E-2</v>
      </c>
      <c r="D798" s="301">
        <f>'FPT Ravenschlag 2001'!C12</f>
        <v>2700000000</v>
      </c>
      <c r="E798" s="301">
        <f>'FPT Ravenschlag 2001'!G12</f>
        <v>1179900000.0000002</v>
      </c>
      <c r="F798" s="301">
        <f>'FPT Ravenschlag 2001'!I12</f>
        <v>37799999.999999993</v>
      </c>
      <c r="G798" s="301">
        <f>E798+F798</f>
        <v>1217700000.0000002</v>
      </c>
      <c r="H798" s="27">
        <f>G798/D798</f>
        <v>0.45100000000000007</v>
      </c>
      <c r="M798" s="27">
        <f>F798/G798</f>
        <v>3.1042128603104201E-2</v>
      </c>
      <c r="O798" t="s">
        <v>943</v>
      </c>
      <c r="P798" s="303"/>
      <c r="R798" s="304" t="s">
        <v>53</v>
      </c>
      <c r="S798" s="304" t="s">
        <v>52</v>
      </c>
      <c r="T798" s="304" t="s">
        <v>54</v>
      </c>
      <c r="U798" s="304" t="s">
        <v>54</v>
      </c>
      <c r="V798" s="313">
        <v>0.1</v>
      </c>
      <c r="W798" s="313">
        <v>0.35</v>
      </c>
      <c r="X798" s="306" t="s">
        <v>248</v>
      </c>
      <c r="Y798" s="326">
        <v>50</v>
      </c>
      <c r="Z798" s="315" t="s">
        <v>100</v>
      </c>
      <c r="AB798" s="334" t="s">
        <v>311</v>
      </c>
      <c r="AC798" s="334" t="s">
        <v>1702</v>
      </c>
      <c r="AQ798" s="326">
        <v>218</v>
      </c>
      <c r="AR798" s="326"/>
      <c r="AS798" t="b">
        <v>1</v>
      </c>
      <c r="AT798"/>
      <c r="AU798"/>
      <c r="AV798"/>
    </row>
    <row r="799" spans="1:48">
      <c r="A799" s="277" t="s">
        <v>1286</v>
      </c>
      <c r="B799" s="328" t="s">
        <v>1683</v>
      </c>
      <c r="C799" s="334">
        <f>'FPT Ravenschlag 2001'!B13</f>
        <v>3.7499999999999999E-2</v>
      </c>
      <c r="D799" s="301">
        <f>'FPT Ravenschlag 2001'!C13</f>
        <v>3100000000</v>
      </c>
      <c r="E799" s="301">
        <f>'FPT Ravenschlag 2001'!G13</f>
        <v>1326800000</v>
      </c>
      <c r="F799" s="301">
        <f>'FPT Ravenschlag 2001'!I13</f>
        <v>43399999.999999993</v>
      </c>
      <c r="G799" s="301">
        <f>E799+F799</f>
        <v>1370200000</v>
      </c>
      <c r="H799" s="27">
        <f>G799/D799</f>
        <v>0.442</v>
      </c>
      <c r="M799" s="27">
        <f>F799/G799</f>
        <v>3.1674208144796372E-2</v>
      </c>
      <c r="O799" t="s">
        <v>943</v>
      </c>
      <c r="P799" s="289"/>
      <c r="R799" s="304" t="s">
        <v>53</v>
      </c>
      <c r="S799" s="304" t="s">
        <v>52</v>
      </c>
      <c r="T799" s="304" t="s">
        <v>54</v>
      </c>
      <c r="U799" s="304" t="s">
        <v>54</v>
      </c>
      <c r="V799" s="313">
        <v>0.1</v>
      </c>
      <c r="W799" s="313">
        <v>0.35</v>
      </c>
      <c r="X799" s="306" t="s">
        <v>248</v>
      </c>
      <c r="Y799" s="328">
        <v>50</v>
      </c>
      <c r="Z799" s="315" t="s">
        <v>100</v>
      </c>
      <c r="AB799" s="334" t="s">
        <v>311</v>
      </c>
      <c r="AC799" s="334" t="s">
        <v>1702</v>
      </c>
      <c r="AQ799" s="326">
        <v>218</v>
      </c>
      <c r="AR799" s="326"/>
      <c r="AS799" t="b">
        <v>1</v>
      </c>
      <c r="AT799"/>
      <c r="AU799"/>
      <c r="AV799"/>
    </row>
    <row r="800" spans="1:48">
      <c r="A800" s="277" t="s">
        <v>1286</v>
      </c>
      <c r="B800" s="334" t="s">
        <v>1683</v>
      </c>
      <c r="C800" s="334">
        <f>'FPT Ravenschlag 2001'!B14</f>
        <v>4.2500000000000003E-2</v>
      </c>
      <c r="D800" s="301">
        <f>'FPT Ravenschlag 2001'!C14</f>
        <v>3500000000</v>
      </c>
      <c r="E800" s="301">
        <f>'FPT Ravenschlag 2001'!G14</f>
        <v>1522500000</v>
      </c>
      <c r="F800" s="301">
        <f>'FPT Ravenschlag 2001'!I14</f>
        <v>48999999.999999993</v>
      </c>
      <c r="G800" s="301">
        <f>E800+F800</f>
        <v>1571500000</v>
      </c>
      <c r="H800" s="27">
        <f>G800/D800</f>
        <v>0.44900000000000001</v>
      </c>
      <c r="M800" s="27">
        <f>F800/G800</f>
        <v>3.1180400890868591E-2</v>
      </c>
      <c r="O800" t="s">
        <v>943</v>
      </c>
      <c r="P800" s="327"/>
      <c r="R800" s="304" t="s">
        <v>53</v>
      </c>
      <c r="S800" s="304" t="s">
        <v>52</v>
      </c>
      <c r="T800" s="304" t="s">
        <v>54</v>
      </c>
      <c r="U800" s="304" t="s">
        <v>54</v>
      </c>
      <c r="V800" s="313">
        <v>0.1</v>
      </c>
      <c r="W800" s="313">
        <v>0.35</v>
      </c>
      <c r="X800" s="306" t="s">
        <v>248</v>
      </c>
      <c r="Y800" s="334">
        <v>50</v>
      </c>
      <c r="Z800" s="315" t="s">
        <v>100</v>
      </c>
      <c r="AB800" s="334" t="s">
        <v>311</v>
      </c>
      <c r="AC800" s="334" t="s">
        <v>1702</v>
      </c>
      <c r="AQ800">
        <v>218</v>
      </c>
      <c r="AR800" s="326"/>
      <c r="AS800" t="b">
        <v>1</v>
      </c>
      <c r="AT800"/>
      <c r="AU800"/>
      <c r="AV800"/>
    </row>
    <row r="801" spans="1:48">
      <c r="A801" s="277" t="s">
        <v>1286</v>
      </c>
      <c r="B801" s="334" t="s">
        <v>1683</v>
      </c>
      <c r="C801" s="334">
        <f>'FPT Ravenschlag 2001'!B15</f>
        <v>4.7500000000000001E-2</v>
      </c>
      <c r="D801" s="301">
        <f>'FPT Ravenschlag 2001'!C15</f>
        <v>3400000000</v>
      </c>
      <c r="E801" s="301">
        <f>'FPT Ravenschlag 2001'!G15</f>
        <v>965599999.99999988</v>
      </c>
      <c r="F801" s="301">
        <f>'FPT Ravenschlag 2001'!I15</f>
        <v>47599999.999999993</v>
      </c>
      <c r="G801" s="301">
        <f>E801+F801</f>
        <v>1013199999.9999999</v>
      </c>
      <c r="H801" s="27">
        <f>G801/D801</f>
        <v>0.29799999999999999</v>
      </c>
      <c r="M801" s="27">
        <f>F801/G801</f>
        <v>4.6979865771812082E-2</v>
      </c>
      <c r="O801" t="s">
        <v>943</v>
      </c>
      <c r="P801" s="323"/>
      <c r="R801" s="304" t="s">
        <v>53</v>
      </c>
      <c r="S801" s="304" t="s">
        <v>52</v>
      </c>
      <c r="T801" s="304" t="s">
        <v>54</v>
      </c>
      <c r="U801" s="304" t="s">
        <v>54</v>
      </c>
      <c r="V801" s="313">
        <v>0.1</v>
      </c>
      <c r="W801" s="313">
        <v>0.35</v>
      </c>
      <c r="X801" s="306" t="s">
        <v>248</v>
      </c>
      <c r="Y801" s="334">
        <v>50</v>
      </c>
      <c r="Z801" s="315" t="s">
        <v>100</v>
      </c>
      <c r="AB801" s="334" t="s">
        <v>311</v>
      </c>
      <c r="AC801" s="334" t="s">
        <v>1702</v>
      </c>
      <c r="AQ801" s="326">
        <v>218</v>
      </c>
      <c r="AR801" s="326"/>
      <c r="AS801" t="b">
        <v>1</v>
      </c>
      <c r="AT801"/>
      <c r="AU801"/>
      <c r="AV801"/>
    </row>
    <row r="802" spans="1:48">
      <c r="A802" s="277" t="s">
        <v>1286</v>
      </c>
      <c r="B802" s="328" t="s">
        <v>1683</v>
      </c>
      <c r="C802" s="334">
        <f>'FPT Ravenschlag 2001'!B16</f>
        <v>5.5E-2</v>
      </c>
      <c r="D802" s="301">
        <f>'FPT Ravenschlag 2001'!C16</f>
        <v>3500000000</v>
      </c>
      <c r="E802" s="301">
        <f>'FPT Ravenschlag 2001'!G16</f>
        <v>910000000</v>
      </c>
      <c r="G802" s="301">
        <f>E802+F802</f>
        <v>910000000</v>
      </c>
      <c r="H802" s="27">
        <f>G802/D802</f>
        <v>0.26</v>
      </c>
      <c r="M802" s="27">
        <f>F802/G802</f>
        <v>0</v>
      </c>
      <c r="O802" t="s">
        <v>943</v>
      </c>
      <c r="P802" s="303"/>
      <c r="Q802" s="301" t="b">
        <v>1</v>
      </c>
      <c r="R802" s="304" t="s">
        <v>53</v>
      </c>
      <c r="S802" s="304" t="s">
        <v>52</v>
      </c>
      <c r="T802" s="304" t="s">
        <v>54</v>
      </c>
      <c r="U802" s="304" t="s">
        <v>54</v>
      </c>
      <c r="V802" s="313">
        <v>0.1</v>
      </c>
      <c r="W802" s="313">
        <v>0.35</v>
      </c>
      <c r="X802" s="306" t="s">
        <v>248</v>
      </c>
      <c r="Y802" s="334">
        <v>50</v>
      </c>
      <c r="Z802" s="315" t="s">
        <v>100</v>
      </c>
      <c r="AB802" s="334" t="s">
        <v>311</v>
      </c>
      <c r="AC802" s="334" t="s">
        <v>1702</v>
      </c>
      <c r="AQ802" s="326">
        <v>218</v>
      </c>
      <c r="AR802" s="326"/>
      <c r="AS802" t="b">
        <v>1</v>
      </c>
      <c r="AT802"/>
      <c r="AU802"/>
      <c r="AV802"/>
    </row>
    <row r="803" spans="1:48">
      <c r="A803" s="277" t="s">
        <v>1286</v>
      </c>
      <c r="B803" s="328" t="s">
        <v>1683</v>
      </c>
      <c r="C803" s="334">
        <f>'FPT Ravenschlag 2001'!B17</f>
        <v>6.5000000000000002E-2</v>
      </c>
      <c r="D803" s="301">
        <f>'FPT Ravenschlag 2001'!C17</f>
        <v>3700000000</v>
      </c>
      <c r="E803" s="301">
        <f>'FPT Ravenschlag 2001'!G17</f>
        <v>891700000.00000012</v>
      </c>
      <c r="G803" s="301">
        <f>E803+F803</f>
        <v>891700000.00000012</v>
      </c>
      <c r="H803" s="27">
        <f>G803/D803</f>
        <v>0.24100000000000002</v>
      </c>
      <c r="M803" s="27">
        <f>F803/G803</f>
        <v>0</v>
      </c>
      <c r="O803" t="s">
        <v>943</v>
      </c>
      <c r="P803" s="325"/>
      <c r="Q803" s="301" t="b">
        <v>1</v>
      </c>
      <c r="R803" s="304" t="s">
        <v>53</v>
      </c>
      <c r="S803" s="304" t="s">
        <v>52</v>
      </c>
      <c r="T803" s="304" t="s">
        <v>54</v>
      </c>
      <c r="U803" s="304" t="s">
        <v>54</v>
      </c>
      <c r="V803" s="313">
        <v>0.1</v>
      </c>
      <c r="W803" s="313">
        <v>0.35</v>
      </c>
      <c r="X803" s="306" t="s">
        <v>248</v>
      </c>
      <c r="Y803" s="334">
        <v>50</v>
      </c>
      <c r="Z803" s="315" t="s">
        <v>100</v>
      </c>
      <c r="AB803" s="334" t="s">
        <v>311</v>
      </c>
      <c r="AC803" s="334" t="s">
        <v>1702</v>
      </c>
      <c r="AQ803" s="326">
        <v>218</v>
      </c>
      <c r="AR803" s="326"/>
      <c r="AS803" t="b">
        <v>1</v>
      </c>
      <c r="AT803"/>
      <c r="AU803"/>
      <c r="AV803"/>
    </row>
    <row r="804" spans="1:48">
      <c r="A804" s="277" t="s">
        <v>1286</v>
      </c>
      <c r="B804" s="328" t="s">
        <v>1683</v>
      </c>
      <c r="C804" s="334">
        <f>'FPT Ravenschlag 2001'!B18</f>
        <v>7.4999999999999997E-2</v>
      </c>
      <c r="D804" s="301">
        <f>'FPT Ravenschlag 2001'!C18</f>
        <v>4700000000</v>
      </c>
      <c r="E804" s="301">
        <f>'FPT Ravenschlag 2001'!G18</f>
        <v>1109200000</v>
      </c>
      <c r="G804" s="301">
        <f>E804+F804</f>
        <v>1109200000</v>
      </c>
      <c r="H804" s="27">
        <f>G804/D804</f>
        <v>0.23599999999999999</v>
      </c>
      <c r="M804" s="27">
        <f>F804/G804</f>
        <v>0</v>
      </c>
      <c r="O804" t="s">
        <v>943</v>
      </c>
      <c r="P804" s="325"/>
      <c r="Q804" s="301" t="b">
        <v>1</v>
      </c>
      <c r="R804" s="304" t="s">
        <v>53</v>
      </c>
      <c r="S804" s="304" t="s">
        <v>52</v>
      </c>
      <c r="T804" s="304" t="s">
        <v>54</v>
      </c>
      <c r="U804" s="304" t="s">
        <v>54</v>
      </c>
      <c r="V804" s="313">
        <v>0.1</v>
      </c>
      <c r="W804" s="313">
        <v>0.35</v>
      </c>
      <c r="X804" s="306" t="s">
        <v>248</v>
      </c>
      <c r="Y804" s="334">
        <v>50</v>
      </c>
      <c r="Z804" s="315" t="s">
        <v>100</v>
      </c>
      <c r="AB804" s="334" t="s">
        <v>311</v>
      </c>
      <c r="AC804" s="334" t="s">
        <v>1702</v>
      </c>
      <c r="AQ804" s="326">
        <v>218</v>
      </c>
      <c r="AR804" s="326"/>
      <c r="AS804" t="b">
        <v>1</v>
      </c>
      <c r="AT804"/>
      <c r="AU804"/>
      <c r="AV804"/>
    </row>
    <row r="805" spans="1:48">
      <c r="A805" s="277" t="s">
        <v>1286</v>
      </c>
      <c r="B805" s="334" t="s">
        <v>1683</v>
      </c>
      <c r="C805" s="334">
        <f>'FPT Ravenschlag 2001'!B19</f>
        <v>8.5000000000000006E-2</v>
      </c>
      <c r="D805" s="301">
        <f>'FPT Ravenschlag 2001'!C19</f>
        <v>2900000000</v>
      </c>
      <c r="E805" s="301">
        <f>'FPT Ravenschlag 2001'!G19</f>
        <v>838099999.99999988</v>
      </c>
      <c r="F805" s="301">
        <f>'FPT Ravenschlag 2001'!I19</f>
        <v>29000000</v>
      </c>
      <c r="G805" s="301">
        <f>E805+F805</f>
        <v>867099999.99999988</v>
      </c>
      <c r="H805" s="27">
        <f>G805/D805</f>
        <v>0.29899999999999993</v>
      </c>
      <c r="M805" s="27">
        <f>F805/G805</f>
        <v>3.3444816053511711E-2</v>
      </c>
      <c r="O805" t="s">
        <v>943</v>
      </c>
      <c r="P805" s="289"/>
      <c r="R805" s="304" t="s">
        <v>53</v>
      </c>
      <c r="S805" s="304" t="s">
        <v>52</v>
      </c>
      <c r="T805" s="304" t="s">
        <v>54</v>
      </c>
      <c r="U805" s="304" t="s">
        <v>54</v>
      </c>
      <c r="V805" s="313">
        <v>0.1</v>
      </c>
      <c r="W805" s="313">
        <v>0.35</v>
      </c>
      <c r="X805" s="306" t="s">
        <v>248</v>
      </c>
      <c r="Y805" s="334">
        <v>50</v>
      </c>
      <c r="Z805" s="315" t="s">
        <v>100</v>
      </c>
      <c r="AB805" s="334" t="s">
        <v>311</v>
      </c>
      <c r="AC805" s="334" t="s">
        <v>1702</v>
      </c>
      <c r="AQ805" s="326">
        <v>218</v>
      </c>
      <c r="AR805" s="326"/>
      <c r="AS805" t="b">
        <v>1</v>
      </c>
      <c r="AT805"/>
      <c r="AU805"/>
      <c r="AV805"/>
    </row>
    <row r="806" spans="1:48">
      <c r="A806" s="277" t="s">
        <v>1286</v>
      </c>
      <c r="B806" s="328" t="s">
        <v>1683</v>
      </c>
      <c r="C806" s="334">
        <f>'FPT Ravenschlag 2001'!B20</f>
        <v>9.5000000000000001E-2</v>
      </c>
      <c r="D806" s="301">
        <f>'FPT Ravenschlag 2001'!C20</f>
        <v>3700000000</v>
      </c>
      <c r="E806" s="301">
        <f>'FPT Ravenschlag 2001'!G20</f>
        <v>814000000</v>
      </c>
      <c r="F806" s="301">
        <f>'FPT Ravenschlag 2001'!I20</f>
        <v>37000000</v>
      </c>
      <c r="G806" s="301">
        <f>E806+F806</f>
        <v>851000000</v>
      </c>
      <c r="H806" s="27">
        <f>G806/D806</f>
        <v>0.23</v>
      </c>
      <c r="M806" s="27">
        <f>F806/G806</f>
        <v>4.3478260869565216E-2</v>
      </c>
      <c r="O806" t="s">
        <v>943</v>
      </c>
      <c r="P806" s="303"/>
      <c r="R806" s="304" t="s">
        <v>53</v>
      </c>
      <c r="S806" s="304" t="s">
        <v>52</v>
      </c>
      <c r="T806" s="304" t="s">
        <v>54</v>
      </c>
      <c r="U806" s="304" t="s">
        <v>54</v>
      </c>
      <c r="V806" s="313">
        <v>0.1</v>
      </c>
      <c r="W806" s="313">
        <v>0.35</v>
      </c>
      <c r="X806" s="306" t="s">
        <v>248</v>
      </c>
      <c r="Y806" s="334">
        <v>50</v>
      </c>
      <c r="Z806" s="315" t="s">
        <v>100</v>
      </c>
      <c r="AB806" s="334" t="s">
        <v>311</v>
      </c>
      <c r="AC806" s="334" t="s">
        <v>1702</v>
      </c>
      <c r="AQ806" s="326">
        <v>218</v>
      </c>
      <c r="AR806" s="326"/>
      <c r="AS806" t="b">
        <v>1</v>
      </c>
      <c r="AT806"/>
      <c r="AU806"/>
      <c r="AV806"/>
    </row>
    <row r="807" spans="1:48">
      <c r="A807" s="277" t="s">
        <v>1286</v>
      </c>
      <c r="B807" s="334" t="s">
        <v>1683</v>
      </c>
      <c r="C807" s="334">
        <f>'FPT Ravenschlag 2001'!B21</f>
        <v>0.11</v>
      </c>
      <c r="D807" s="301">
        <f>'FPT Ravenschlag 2001'!C21</f>
        <v>3900000000</v>
      </c>
      <c r="F807" s="301">
        <f>'FPT Ravenschlag 2001'!I21</f>
        <v>66300000.000000007</v>
      </c>
      <c r="O807" t="s">
        <v>943</v>
      </c>
      <c r="P807" s="303"/>
      <c r="R807" s="304" t="s">
        <v>53</v>
      </c>
      <c r="S807" s="304" t="s">
        <v>52</v>
      </c>
      <c r="T807" s="304" t="s">
        <v>54</v>
      </c>
      <c r="U807" s="304" t="s">
        <v>54</v>
      </c>
      <c r="V807" s="313">
        <v>0.1</v>
      </c>
      <c r="W807" s="313">
        <v>0.35</v>
      </c>
      <c r="X807" s="306" t="s">
        <v>248</v>
      </c>
      <c r="Y807" s="334">
        <v>50</v>
      </c>
      <c r="Z807" s="315" t="s">
        <v>100</v>
      </c>
      <c r="AB807" s="334" t="s">
        <v>311</v>
      </c>
      <c r="AC807" s="334" t="s">
        <v>1702</v>
      </c>
      <c r="AQ807" s="326">
        <v>218</v>
      </c>
      <c r="AR807" s="326"/>
      <c r="AS807" t="b">
        <v>1</v>
      </c>
      <c r="AT807"/>
      <c r="AU807"/>
      <c r="AV807"/>
    </row>
    <row r="808" spans="1:48">
      <c r="A808" s="277" t="s">
        <v>1286</v>
      </c>
      <c r="B808" s="334" t="s">
        <v>1683</v>
      </c>
      <c r="C808" s="334">
        <f>'FPT Ravenschlag 2001'!B22</f>
        <v>0.13</v>
      </c>
      <c r="D808" s="301">
        <f>'FPT Ravenschlag 2001'!C22</f>
        <v>2700000000</v>
      </c>
      <c r="F808" s="301">
        <f>'FPT Ravenschlag 2001'!I22</f>
        <v>16200000</v>
      </c>
      <c r="O808" t="s">
        <v>943</v>
      </c>
      <c r="P808" s="303"/>
      <c r="R808" s="304" t="s">
        <v>53</v>
      </c>
      <c r="S808" s="304" t="s">
        <v>52</v>
      </c>
      <c r="T808" s="304" t="s">
        <v>54</v>
      </c>
      <c r="U808" s="304" t="s">
        <v>54</v>
      </c>
      <c r="V808" s="313">
        <v>0.1</v>
      </c>
      <c r="W808" s="313">
        <v>0.35</v>
      </c>
      <c r="X808" s="306" t="s">
        <v>248</v>
      </c>
      <c r="Y808" s="334">
        <v>50</v>
      </c>
      <c r="Z808" s="315" t="s">
        <v>100</v>
      </c>
      <c r="AB808" s="334" t="s">
        <v>311</v>
      </c>
      <c r="AC808" s="334" t="s">
        <v>1702</v>
      </c>
      <c r="AQ808" s="326">
        <v>218</v>
      </c>
      <c r="AR808" s="326"/>
      <c r="AS808" t="b">
        <v>1</v>
      </c>
      <c r="AT808"/>
      <c r="AU808"/>
      <c r="AV808"/>
    </row>
    <row r="809" spans="1:48">
      <c r="A809" s="277" t="s">
        <v>1286</v>
      </c>
      <c r="B809" s="334" t="s">
        <v>1683</v>
      </c>
      <c r="C809" s="334">
        <f>'FPT Ravenschlag 2001'!B23</f>
        <v>0.15</v>
      </c>
      <c r="D809" s="301">
        <f>'FPT Ravenschlag 2001'!C23</f>
        <v>2500000000</v>
      </c>
      <c r="F809" s="301">
        <f>'FPT Ravenschlag 2001'!I23</f>
        <v>15000000</v>
      </c>
      <c r="O809" t="s">
        <v>943</v>
      </c>
      <c r="P809" s="303"/>
      <c r="R809" s="304" t="s">
        <v>53</v>
      </c>
      <c r="S809" s="304" t="s">
        <v>52</v>
      </c>
      <c r="T809" s="304" t="s">
        <v>54</v>
      </c>
      <c r="U809" s="304" t="s">
        <v>54</v>
      </c>
      <c r="V809" s="313">
        <v>0.1</v>
      </c>
      <c r="W809" s="313">
        <v>0.35</v>
      </c>
      <c r="X809" s="306" t="s">
        <v>248</v>
      </c>
      <c r="Y809" s="334">
        <v>50</v>
      </c>
      <c r="Z809" s="315" t="s">
        <v>100</v>
      </c>
      <c r="AB809" s="334" t="s">
        <v>311</v>
      </c>
      <c r="AC809" s="334" t="s">
        <v>1702</v>
      </c>
      <c r="AQ809" s="326">
        <v>218</v>
      </c>
      <c r="AR809" s="326"/>
      <c r="AS809" t="b">
        <v>1</v>
      </c>
      <c r="AT809"/>
      <c r="AU809"/>
      <c r="AV809"/>
    </row>
    <row r="810" spans="1:48">
      <c r="A810" s="277" t="s">
        <v>1286</v>
      </c>
      <c r="B810" s="328" t="s">
        <v>1683</v>
      </c>
      <c r="C810" s="334">
        <f>'FPT Ravenschlag 2001'!B24</f>
        <v>0.17</v>
      </c>
      <c r="D810" s="301">
        <f>'FPT Ravenschlag 2001'!C24</f>
        <v>3300000000</v>
      </c>
      <c r="O810" t="s">
        <v>943</v>
      </c>
      <c r="P810" s="325"/>
      <c r="R810" s="304" t="s">
        <v>53</v>
      </c>
      <c r="S810" s="304" t="s">
        <v>52</v>
      </c>
      <c r="T810" s="304" t="s">
        <v>54</v>
      </c>
      <c r="U810" s="304" t="s">
        <v>54</v>
      </c>
      <c r="V810" s="313">
        <v>0.1</v>
      </c>
      <c r="W810" s="313">
        <v>0.35</v>
      </c>
      <c r="X810" s="306" t="s">
        <v>248</v>
      </c>
      <c r="Y810" s="334">
        <v>50</v>
      </c>
      <c r="Z810" s="315" t="s">
        <v>100</v>
      </c>
      <c r="AB810" s="334" t="s">
        <v>311</v>
      </c>
      <c r="AC810" s="334" t="s">
        <v>1702</v>
      </c>
      <c r="AQ810" s="326">
        <v>218</v>
      </c>
      <c r="AR810" s="326"/>
      <c r="AS810" t="b">
        <v>1</v>
      </c>
      <c r="AT810"/>
      <c r="AU810"/>
      <c r="AV810"/>
    </row>
    <row r="811" spans="1:48">
      <c r="A811" s="277" t="s">
        <v>1286</v>
      </c>
      <c r="B811" s="328" t="s">
        <v>1683</v>
      </c>
      <c r="C811" s="334">
        <f>'FPT Ravenschlag 2001'!B25</f>
        <v>0.19</v>
      </c>
      <c r="D811" s="301">
        <f>'FPT Ravenschlag 2001'!C25</f>
        <v>2700000000</v>
      </c>
      <c r="O811" t="s">
        <v>943</v>
      </c>
      <c r="P811" s="325"/>
      <c r="R811" s="304" t="s">
        <v>53</v>
      </c>
      <c r="S811" s="304" t="s">
        <v>52</v>
      </c>
      <c r="T811" s="304" t="s">
        <v>54</v>
      </c>
      <c r="U811" s="304" t="s">
        <v>54</v>
      </c>
      <c r="V811" s="313">
        <v>0.1</v>
      </c>
      <c r="W811" s="313">
        <v>0.35</v>
      </c>
      <c r="X811" s="306" t="s">
        <v>248</v>
      </c>
      <c r="Y811" s="334">
        <v>50</v>
      </c>
      <c r="Z811" s="315" t="s">
        <v>100</v>
      </c>
      <c r="AB811" s="334" t="s">
        <v>311</v>
      </c>
      <c r="AC811" s="334" t="s">
        <v>1702</v>
      </c>
      <c r="AQ811" s="326">
        <v>218</v>
      </c>
      <c r="AR811" s="326"/>
      <c r="AS811" t="b">
        <v>1</v>
      </c>
      <c r="AT811"/>
      <c r="AU811"/>
      <c r="AV811"/>
    </row>
    <row r="812" spans="1:48">
      <c r="A812" s="277" t="s">
        <v>1286</v>
      </c>
      <c r="B812" s="334" t="s">
        <v>1684</v>
      </c>
      <c r="C812" s="334">
        <f>'FPT Ravenschlag 2001'!B33</f>
        <v>2.5000000000000001E-3</v>
      </c>
      <c r="D812" s="301">
        <f>'FPT Ravenschlag 2001'!C33</f>
        <v>2100000000</v>
      </c>
      <c r="E812" s="301">
        <f>'FPT Ravenschlag 2001'!G33</f>
        <v>1530900000.0000002</v>
      </c>
      <c r="F812" s="301">
        <f>'FPT Ravenschlag 2001'!I33</f>
        <v>69300000</v>
      </c>
      <c r="G812" s="301">
        <f>E812+F812</f>
        <v>1600200000.0000002</v>
      </c>
      <c r="H812" s="27">
        <f>G812/D812</f>
        <v>0.76200000000000012</v>
      </c>
      <c r="M812" s="27">
        <f>F812/G812</f>
        <v>4.3307086614173221E-2</v>
      </c>
      <c r="O812" t="s">
        <v>943</v>
      </c>
      <c r="P812" s="328"/>
      <c r="R812" s="304" t="s">
        <v>53</v>
      </c>
      <c r="S812" s="304" t="s">
        <v>52</v>
      </c>
      <c r="T812" s="304" t="s">
        <v>54</v>
      </c>
      <c r="U812" s="304" t="s">
        <v>54</v>
      </c>
      <c r="V812" s="313">
        <v>0.1</v>
      </c>
      <c r="W812" s="313">
        <v>0.35</v>
      </c>
      <c r="X812" s="306" t="s">
        <v>248</v>
      </c>
      <c r="Y812" s="334">
        <v>50</v>
      </c>
      <c r="Z812" s="315" t="s">
        <v>100</v>
      </c>
      <c r="AB812" s="334" t="s">
        <v>311</v>
      </c>
      <c r="AC812" s="334" t="s">
        <v>1702</v>
      </c>
      <c r="AQ812" s="326">
        <v>218</v>
      </c>
      <c r="AR812" s="326"/>
      <c r="AS812" t="b">
        <v>1</v>
      </c>
      <c r="AT812"/>
      <c r="AU812"/>
      <c r="AV812"/>
    </row>
    <row r="813" spans="1:48">
      <c r="A813" s="277" t="s">
        <v>1286</v>
      </c>
      <c r="B813" s="334" t="s">
        <v>1684</v>
      </c>
      <c r="C813" s="334">
        <f>'FPT Ravenschlag 2001'!B34</f>
        <v>7.4999999999999997E-3</v>
      </c>
      <c r="D813" s="301">
        <f>'FPT Ravenschlag 2001'!C34</f>
        <v>3300000000</v>
      </c>
      <c r="E813" s="301">
        <f>'FPT Ravenschlag 2001'!G34</f>
        <v>2428800000</v>
      </c>
      <c r="F813" s="301">
        <f>'FPT Ravenschlag 2001'!I34</f>
        <v>59400000.000000007</v>
      </c>
      <c r="G813" s="301">
        <f>E813+F813</f>
        <v>2488200000</v>
      </c>
      <c r="H813" s="27">
        <f>G813/D813</f>
        <v>0.754</v>
      </c>
      <c r="M813" s="27">
        <f>F813/G813</f>
        <v>2.387267904509284E-2</v>
      </c>
      <c r="O813" t="s">
        <v>943</v>
      </c>
      <c r="P813" s="303"/>
      <c r="R813" s="304" t="s">
        <v>53</v>
      </c>
      <c r="S813" s="304" t="s">
        <v>52</v>
      </c>
      <c r="T813" s="304" t="s">
        <v>54</v>
      </c>
      <c r="U813" s="304" t="s">
        <v>54</v>
      </c>
      <c r="V813" s="313">
        <v>0.1</v>
      </c>
      <c r="W813" s="313">
        <v>0.35</v>
      </c>
      <c r="X813" s="306" t="s">
        <v>248</v>
      </c>
      <c r="Y813" s="334">
        <v>50</v>
      </c>
      <c r="Z813" s="315" t="s">
        <v>100</v>
      </c>
      <c r="AB813" s="334" t="s">
        <v>311</v>
      </c>
      <c r="AC813" s="334" t="s">
        <v>1702</v>
      </c>
      <c r="AQ813" s="326">
        <v>218</v>
      </c>
      <c r="AR813" s="326"/>
      <c r="AS813" t="b">
        <v>1</v>
      </c>
      <c r="AT813"/>
      <c r="AU813"/>
      <c r="AV813"/>
    </row>
    <row r="814" spans="1:48">
      <c r="A814" s="277" t="s">
        <v>1286</v>
      </c>
      <c r="B814" s="334" t="s">
        <v>1684</v>
      </c>
      <c r="C814" s="334">
        <f>'FPT Ravenschlag 2001'!B35</f>
        <v>1.2500000000000001E-2</v>
      </c>
      <c r="D814" s="301">
        <f>'FPT Ravenschlag 2001'!C35</f>
        <v>3400000000</v>
      </c>
      <c r="E814" s="301">
        <f>'FPT Ravenschlag 2001'!G35</f>
        <v>2223600000</v>
      </c>
      <c r="F814" s="301">
        <f>'FPT Ravenschlag 2001'!I35</f>
        <v>61200000.000000007</v>
      </c>
      <c r="G814" s="301">
        <f>E814+F814</f>
        <v>2284800000</v>
      </c>
      <c r="H814" s="27">
        <f>G814/D814</f>
        <v>0.67200000000000004</v>
      </c>
      <c r="M814" s="27">
        <f>F814/G814</f>
        <v>2.6785714285714288E-2</v>
      </c>
      <c r="O814" t="s">
        <v>943</v>
      </c>
      <c r="P814" s="334"/>
      <c r="R814" s="304" t="s">
        <v>53</v>
      </c>
      <c r="S814" s="304" t="s">
        <v>52</v>
      </c>
      <c r="T814" s="304" t="s">
        <v>54</v>
      </c>
      <c r="U814" s="304" t="s">
        <v>54</v>
      </c>
      <c r="V814" s="313">
        <v>0.1</v>
      </c>
      <c r="W814" s="313">
        <v>0.35</v>
      </c>
      <c r="X814" s="306" t="s">
        <v>248</v>
      </c>
      <c r="Y814" s="334">
        <v>50</v>
      </c>
      <c r="Z814" s="315" t="s">
        <v>100</v>
      </c>
      <c r="AB814" s="334" t="s">
        <v>311</v>
      </c>
      <c r="AC814" s="334" t="s">
        <v>1702</v>
      </c>
      <c r="AQ814" s="326">
        <v>218</v>
      </c>
      <c r="AR814" s="326"/>
      <c r="AS814" t="b">
        <v>1</v>
      </c>
      <c r="AT814"/>
      <c r="AU814"/>
      <c r="AV814"/>
    </row>
    <row r="815" spans="1:48">
      <c r="A815" s="277" t="s">
        <v>1286</v>
      </c>
      <c r="B815" s="334" t="s">
        <v>1684</v>
      </c>
      <c r="C815" s="334">
        <f>'FPT Ravenschlag 2001'!B36</f>
        <v>1.7500000000000002E-2</v>
      </c>
      <c r="D815" s="301">
        <f>'FPT Ravenschlag 2001'!C36</f>
        <v>4200000000</v>
      </c>
      <c r="E815" s="301">
        <f>'FPT Ravenschlag 2001'!G36</f>
        <v>2423400000.0000005</v>
      </c>
      <c r="F815" s="301">
        <f>'FPT Ravenschlag 2001'!I36</f>
        <v>63000000</v>
      </c>
      <c r="G815" s="301">
        <f>E815+F815</f>
        <v>2486400000.0000005</v>
      </c>
      <c r="H815" s="27">
        <f>G815/D815</f>
        <v>0.59200000000000008</v>
      </c>
      <c r="M815" s="27">
        <f>F815/G815</f>
        <v>2.5337837837837832E-2</v>
      </c>
      <c r="O815" t="s">
        <v>943</v>
      </c>
      <c r="P815" s="303"/>
      <c r="R815" s="304" t="s">
        <v>53</v>
      </c>
      <c r="S815" s="304" t="s">
        <v>52</v>
      </c>
      <c r="T815" s="304" t="s">
        <v>54</v>
      </c>
      <c r="U815" s="304" t="s">
        <v>54</v>
      </c>
      <c r="V815" s="313">
        <v>0.1</v>
      </c>
      <c r="W815" s="313">
        <v>0.35</v>
      </c>
      <c r="X815" s="306" t="s">
        <v>248</v>
      </c>
      <c r="Y815" s="334">
        <v>50</v>
      </c>
      <c r="Z815" s="315" t="s">
        <v>100</v>
      </c>
      <c r="AB815" s="334" t="s">
        <v>311</v>
      </c>
      <c r="AC815" s="334" t="s">
        <v>1702</v>
      </c>
      <c r="AQ815" s="326">
        <v>218</v>
      </c>
      <c r="AR815" s="326"/>
      <c r="AS815" t="b">
        <v>1</v>
      </c>
      <c r="AT815"/>
      <c r="AU815"/>
      <c r="AV815"/>
    </row>
    <row r="816" spans="1:48">
      <c r="A816" s="277" t="s">
        <v>1286</v>
      </c>
      <c r="B816" s="328" t="s">
        <v>1684</v>
      </c>
      <c r="C816" s="334">
        <f>'FPT Ravenschlag 2001'!B37</f>
        <v>2.2499999999999999E-2</v>
      </c>
      <c r="D816" s="301">
        <f>'FPT Ravenschlag 2001'!C37</f>
        <v>3500000000</v>
      </c>
      <c r="E816" s="301">
        <f>'FPT Ravenschlag 2001'!G37</f>
        <v>1694000000</v>
      </c>
      <c r="F816" s="301">
        <f>'FPT Ravenschlag 2001'!I37</f>
        <v>52500000</v>
      </c>
      <c r="G816" s="301">
        <f>E816+F816</f>
        <v>1746500000</v>
      </c>
      <c r="H816" s="27">
        <f>G816/D816</f>
        <v>0.499</v>
      </c>
      <c r="M816" s="27">
        <f>F816/G816</f>
        <v>3.0060120240480961E-2</v>
      </c>
      <c r="O816" t="s">
        <v>943</v>
      </c>
      <c r="P816" s="303"/>
      <c r="R816" s="304" t="s">
        <v>53</v>
      </c>
      <c r="S816" s="304" t="s">
        <v>52</v>
      </c>
      <c r="T816" s="304" t="s">
        <v>54</v>
      </c>
      <c r="U816" s="304" t="s">
        <v>54</v>
      </c>
      <c r="V816" s="313">
        <v>0.1</v>
      </c>
      <c r="W816" s="313">
        <v>0.35</v>
      </c>
      <c r="X816" s="306" t="s">
        <v>248</v>
      </c>
      <c r="Y816" s="334">
        <v>50</v>
      </c>
      <c r="Z816" s="315" t="s">
        <v>100</v>
      </c>
      <c r="AB816" s="334" t="s">
        <v>311</v>
      </c>
      <c r="AC816" s="334" t="s">
        <v>1702</v>
      </c>
      <c r="AQ816" s="326">
        <v>218</v>
      </c>
      <c r="AR816" s="326"/>
      <c r="AS816" t="b">
        <v>1</v>
      </c>
      <c r="AT816"/>
      <c r="AU816"/>
      <c r="AV816"/>
    </row>
    <row r="817" spans="1:48">
      <c r="A817" s="277" t="s">
        <v>1286</v>
      </c>
      <c r="B817" s="334" t="s">
        <v>1684</v>
      </c>
      <c r="C817" s="334">
        <f>'FPT Ravenschlag 2001'!B38</f>
        <v>2.75E-2</v>
      </c>
      <c r="D817" s="301">
        <f>'FPT Ravenschlag 2001'!C38</f>
        <v>3300000000</v>
      </c>
      <c r="E817" s="301">
        <f>'FPT Ravenschlag 2001'!G38</f>
        <v>1689600000</v>
      </c>
      <c r="F817" s="301">
        <f>'FPT Ravenschlag 2001'!I38</f>
        <v>26400000</v>
      </c>
      <c r="G817" s="301">
        <f>E817+F817</f>
        <v>1716000000</v>
      </c>
      <c r="H817" s="27">
        <f>G817/D817</f>
        <v>0.52</v>
      </c>
      <c r="M817" s="27">
        <f>F817/G817</f>
        <v>1.5384615384615385E-2</v>
      </c>
      <c r="O817" t="s">
        <v>943</v>
      </c>
      <c r="P817" s="303"/>
      <c r="R817" s="304" t="s">
        <v>53</v>
      </c>
      <c r="S817" s="304" t="s">
        <v>52</v>
      </c>
      <c r="T817" s="304" t="s">
        <v>54</v>
      </c>
      <c r="U817" s="304" t="s">
        <v>54</v>
      </c>
      <c r="V817" s="313">
        <v>0.1</v>
      </c>
      <c r="W817" s="313">
        <v>0.35</v>
      </c>
      <c r="X817" s="306" t="s">
        <v>248</v>
      </c>
      <c r="Y817" s="334">
        <v>50</v>
      </c>
      <c r="Z817" s="315" t="s">
        <v>100</v>
      </c>
      <c r="AB817" s="334" t="s">
        <v>311</v>
      </c>
      <c r="AC817" s="334" t="s">
        <v>1702</v>
      </c>
      <c r="AQ817" s="326">
        <v>218</v>
      </c>
      <c r="AR817" s="326"/>
      <c r="AS817" t="b">
        <v>1</v>
      </c>
      <c r="AT817"/>
      <c r="AU817"/>
      <c r="AV817"/>
    </row>
    <row r="818" spans="1:48">
      <c r="A818" s="277" t="s">
        <v>1286</v>
      </c>
      <c r="B818" s="328" t="s">
        <v>1684</v>
      </c>
      <c r="C818" s="334">
        <f>'FPT Ravenschlag 2001'!B39</f>
        <v>3.2500000000000001E-2</v>
      </c>
      <c r="D818" s="301">
        <f>'FPT Ravenschlag 2001'!C39</f>
        <v>3200000000</v>
      </c>
      <c r="E818" s="301">
        <f>'FPT Ravenschlag 2001'!G39</f>
        <v>1491200000</v>
      </c>
      <c r="F818" s="301">
        <f>'FPT Ravenschlag 2001'!I39</f>
        <v>54400000.000000007</v>
      </c>
      <c r="G818" s="301">
        <f>E818+F818</f>
        <v>1545600000</v>
      </c>
      <c r="H818" s="336">
        <f>G818/D818</f>
        <v>0.48299999999999998</v>
      </c>
      <c r="M818" s="27">
        <f>F818/G818</f>
        <v>3.5196687370600416E-2</v>
      </c>
      <c r="O818" t="s">
        <v>943</v>
      </c>
      <c r="P818" s="303"/>
      <c r="R818" s="304" t="s">
        <v>53</v>
      </c>
      <c r="S818" s="304" t="s">
        <v>52</v>
      </c>
      <c r="T818" s="304" t="s">
        <v>54</v>
      </c>
      <c r="U818" s="304" t="s">
        <v>54</v>
      </c>
      <c r="V818" s="313">
        <v>0.1</v>
      </c>
      <c r="W818" s="313">
        <v>0.35</v>
      </c>
      <c r="X818" s="306" t="s">
        <v>248</v>
      </c>
      <c r="Y818" s="334">
        <v>50</v>
      </c>
      <c r="Z818" s="315" t="s">
        <v>100</v>
      </c>
      <c r="AB818" s="334" t="s">
        <v>311</v>
      </c>
      <c r="AC818" s="334" t="s">
        <v>1702</v>
      </c>
      <c r="AQ818" s="326">
        <v>218</v>
      </c>
      <c r="AR818" s="326"/>
      <c r="AS818" t="b">
        <v>1</v>
      </c>
      <c r="AT818"/>
      <c r="AU818"/>
      <c r="AV818"/>
    </row>
    <row r="819" spans="1:48">
      <c r="A819" s="277" t="s">
        <v>1286</v>
      </c>
      <c r="B819" s="328" t="s">
        <v>1684</v>
      </c>
      <c r="C819" s="334">
        <f>'FPT Ravenschlag 2001'!B40</f>
        <v>3.7499999999999999E-2</v>
      </c>
      <c r="D819" s="301">
        <f>'FPT Ravenschlag 2001'!C40</f>
        <v>3700000000</v>
      </c>
      <c r="E819" s="301">
        <f>'FPT Ravenschlag 2001'!G40</f>
        <v>1850000000</v>
      </c>
      <c r="F819" s="301">
        <f>'FPT Ravenschlag 2001'!I40</f>
        <v>62900000.000000007</v>
      </c>
      <c r="G819" s="301">
        <f>E819+F819</f>
        <v>1912900000</v>
      </c>
      <c r="H819" s="336">
        <f>G819/D819</f>
        <v>0.51700000000000002</v>
      </c>
      <c r="M819" s="27">
        <f>F819/G819</f>
        <v>3.2882011605415866E-2</v>
      </c>
      <c r="O819" t="s">
        <v>943</v>
      </c>
      <c r="P819" s="303"/>
      <c r="R819" s="304" t="s">
        <v>53</v>
      </c>
      <c r="S819" s="304" t="s">
        <v>52</v>
      </c>
      <c r="T819" s="304" t="s">
        <v>54</v>
      </c>
      <c r="U819" s="304" t="s">
        <v>54</v>
      </c>
      <c r="V819" s="313">
        <v>0.1</v>
      </c>
      <c r="W819" s="313">
        <v>0.35</v>
      </c>
      <c r="X819" s="306" t="s">
        <v>248</v>
      </c>
      <c r="Y819" s="334">
        <v>50</v>
      </c>
      <c r="Z819" s="315" t="s">
        <v>100</v>
      </c>
      <c r="AB819" s="334" t="s">
        <v>311</v>
      </c>
      <c r="AC819" s="334" t="s">
        <v>1702</v>
      </c>
      <c r="AQ819" s="326">
        <v>218</v>
      </c>
      <c r="AR819" s="326"/>
      <c r="AS819" t="b">
        <v>1</v>
      </c>
      <c r="AT819"/>
      <c r="AU819"/>
      <c r="AV819"/>
    </row>
    <row r="820" spans="1:48">
      <c r="A820" s="277" t="s">
        <v>1286</v>
      </c>
      <c r="B820" s="334" t="s">
        <v>1684</v>
      </c>
      <c r="C820" s="334">
        <f>'FPT Ravenschlag 2001'!B41</f>
        <v>4.2500000000000003E-2</v>
      </c>
      <c r="D820" s="301">
        <f>'FPT Ravenschlag 2001'!C41</f>
        <v>3400000000</v>
      </c>
      <c r="E820" s="301">
        <f>'FPT Ravenschlag 2001'!G41</f>
        <v>1608200000</v>
      </c>
      <c r="F820" s="301">
        <f>'FPT Ravenschlag 2001'!I41</f>
        <v>13600000</v>
      </c>
      <c r="G820" s="301">
        <f>E820+F820</f>
        <v>1621800000</v>
      </c>
      <c r="H820" s="336">
        <f>G820/D820</f>
        <v>0.47699999999999998</v>
      </c>
      <c r="M820" s="27">
        <f>F820/G820</f>
        <v>8.385744234800839E-3</v>
      </c>
      <c r="O820" t="s">
        <v>943</v>
      </c>
      <c r="P820" s="328"/>
      <c r="R820" s="304" t="s">
        <v>53</v>
      </c>
      <c r="S820" s="304" t="s">
        <v>52</v>
      </c>
      <c r="T820" s="304" t="s">
        <v>54</v>
      </c>
      <c r="U820" s="304" t="s">
        <v>54</v>
      </c>
      <c r="V820" s="313">
        <v>0.1</v>
      </c>
      <c r="W820" s="313">
        <v>0.35</v>
      </c>
      <c r="X820" s="306" t="s">
        <v>248</v>
      </c>
      <c r="Y820" s="328">
        <v>50</v>
      </c>
      <c r="Z820" s="315" t="s">
        <v>100</v>
      </c>
      <c r="AB820" s="334" t="s">
        <v>311</v>
      </c>
      <c r="AC820" s="334" t="s">
        <v>1702</v>
      </c>
      <c r="AQ820" s="326">
        <v>218</v>
      </c>
      <c r="AR820" s="326"/>
      <c r="AS820" t="b">
        <v>1</v>
      </c>
      <c r="AT820"/>
      <c r="AU820"/>
      <c r="AV820"/>
    </row>
    <row r="821" spans="1:48">
      <c r="A821" s="277" t="s">
        <v>1286</v>
      </c>
      <c r="B821" s="328" t="s">
        <v>1684</v>
      </c>
      <c r="C821" s="334">
        <f>'FPT Ravenschlag 2001'!B42</f>
        <v>4.7500000000000001E-2</v>
      </c>
      <c r="D821" s="301">
        <f>'FPT Ravenschlag 2001'!C42</f>
        <v>3600000000</v>
      </c>
      <c r="E821" s="301">
        <f>'FPT Ravenschlag 2001'!G42</f>
        <v>1526400000</v>
      </c>
      <c r="F821" s="301">
        <f>'FPT Ravenschlag 2001'!I42</f>
        <v>39600000.000000007</v>
      </c>
      <c r="G821" s="301">
        <f>E821+F821</f>
        <v>1566000000</v>
      </c>
      <c r="H821" s="336">
        <f>G821/D821</f>
        <v>0.435</v>
      </c>
      <c r="M821" s="27">
        <f>F821/G821</f>
        <v>2.5287356321839084E-2</v>
      </c>
      <c r="O821" t="s">
        <v>943</v>
      </c>
      <c r="P821" s="326"/>
      <c r="R821" s="304" t="s">
        <v>53</v>
      </c>
      <c r="S821" s="304" t="s">
        <v>52</v>
      </c>
      <c r="T821" s="304" t="s">
        <v>54</v>
      </c>
      <c r="U821" s="304" t="s">
        <v>54</v>
      </c>
      <c r="V821" s="313">
        <v>0.1</v>
      </c>
      <c r="W821" s="313">
        <v>0.35</v>
      </c>
      <c r="X821" s="306" t="s">
        <v>248</v>
      </c>
      <c r="Y821" s="328">
        <v>50</v>
      </c>
      <c r="Z821" s="315" t="s">
        <v>100</v>
      </c>
      <c r="AA821" s="334"/>
      <c r="AB821" s="334" t="s">
        <v>311</v>
      </c>
      <c r="AC821" s="334" t="s">
        <v>1702</v>
      </c>
      <c r="AE821" s="334"/>
      <c r="AQ821" s="326">
        <v>218</v>
      </c>
      <c r="AR821" s="326"/>
      <c r="AS821" t="b">
        <v>1</v>
      </c>
      <c r="AT821"/>
      <c r="AU821"/>
      <c r="AV821"/>
    </row>
    <row r="822" spans="1:48">
      <c r="A822" s="277" t="s">
        <v>1286</v>
      </c>
      <c r="B822" s="334" t="s">
        <v>1684</v>
      </c>
      <c r="C822" s="334">
        <f>'FPT Ravenschlag 2001'!B43</f>
        <v>5.5E-2</v>
      </c>
      <c r="D822" s="301">
        <f>'FPT Ravenschlag 2001'!C43</f>
        <v>4600000000</v>
      </c>
      <c r="E822" s="301">
        <f>'FPT Ravenschlag 2001'!G43</f>
        <v>1656000000</v>
      </c>
      <c r="G822" s="301">
        <f>E822+F822</f>
        <v>1656000000</v>
      </c>
      <c r="H822" s="336">
        <f>G822/D822</f>
        <v>0.36</v>
      </c>
      <c r="O822" t="s">
        <v>943</v>
      </c>
      <c r="P822" s="289"/>
      <c r="Q822" s="301" t="b">
        <v>1</v>
      </c>
      <c r="R822" s="304" t="s">
        <v>53</v>
      </c>
      <c r="S822" s="304" t="s">
        <v>52</v>
      </c>
      <c r="T822" s="304" t="s">
        <v>54</v>
      </c>
      <c r="U822" s="304" t="s">
        <v>54</v>
      </c>
      <c r="V822" s="313">
        <v>0.1</v>
      </c>
      <c r="W822" s="313">
        <v>0.35</v>
      </c>
      <c r="X822" s="306" t="s">
        <v>248</v>
      </c>
      <c r="Y822" s="327">
        <v>50</v>
      </c>
      <c r="Z822" s="315" t="s">
        <v>100</v>
      </c>
      <c r="AB822" s="334" t="s">
        <v>311</v>
      </c>
      <c r="AC822" s="334" t="s">
        <v>1702</v>
      </c>
      <c r="AQ822" s="326">
        <v>218</v>
      </c>
      <c r="AR822" s="326"/>
      <c r="AS822" t="b">
        <v>1</v>
      </c>
      <c r="AT822"/>
      <c r="AU822"/>
      <c r="AV822"/>
    </row>
    <row r="823" spans="1:48">
      <c r="A823" s="277" t="s">
        <v>1286</v>
      </c>
      <c r="B823" s="328" t="s">
        <v>1684</v>
      </c>
      <c r="C823" s="334">
        <f>'FPT Ravenschlag 2001'!B44</f>
        <v>6.5000000000000002E-2</v>
      </c>
      <c r="D823" s="301">
        <f>'FPT Ravenschlag 2001'!C44</f>
        <v>4700000000</v>
      </c>
      <c r="E823" s="301">
        <f>'FPT Ravenschlag 2001'!G44</f>
        <v>1287799999.9999998</v>
      </c>
      <c r="G823" s="301">
        <f>E823+F823</f>
        <v>1287799999.9999998</v>
      </c>
      <c r="H823" s="336">
        <f>G823/D823</f>
        <v>0.27399999999999997</v>
      </c>
      <c r="O823" t="s">
        <v>943</v>
      </c>
      <c r="P823" s="289"/>
      <c r="Q823" s="301" t="b">
        <v>1</v>
      </c>
      <c r="R823" s="304" t="s">
        <v>53</v>
      </c>
      <c r="S823" s="304" t="s">
        <v>52</v>
      </c>
      <c r="T823" s="317" t="s">
        <v>54</v>
      </c>
      <c r="U823" s="317" t="s">
        <v>54</v>
      </c>
      <c r="V823" s="313">
        <v>0.1</v>
      </c>
      <c r="W823" s="313">
        <v>0.35</v>
      </c>
      <c r="X823" s="306" t="s">
        <v>248</v>
      </c>
      <c r="Y823" s="328">
        <v>50</v>
      </c>
      <c r="Z823" s="315" t="s">
        <v>100</v>
      </c>
      <c r="AB823" s="334" t="s">
        <v>311</v>
      </c>
      <c r="AC823" s="334" t="s">
        <v>1702</v>
      </c>
      <c r="AQ823" s="326">
        <v>218</v>
      </c>
      <c r="AR823" s="326"/>
      <c r="AS823" t="b">
        <v>1</v>
      </c>
      <c r="AT823"/>
      <c r="AU823"/>
      <c r="AV823"/>
    </row>
    <row r="824" spans="1:48">
      <c r="A824" s="277" t="s">
        <v>1286</v>
      </c>
      <c r="B824" s="328" t="s">
        <v>1684</v>
      </c>
      <c r="C824" s="334">
        <f>'FPT Ravenschlag 2001'!B45</f>
        <v>7.4999999999999997E-2</v>
      </c>
      <c r="D824" s="301">
        <f>'FPT Ravenschlag 2001'!C45</f>
        <v>3900000000</v>
      </c>
      <c r="E824" s="301">
        <f>'FPT Ravenschlag 2001'!G45</f>
        <v>920400000.00000012</v>
      </c>
      <c r="G824" s="301">
        <f>E824+F824</f>
        <v>920400000.00000012</v>
      </c>
      <c r="H824" s="336">
        <f>G824/D824</f>
        <v>0.23600000000000004</v>
      </c>
      <c r="O824" t="s">
        <v>943</v>
      </c>
      <c r="P824" s="323"/>
      <c r="Q824" s="301" t="b">
        <v>1</v>
      </c>
      <c r="R824" s="304" t="s">
        <v>53</v>
      </c>
      <c r="S824" s="304" t="s">
        <v>52</v>
      </c>
      <c r="T824" s="317" t="s">
        <v>54</v>
      </c>
      <c r="U824" s="317" t="s">
        <v>54</v>
      </c>
      <c r="V824" s="313">
        <v>0.1</v>
      </c>
      <c r="W824" s="313">
        <v>0.35</v>
      </c>
      <c r="X824" s="306" t="s">
        <v>248</v>
      </c>
      <c r="Y824" s="327">
        <v>50</v>
      </c>
      <c r="Z824" s="315" t="s">
        <v>100</v>
      </c>
      <c r="AB824" s="334" t="s">
        <v>311</v>
      </c>
      <c r="AC824" s="334" t="s">
        <v>1702</v>
      </c>
      <c r="AQ824" s="326">
        <v>218</v>
      </c>
      <c r="AR824" s="326"/>
      <c r="AS824" t="b">
        <v>1</v>
      </c>
      <c r="AT824"/>
      <c r="AU824"/>
      <c r="AV824"/>
    </row>
    <row r="825" spans="1:48">
      <c r="A825" s="277" t="s">
        <v>1286</v>
      </c>
      <c r="B825" s="328" t="s">
        <v>1684</v>
      </c>
      <c r="C825" s="334">
        <f>'FPT Ravenschlag 2001'!B46</f>
        <v>8.5000000000000006E-2</v>
      </c>
      <c r="D825" s="301">
        <f>'FPT Ravenschlag 2001'!C46</f>
        <v>3100000000</v>
      </c>
      <c r="E825" s="301">
        <f>'FPT Ravenschlag 2001'!G46</f>
        <v>700600000</v>
      </c>
      <c r="F825" s="301">
        <f>'FPT Ravenschlag 2001'!I46</f>
        <v>52700000.000000007</v>
      </c>
      <c r="G825" s="301">
        <f>E825+F825</f>
        <v>753300000</v>
      </c>
      <c r="H825" s="336">
        <f>G825/D825</f>
        <v>0.24299999999999999</v>
      </c>
      <c r="M825" s="27">
        <f>F825/G825</f>
        <v>6.9958847736625529E-2</v>
      </c>
      <c r="O825" t="s">
        <v>943</v>
      </c>
      <c r="P825" s="328"/>
      <c r="R825" s="304" t="s">
        <v>53</v>
      </c>
      <c r="S825" s="304" t="s">
        <v>52</v>
      </c>
      <c r="T825" s="317" t="s">
        <v>54</v>
      </c>
      <c r="U825" s="317" t="s">
        <v>54</v>
      </c>
      <c r="V825" s="313">
        <v>0.1</v>
      </c>
      <c r="W825" s="313">
        <v>0.35</v>
      </c>
      <c r="X825" s="306" t="s">
        <v>248</v>
      </c>
      <c r="Y825" s="334">
        <v>50</v>
      </c>
      <c r="Z825" s="315" t="s">
        <v>100</v>
      </c>
      <c r="AB825" s="334" t="s">
        <v>311</v>
      </c>
      <c r="AC825" s="334" t="s">
        <v>1702</v>
      </c>
      <c r="AQ825" s="326">
        <v>218</v>
      </c>
      <c r="AR825" s="326"/>
      <c r="AS825" t="b">
        <v>1</v>
      </c>
      <c r="AT825"/>
      <c r="AU825"/>
      <c r="AV825"/>
    </row>
    <row r="826" spans="1:48">
      <c r="A826" s="277" t="s">
        <v>1286</v>
      </c>
      <c r="B826" s="328" t="s">
        <v>1684</v>
      </c>
      <c r="C826" s="334">
        <f>'FPT Ravenschlag 2001'!B47</f>
        <v>9.5000000000000001E-2</v>
      </c>
      <c r="D826" s="301">
        <f>'FPT Ravenschlag 2001'!C47</f>
        <v>3900000000</v>
      </c>
      <c r="E826" s="301">
        <f>'FPT Ravenschlag 2001'!G47</f>
        <v>612300000</v>
      </c>
      <c r="F826" s="301">
        <f>'FPT Ravenschlag 2001'!I47</f>
        <v>35100000.000000007</v>
      </c>
      <c r="G826" s="301">
        <f>E826+F826</f>
        <v>647400000</v>
      </c>
      <c r="H826" s="336">
        <f>G826/D826</f>
        <v>0.16600000000000001</v>
      </c>
      <c r="M826" s="27">
        <f>F826/G826</f>
        <v>5.4216867469879533E-2</v>
      </c>
      <c r="O826" t="s">
        <v>943</v>
      </c>
      <c r="P826" s="328"/>
      <c r="R826" s="304" t="s">
        <v>53</v>
      </c>
      <c r="S826" s="304" t="s">
        <v>52</v>
      </c>
      <c r="T826" s="317" t="s">
        <v>54</v>
      </c>
      <c r="U826" s="317" t="s">
        <v>54</v>
      </c>
      <c r="V826" s="313">
        <v>0.1</v>
      </c>
      <c r="W826" s="313">
        <v>0.35</v>
      </c>
      <c r="X826" s="306" t="s">
        <v>248</v>
      </c>
      <c r="Y826" s="334">
        <v>50</v>
      </c>
      <c r="Z826" s="315" t="s">
        <v>100</v>
      </c>
      <c r="AB826" s="334" t="s">
        <v>311</v>
      </c>
      <c r="AC826" s="334" t="s">
        <v>1702</v>
      </c>
      <c r="AQ826" s="326">
        <v>218</v>
      </c>
      <c r="AR826" s="326"/>
      <c r="AS826" t="b">
        <v>1</v>
      </c>
      <c r="AT826"/>
      <c r="AU826"/>
      <c r="AV826"/>
    </row>
    <row r="827" spans="1:48">
      <c r="A827" s="277" t="s">
        <v>1286</v>
      </c>
      <c r="B827" s="334" t="s">
        <v>1684</v>
      </c>
      <c r="C827" s="334">
        <f>'FPT Ravenschlag 2001'!B48</f>
        <v>0.11</v>
      </c>
      <c r="D827" s="301">
        <f>'FPT Ravenschlag 2001'!C48</f>
        <v>3400000000</v>
      </c>
      <c r="F827" s="301">
        <f>'FPT Ravenschlag 2001'!I48</f>
        <v>23799999.999999996</v>
      </c>
      <c r="H827" s="336"/>
      <c r="O827" t="s">
        <v>943</v>
      </c>
      <c r="P827" s="303"/>
      <c r="R827" s="304" t="s">
        <v>53</v>
      </c>
      <c r="S827" s="304" t="s">
        <v>52</v>
      </c>
      <c r="T827" s="317" t="s">
        <v>54</v>
      </c>
      <c r="U827" s="317" t="s">
        <v>54</v>
      </c>
      <c r="V827" s="313">
        <v>0.1</v>
      </c>
      <c r="W827" s="313">
        <v>0.35</v>
      </c>
      <c r="X827" s="306" t="s">
        <v>248</v>
      </c>
      <c r="Y827" s="328">
        <v>50</v>
      </c>
      <c r="Z827" s="315" t="s">
        <v>100</v>
      </c>
      <c r="AB827" s="334" t="s">
        <v>311</v>
      </c>
      <c r="AC827" s="334" t="s">
        <v>1702</v>
      </c>
      <c r="AQ827" s="326">
        <v>218</v>
      </c>
      <c r="AR827" s="326"/>
      <c r="AS827" t="b">
        <v>1</v>
      </c>
      <c r="AT827"/>
      <c r="AU827"/>
      <c r="AV827"/>
    </row>
    <row r="828" spans="1:48">
      <c r="A828" s="277" t="s">
        <v>1286</v>
      </c>
      <c r="B828" s="334" t="s">
        <v>1684</v>
      </c>
      <c r="C828" s="334">
        <f>'FPT Ravenschlag 2001'!B49</f>
        <v>0.13</v>
      </c>
      <c r="D828" s="301">
        <f>'FPT Ravenschlag 2001'!C49</f>
        <v>3400000000</v>
      </c>
      <c r="F828" s="301">
        <f>'FPT Ravenschlag 2001'!I49</f>
        <v>27200000</v>
      </c>
      <c r="H828" s="336"/>
      <c r="O828" t="s">
        <v>943</v>
      </c>
      <c r="P828" s="289"/>
      <c r="R828" s="304" t="s">
        <v>53</v>
      </c>
      <c r="S828" s="304" t="s">
        <v>52</v>
      </c>
      <c r="T828" s="317" t="s">
        <v>54</v>
      </c>
      <c r="U828" s="317" t="s">
        <v>54</v>
      </c>
      <c r="V828" s="313">
        <v>0.1</v>
      </c>
      <c r="W828" s="313">
        <v>0.35</v>
      </c>
      <c r="X828" s="306" t="s">
        <v>248</v>
      </c>
      <c r="Y828" s="328">
        <v>50</v>
      </c>
      <c r="Z828" s="315" t="s">
        <v>100</v>
      </c>
      <c r="AB828" s="334" t="s">
        <v>311</v>
      </c>
      <c r="AC828" s="334" t="s">
        <v>1702</v>
      </c>
      <c r="AQ828" s="326">
        <v>218</v>
      </c>
      <c r="AR828" s="326"/>
      <c r="AS828" t="b">
        <v>1</v>
      </c>
      <c r="AT828"/>
      <c r="AU828"/>
      <c r="AV828"/>
    </row>
    <row r="829" spans="1:48">
      <c r="A829" s="277" t="s">
        <v>1286</v>
      </c>
      <c r="B829" s="334" t="s">
        <v>1684</v>
      </c>
      <c r="C829" s="334">
        <f>'FPT Ravenschlag 2001'!B50</f>
        <v>0.15</v>
      </c>
      <c r="D829" s="301">
        <f>'FPT Ravenschlag 2001'!C50</f>
        <v>3400000000</v>
      </c>
      <c r="F829" s="301">
        <f>'FPT Ravenschlag 2001'!I50</f>
        <v>40800000</v>
      </c>
      <c r="H829" s="336"/>
      <c r="O829" t="s">
        <v>943</v>
      </c>
      <c r="P829" s="303"/>
      <c r="R829" s="304" t="s">
        <v>53</v>
      </c>
      <c r="S829" s="304" t="s">
        <v>52</v>
      </c>
      <c r="T829" s="317" t="s">
        <v>54</v>
      </c>
      <c r="U829" s="317" t="s">
        <v>54</v>
      </c>
      <c r="V829" s="313">
        <v>0.1</v>
      </c>
      <c r="W829" s="313">
        <v>0.35</v>
      </c>
      <c r="X829" s="306" t="s">
        <v>248</v>
      </c>
      <c r="Y829" s="328">
        <v>50</v>
      </c>
      <c r="Z829" s="315" t="s">
        <v>100</v>
      </c>
      <c r="AB829" s="334" t="s">
        <v>311</v>
      </c>
      <c r="AC829" s="334" t="s">
        <v>1702</v>
      </c>
      <c r="AQ829" s="326">
        <v>218</v>
      </c>
      <c r="AR829" s="326"/>
      <c r="AS829" t="b">
        <v>1</v>
      </c>
      <c r="AT829"/>
      <c r="AU829"/>
      <c r="AV829"/>
    </row>
    <row r="830" spans="1:48">
      <c r="A830" s="277" t="s">
        <v>1284</v>
      </c>
      <c r="B830" s="334" t="s">
        <v>1664</v>
      </c>
      <c r="C830" s="334">
        <f>'EXD Roalkvam 2011'!D5</f>
        <v>2.5316455696202528E-3</v>
      </c>
      <c r="H830" s="336"/>
      <c r="I830" s="301">
        <f>'EXD Roalkvam 2011'!J5</f>
        <v>532878161.79036975</v>
      </c>
      <c r="J830" s="301">
        <f>'EXD Roalkvam 2011'!G5</f>
        <v>58302956.769231319</v>
      </c>
      <c r="K830" s="301">
        <f>I830+J830</f>
        <v>591181118.55960107</v>
      </c>
      <c r="N830" s="27">
        <f>J830/K830</f>
        <v>9.8621141539982041E-2</v>
      </c>
      <c r="P830" s="303">
        <f>'EXD Roalkvam 2011'!M5</f>
        <v>24.933516086122999</v>
      </c>
      <c r="R830" s="304"/>
      <c r="S830" s="304"/>
      <c r="T830" s="317"/>
      <c r="U830" s="317"/>
      <c r="V830" s="334"/>
      <c r="W830" s="334"/>
      <c r="X830" s="334"/>
      <c r="Y830" s="328"/>
      <c r="Z830" s="334"/>
      <c r="AA830" s="326" t="s">
        <v>1411</v>
      </c>
      <c r="AD830" s="326" t="s">
        <v>1718</v>
      </c>
      <c r="AE830" s="326" t="s">
        <v>1726</v>
      </c>
      <c r="AG830" s="326" t="s">
        <v>1708</v>
      </c>
      <c r="AH830" s="326" t="s">
        <v>1712</v>
      </c>
      <c r="AM830" s="326" t="s">
        <v>1492</v>
      </c>
      <c r="AN830" s="326" t="s">
        <v>1493</v>
      </c>
      <c r="AO830" s="326" t="s">
        <v>1494</v>
      </c>
      <c r="AQ830" s="326">
        <v>740</v>
      </c>
      <c r="AR830" s="326" t="s">
        <v>1463</v>
      </c>
      <c r="AT830"/>
      <c r="AU830"/>
      <c r="AV830"/>
    </row>
    <row r="831" spans="1:48">
      <c r="A831" s="277" t="s">
        <v>1284</v>
      </c>
      <c r="B831" s="334" t="s">
        <v>1664</v>
      </c>
      <c r="C831" s="334">
        <f>'EXD Roalkvam 2011'!D6</f>
        <v>1.2658227848101264E-2</v>
      </c>
      <c r="H831" s="336"/>
      <c r="I831" s="301">
        <f>'EXD Roalkvam 2011'!J6</f>
        <v>571027750.62781477</v>
      </c>
      <c r="J831" s="301">
        <f>'EXD Roalkvam 2011'!G6</f>
        <v>116408180.090975</v>
      </c>
      <c r="K831" s="301">
        <f>I831+J831</f>
        <v>687435930.71878982</v>
      </c>
      <c r="N831" s="27">
        <f>J831/K831</f>
        <v>0.16933677000161668</v>
      </c>
      <c r="P831" s="303"/>
      <c r="R831" s="304"/>
      <c r="S831" s="304"/>
      <c r="T831" s="304"/>
      <c r="U831" s="304"/>
      <c r="V831" s="334"/>
      <c r="W831" s="334"/>
      <c r="X831" s="334"/>
      <c r="Y831" s="328"/>
      <c r="Z831" s="334"/>
      <c r="AA831" s="326" t="s">
        <v>1411</v>
      </c>
      <c r="AD831" s="326" t="s">
        <v>1718</v>
      </c>
      <c r="AE831" s="326" t="s">
        <v>1726</v>
      </c>
      <c r="AG831" s="326" t="s">
        <v>1708</v>
      </c>
      <c r="AH831" s="326" t="s">
        <v>1712</v>
      </c>
      <c r="AM831" s="326" t="s">
        <v>1492</v>
      </c>
      <c r="AN831" s="326" t="s">
        <v>1493</v>
      </c>
      <c r="AO831" s="326" t="s">
        <v>1494</v>
      </c>
      <c r="AQ831" s="326">
        <v>740</v>
      </c>
      <c r="AR831" s="326" t="s">
        <v>1463</v>
      </c>
      <c r="AT831"/>
      <c r="AU831"/>
      <c r="AV831"/>
    </row>
    <row r="832" spans="1:48">
      <c r="A832" s="277" t="s">
        <v>1283</v>
      </c>
      <c r="B832" s="334" t="s">
        <v>1663</v>
      </c>
      <c r="C832" s="334">
        <f>'EXD Roalkvam 2011'!D7</f>
        <v>2.5316455696202528E-2</v>
      </c>
      <c r="H832" s="336"/>
      <c r="I832" s="301">
        <f>'EXD Roalkvam 2011'!J7</f>
        <v>1221741780.5499902</v>
      </c>
      <c r="J832" s="301">
        <f>'EXD Roalkvam 2011'!G7</f>
        <v>58302956.769231319</v>
      </c>
      <c r="K832" s="301">
        <f>I832+J832</f>
        <v>1280044737.3192215</v>
      </c>
      <c r="N832" s="27">
        <f>J832/K832</f>
        <v>4.5547593040641945E-2</v>
      </c>
      <c r="P832" s="303"/>
      <c r="R832" s="304"/>
      <c r="S832" s="304"/>
      <c r="T832" s="304"/>
      <c r="U832" s="304"/>
      <c r="V832" s="334"/>
      <c r="W832" s="334"/>
      <c r="X832" s="334"/>
      <c r="Y832" s="328"/>
      <c r="Z832" s="334"/>
      <c r="AA832" s="326" t="s">
        <v>1411</v>
      </c>
      <c r="AD832" s="326" t="s">
        <v>1718</v>
      </c>
      <c r="AE832" s="326" t="s">
        <v>1726</v>
      </c>
      <c r="AG832" s="326" t="s">
        <v>1708</v>
      </c>
      <c r="AH832" s="326" t="s">
        <v>1712</v>
      </c>
      <c r="AM832" s="326" t="s">
        <v>1492</v>
      </c>
      <c r="AN832" s="326" t="s">
        <v>1493</v>
      </c>
      <c r="AO832" s="326" t="s">
        <v>1494</v>
      </c>
      <c r="AQ832" s="326">
        <v>740</v>
      </c>
      <c r="AR832" s="326" t="s">
        <v>1463</v>
      </c>
      <c r="AT832"/>
      <c r="AU832"/>
      <c r="AV832"/>
    </row>
    <row r="833" spans="1:48">
      <c r="A833" s="277" t="s">
        <v>1283</v>
      </c>
      <c r="B833" s="334" t="s">
        <v>1663</v>
      </c>
      <c r="C833" s="334">
        <f>'EXD Roalkvam 2011'!D8</f>
        <v>3.5443037974683539E-2</v>
      </c>
      <c r="H833" s="336"/>
      <c r="I833" s="301">
        <f>'EXD Roalkvam 2011'!J8</f>
        <v>351926662.43067247</v>
      </c>
      <c r="J833" s="301">
        <f>'EXD Roalkvam 2011'!G8</f>
        <v>17996689.215814717</v>
      </c>
      <c r="K833" s="301">
        <f>I833+J833</f>
        <v>369923351.64648718</v>
      </c>
      <c r="N833" s="27">
        <f>J833/K833</f>
        <v>4.864977876014985E-2</v>
      </c>
      <c r="P833" s="303">
        <f>'EXD Roalkvam 2011'!M8</f>
        <v>15.797427636470299</v>
      </c>
      <c r="R833" s="304"/>
      <c r="S833" s="304"/>
      <c r="T833" s="304"/>
      <c r="U833" s="304"/>
      <c r="V833" s="334"/>
      <c r="W833" s="334"/>
      <c r="X833" s="334"/>
      <c r="Y833" s="328"/>
      <c r="Z833" s="334"/>
      <c r="AA833" s="326" t="s">
        <v>1411</v>
      </c>
      <c r="AD833" s="326" t="s">
        <v>1718</v>
      </c>
      <c r="AE833" s="326" t="s">
        <v>1726</v>
      </c>
      <c r="AG833" s="326" t="s">
        <v>1708</v>
      </c>
      <c r="AH833" s="326" t="s">
        <v>1712</v>
      </c>
      <c r="AM833" s="326" t="s">
        <v>1492</v>
      </c>
      <c r="AN833" s="326" t="s">
        <v>1493</v>
      </c>
      <c r="AO833" s="326" t="s">
        <v>1494</v>
      </c>
      <c r="AQ833" s="326">
        <v>740</v>
      </c>
      <c r="AR833" s="326" t="s">
        <v>1463</v>
      </c>
      <c r="AT833"/>
      <c r="AU833"/>
      <c r="AV833"/>
    </row>
    <row r="834" spans="1:48">
      <c r="A834" s="277" t="s">
        <v>1283</v>
      </c>
      <c r="B834" s="334" t="s">
        <v>1663</v>
      </c>
      <c r="C834" s="334">
        <f>'EXD Roalkvam 2011'!D9</f>
        <v>4.556962025316455E-2</v>
      </c>
      <c r="H834" s="336"/>
      <c r="I834" s="301">
        <f>'EXD Roalkvam 2011'!J9</f>
        <v>464054874.16659456</v>
      </c>
      <c r="J834" s="301">
        <f>'EXD Roalkvam 2011'!G9</f>
        <v>202403414.74156395</v>
      </c>
      <c r="K834" s="301">
        <f>I834+J834</f>
        <v>666458288.90815854</v>
      </c>
      <c r="N834" s="27">
        <f>J834/K834</f>
        <v>0.30370004861542987</v>
      </c>
      <c r="P834" s="325"/>
      <c r="R834" s="304"/>
      <c r="S834" s="304"/>
      <c r="T834" s="304"/>
      <c r="U834" s="304"/>
      <c r="V834" s="334"/>
      <c r="W834" s="334"/>
      <c r="X834" s="334"/>
      <c r="Y834" s="334"/>
      <c r="Z834" s="334"/>
      <c r="AA834" s="326" t="s">
        <v>1411</v>
      </c>
      <c r="AD834" s="326" t="s">
        <v>1718</v>
      </c>
      <c r="AE834" s="326" t="s">
        <v>1726</v>
      </c>
      <c r="AG834" s="326" t="s">
        <v>1708</v>
      </c>
      <c r="AH834" s="326" t="s">
        <v>1712</v>
      </c>
      <c r="AM834" s="326" t="s">
        <v>1492</v>
      </c>
      <c r="AN834" s="326" t="s">
        <v>1493</v>
      </c>
      <c r="AO834" s="326" t="s">
        <v>1494</v>
      </c>
      <c r="AQ834" s="326">
        <v>740</v>
      </c>
      <c r="AR834" s="326" t="s">
        <v>1463</v>
      </c>
      <c r="AT834"/>
      <c r="AU834"/>
      <c r="AV834"/>
    </row>
    <row r="835" spans="1:48">
      <c r="A835" s="277" t="s">
        <v>1283</v>
      </c>
      <c r="B835" s="334" t="s">
        <v>1663</v>
      </c>
      <c r="C835" s="334">
        <f>'EXD Roalkvam 2011'!D10</f>
        <v>5.5696202531645561E-2</v>
      </c>
      <c r="I835" s="301">
        <f>'EXD Roalkvam 2011'!J10</f>
        <v>176262226.32808027</v>
      </c>
      <c r="J835" s="301">
        <f>'EXD Roalkvam 2011'!G10</f>
        <v>62476957.485043183</v>
      </c>
      <c r="K835" s="301">
        <f>I835+J835</f>
        <v>238739183.81312346</v>
      </c>
      <c r="N835" s="27">
        <f>J835/K835</f>
        <v>0.26169544725405414</v>
      </c>
      <c r="P835" s="325"/>
      <c r="R835" s="304"/>
      <c r="S835" s="304"/>
      <c r="T835" s="304"/>
      <c r="U835" s="304"/>
      <c r="V835" s="334"/>
      <c r="W835" s="334"/>
      <c r="X835" s="334"/>
      <c r="Y835" s="334"/>
      <c r="Z835" s="334"/>
      <c r="AA835" s="326" t="s">
        <v>1411</v>
      </c>
      <c r="AD835" s="326" t="s">
        <v>1718</v>
      </c>
      <c r="AE835" s="326" t="s">
        <v>1726</v>
      </c>
      <c r="AG835" s="326" t="s">
        <v>1708</v>
      </c>
      <c r="AH835" s="326" t="s">
        <v>1712</v>
      </c>
      <c r="AM835" s="326" t="s">
        <v>1492</v>
      </c>
      <c r="AN835" s="326" t="s">
        <v>1493</v>
      </c>
      <c r="AO835" s="326" t="s">
        <v>1494</v>
      </c>
      <c r="AQ835" s="326">
        <v>740</v>
      </c>
      <c r="AR835" s="326" t="s">
        <v>1463</v>
      </c>
      <c r="AT835"/>
      <c r="AU835"/>
      <c r="AV835"/>
    </row>
    <row r="836" spans="1:48">
      <c r="A836" s="277" t="s">
        <v>1283</v>
      </c>
      <c r="B836" s="334" t="s">
        <v>1663</v>
      </c>
      <c r="C836" s="334">
        <f>'EXD Roalkvam 2011'!D11</f>
        <v>6.5822784810126572E-2</v>
      </c>
      <c r="I836" s="301">
        <f>'EXD Roalkvam 2011'!J11</f>
        <v>497277295.19429702</v>
      </c>
      <c r="J836" s="301">
        <f>'EXD Roalkvam 2011'!G11</f>
        <v>266891660.06934294</v>
      </c>
      <c r="K836" s="301">
        <f>I836+J836</f>
        <v>764168955.26363993</v>
      </c>
      <c r="N836" s="27">
        <f>J836/K836</f>
        <v>0.34925739685049723</v>
      </c>
      <c r="P836" s="303">
        <f>'EXD Roalkvam 2011'!M11</f>
        <v>20.458180126139801</v>
      </c>
      <c r="R836" s="304"/>
      <c r="S836" s="304"/>
      <c r="T836" s="304"/>
      <c r="U836" s="304"/>
      <c r="V836" s="334"/>
      <c r="W836" s="334"/>
      <c r="X836" s="334"/>
      <c r="Y836" s="326"/>
      <c r="Z836" s="334"/>
      <c r="AA836" s="326" t="s">
        <v>1411</v>
      </c>
      <c r="AD836" s="326" t="s">
        <v>1718</v>
      </c>
      <c r="AE836" s="326" t="s">
        <v>1726</v>
      </c>
      <c r="AG836" s="326" t="s">
        <v>1708</v>
      </c>
      <c r="AH836" s="326" t="s">
        <v>1712</v>
      </c>
      <c r="AM836" s="326" t="s">
        <v>1492</v>
      </c>
      <c r="AN836" s="326" t="s">
        <v>1493</v>
      </c>
      <c r="AO836" s="326" t="s">
        <v>1494</v>
      </c>
      <c r="AQ836" s="326">
        <v>740</v>
      </c>
      <c r="AR836" s="326" t="s">
        <v>1463</v>
      </c>
      <c r="AT836"/>
      <c r="AU836"/>
      <c r="AV836"/>
    </row>
    <row r="837" spans="1:48">
      <c r="A837" s="277" t="s">
        <v>1283</v>
      </c>
      <c r="B837" s="334" t="s">
        <v>1663</v>
      </c>
      <c r="C837" s="334">
        <f>'EXD Roalkvam 2011'!D12</f>
        <v>7.5949367088607597E-2</v>
      </c>
      <c r="I837" s="301">
        <f>'EXD Roalkvam 2011'!J12</f>
        <v>464054874.16659456</v>
      </c>
      <c r="P837" s="303"/>
      <c r="R837" s="304"/>
      <c r="S837" s="304"/>
      <c r="T837" s="304"/>
      <c r="U837" s="304"/>
      <c r="V837" s="334"/>
      <c r="W837" s="334"/>
      <c r="X837" s="334"/>
      <c r="Y837" s="328"/>
      <c r="Z837" s="334"/>
      <c r="AQ837" s="326">
        <v>740</v>
      </c>
      <c r="AR837" s="326" t="s">
        <v>1463</v>
      </c>
      <c r="AT837"/>
      <c r="AU837"/>
      <c r="AV837"/>
    </row>
    <row r="838" spans="1:48">
      <c r="A838" s="277" t="s">
        <v>1283</v>
      </c>
      <c r="B838" s="334" t="s">
        <v>1663</v>
      </c>
      <c r="C838" s="334">
        <f>'EXD Roalkvam 2011'!D13</f>
        <v>8.6075949367088608E-2</v>
      </c>
      <c r="I838" s="301">
        <f>'EXD Roalkvam 2011'!J13</f>
        <v>266891660.06934294</v>
      </c>
      <c r="J838" s="301">
        <f>'EXD Roalkvam 2011'!G13</f>
        <v>611908528.75546479</v>
      </c>
      <c r="K838" s="301">
        <f>I838+J838</f>
        <v>878800188.82480776</v>
      </c>
      <c r="N838" s="27">
        <f>J838/K838</f>
        <v>0.69629995138457024</v>
      </c>
      <c r="P838" s="289"/>
      <c r="R838" s="304"/>
      <c r="S838" s="304"/>
      <c r="T838" s="304"/>
      <c r="U838" s="304"/>
      <c r="V838" s="334"/>
      <c r="W838" s="334"/>
      <c r="X838" s="334"/>
      <c r="Y838" s="328"/>
      <c r="Z838" s="334"/>
      <c r="AA838" s="326" t="s">
        <v>1411</v>
      </c>
      <c r="AD838" s="326" t="s">
        <v>1718</v>
      </c>
      <c r="AE838" s="326" t="s">
        <v>1726</v>
      </c>
      <c r="AG838" s="326" t="s">
        <v>1708</v>
      </c>
      <c r="AH838" s="326" t="s">
        <v>1712</v>
      </c>
      <c r="AM838" s="326" t="s">
        <v>1492</v>
      </c>
      <c r="AN838" s="326" t="s">
        <v>1493</v>
      </c>
      <c r="AO838" s="326" t="s">
        <v>1494</v>
      </c>
      <c r="AQ838" s="326">
        <v>740</v>
      </c>
      <c r="AR838" s="326" t="s">
        <v>1463</v>
      </c>
      <c r="AT838"/>
      <c r="AU838"/>
      <c r="AV838"/>
    </row>
    <row r="839" spans="1:48">
      <c r="A839" s="277" t="s">
        <v>1283</v>
      </c>
      <c r="B839" s="334" t="s">
        <v>1663</v>
      </c>
      <c r="C839" s="334">
        <f>'EXD Roalkvam 2011'!D14</f>
        <v>9.3670886075949367E-2</v>
      </c>
      <c r="I839" s="301">
        <f>'EXD Roalkvam 2011'!J14</f>
        <v>101373610.77546035</v>
      </c>
      <c r="J839" s="301">
        <f>'EXD Roalkvam 2011'!G14</f>
        <v>806870196.62519002</v>
      </c>
      <c r="K839" s="301">
        <f>I839+J839</f>
        <v>908243807.40065038</v>
      </c>
      <c r="N839" s="27">
        <f>J839/K839</f>
        <v>0.88838502398867247</v>
      </c>
      <c r="P839" s="289"/>
      <c r="R839" s="304"/>
      <c r="S839" s="304"/>
      <c r="T839" s="304"/>
      <c r="U839" s="304"/>
      <c r="V839" s="334"/>
      <c r="W839" s="334"/>
      <c r="X839" s="334"/>
      <c r="Y839" s="328"/>
      <c r="Z839" s="334"/>
      <c r="AA839" s="326" t="s">
        <v>1411</v>
      </c>
      <c r="AD839" s="326" t="s">
        <v>1718</v>
      </c>
      <c r="AE839" s="326" t="s">
        <v>1726</v>
      </c>
      <c r="AG839" s="326" t="s">
        <v>1708</v>
      </c>
      <c r="AH839" s="326" t="s">
        <v>1712</v>
      </c>
      <c r="AM839" s="326" t="s">
        <v>1492</v>
      </c>
      <c r="AN839" s="326" t="s">
        <v>1493</v>
      </c>
      <c r="AO839" s="326" t="s">
        <v>1494</v>
      </c>
      <c r="AQ839" s="326">
        <v>740</v>
      </c>
      <c r="AR839" s="326" t="s">
        <v>1463</v>
      </c>
      <c r="AT839"/>
      <c r="AU839"/>
      <c r="AV839"/>
    </row>
    <row r="840" spans="1:48">
      <c r="A840" s="277" t="s">
        <v>1283</v>
      </c>
      <c r="B840" s="334" t="s">
        <v>1663</v>
      </c>
      <c r="C840" s="334">
        <f>'EXD Roalkvam 2011'!D15</f>
        <v>0.10886075949367088</v>
      </c>
      <c r="I840" s="301">
        <f>'EXD Roalkvam 2011'!J15</f>
        <v>88280814.575257346</v>
      </c>
      <c r="J840" s="301">
        <f>'EXD Roalkvam 2011'!G15</f>
        <v>1726338220.1894019</v>
      </c>
      <c r="K840" s="301">
        <f>I840+J840</f>
        <v>1814619034.7646592</v>
      </c>
      <c r="N840" s="27">
        <f>J840/K840</f>
        <v>0.95135022123985014</v>
      </c>
      <c r="P840" s="328">
        <f>'EXD Roalkvam 2011'!M15</f>
        <v>19.083488015699199</v>
      </c>
      <c r="R840" s="304"/>
      <c r="S840" s="304"/>
      <c r="T840" s="304"/>
      <c r="U840" s="304"/>
      <c r="V840" s="334"/>
      <c r="W840" s="334"/>
      <c r="X840" s="334"/>
      <c r="Y840" s="323"/>
      <c r="Z840" s="334"/>
      <c r="AA840" s="326" t="s">
        <v>1411</v>
      </c>
      <c r="AD840" s="326" t="s">
        <v>1718</v>
      </c>
      <c r="AE840" s="326" t="s">
        <v>1726</v>
      </c>
      <c r="AG840" s="326" t="s">
        <v>1708</v>
      </c>
      <c r="AH840" s="326" t="s">
        <v>1712</v>
      </c>
      <c r="AM840" s="326" t="s">
        <v>1492</v>
      </c>
      <c r="AN840" s="326" t="s">
        <v>1493</v>
      </c>
      <c r="AO840" s="326" t="s">
        <v>1494</v>
      </c>
      <c r="AQ840" s="326">
        <v>740</v>
      </c>
      <c r="AR840" s="326" t="s">
        <v>1463</v>
      </c>
      <c r="AT840"/>
      <c r="AU840"/>
      <c r="AV840"/>
    </row>
    <row r="841" spans="1:48">
      <c r="A841" s="277" t="s">
        <v>1283</v>
      </c>
      <c r="B841" s="334" t="s">
        <v>1663</v>
      </c>
      <c r="C841" s="334">
        <f>'EXD Roalkvam 2011'!D16</f>
        <v>0.12911392405063291</v>
      </c>
      <c r="I841" s="301">
        <f>'EXD Roalkvam 2011'!J16</f>
        <v>153497274.09392098</v>
      </c>
      <c r="J841" s="301">
        <f>'EXD Roalkvam 2011'!G16</f>
        <v>2801114936.529633</v>
      </c>
      <c r="K841" s="301">
        <f>I841+J841</f>
        <v>2954612210.6235542</v>
      </c>
      <c r="N841" s="27">
        <f>J841/K841</f>
        <v>0.94804825027730921</v>
      </c>
      <c r="P841" s="289"/>
      <c r="R841" s="304"/>
      <c r="S841" s="304"/>
      <c r="T841" s="304"/>
      <c r="U841" s="304"/>
      <c r="V841" s="334"/>
      <c r="W841" s="334"/>
      <c r="X841" s="334"/>
      <c r="Y841" s="328"/>
      <c r="Z841" s="334"/>
      <c r="AA841" s="326" t="s">
        <v>1411</v>
      </c>
      <c r="AD841" s="326" t="s">
        <v>1718</v>
      </c>
      <c r="AE841" s="326" t="s">
        <v>1726</v>
      </c>
      <c r="AG841" s="326" t="s">
        <v>1708</v>
      </c>
      <c r="AH841" s="326" t="s">
        <v>1712</v>
      </c>
      <c r="AM841" s="326" t="s">
        <v>1492</v>
      </c>
      <c r="AN841" s="326" t="s">
        <v>1493</v>
      </c>
      <c r="AO841" s="326" t="s">
        <v>1494</v>
      </c>
      <c r="AQ841" s="326">
        <v>740</v>
      </c>
      <c r="AR841" s="326" t="s">
        <v>1463</v>
      </c>
      <c r="AT841"/>
      <c r="AU841"/>
      <c r="AV841"/>
    </row>
    <row r="842" spans="1:48">
      <c r="A842" s="277" t="s">
        <v>1283</v>
      </c>
      <c r="B842" s="334" t="s">
        <v>1663</v>
      </c>
      <c r="C842" s="334">
        <f>'EXD Roalkvam 2011'!D17</f>
        <v>0.14936708860759493</v>
      </c>
      <c r="I842" s="301">
        <f>'EXD Roalkvam 2011'!J17</f>
        <v>153497274.09392098</v>
      </c>
      <c r="J842" s="301">
        <f>'EXD Roalkvam 2011'!G17</f>
        <v>6422179393.8464518</v>
      </c>
      <c r="K842" s="301">
        <f>I842+J842</f>
        <v>6575676667.9403725</v>
      </c>
      <c r="N842" s="27">
        <f>J842/K842</f>
        <v>0.97665680935282373</v>
      </c>
      <c r="P842" s="289">
        <f>'EXD Roalkvam 2011'!M17</f>
        <v>9.8237379689151698</v>
      </c>
      <c r="R842" s="304"/>
      <c r="S842" s="304"/>
      <c r="T842" s="304"/>
      <c r="U842" s="304"/>
      <c r="V842" s="334"/>
      <c r="W842" s="334"/>
      <c r="X842" s="334"/>
      <c r="Y842" s="328"/>
      <c r="Z842" s="334"/>
      <c r="AA842" s="326" t="s">
        <v>1411</v>
      </c>
      <c r="AD842" s="326" t="s">
        <v>1718</v>
      </c>
      <c r="AE842" s="326" t="s">
        <v>1726</v>
      </c>
      <c r="AG842" s="326" t="s">
        <v>1708</v>
      </c>
      <c r="AH842" s="326" t="s">
        <v>1712</v>
      </c>
      <c r="AM842" s="326" t="s">
        <v>1492</v>
      </c>
      <c r="AN842" s="326" t="s">
        <v>1493</v>
      </c>
      <c r="AO842" s="326" t="s">
        <v>1494</v>
      </c>
      <c r="AQ842" s="326">
        <v>740</v>
      </c>
      <c r="AR842" s="326" t="s">
        <v>1463</v>
      </c>
      <c r="AT842"/>
      <c r="AU842"/>
      <c r="AV842"/>
    </row>
    <row r="843" spans="1:48">
      <c r="A843" s="277" t="s">
        <v>1283</v>
      </c>
      <c r="B843" s="334" t="s">
        <v>1663</v>
      </c>
      <c r="C843" s="334">
        <f>'EXD Roalkvam 2011'!D18</f>
        <v>0.16708860759493671</v>
      </c>
      <c r="I843" s="301">
        <f>'EXD Roalkvam 2011'!J18</f>
        <v>101373610.77546035</v>
      </c>
      <c r="J843" s="301">
        <f>'EXD Roalkvam 2011'!G18</f>
        <v>1402936485.412822</v>
      </c>
      <c r="K843" s="301">
        <f>I843+J843</f>
        <v>1504310096.1882823</v>
      </c>
      <c r="N843" s="27">
        <f>J843/K843</f>
        <v>0.93261122754389059</v>
      </c>
      <c r="P843" s="328"/>
      <c r="R843" s="304"/>
      <c r="S843" s="304"/>
      <c r="T843" s="304"/>
      <c r="U843" s="304"/>
      <c r="V843" s="334"/>
      <c r="W843" s="334"/>
      <c r="X843" s="334"/>
      <c r="Y843" s="334"/>
      <c r="Z843" s="334"/>
      <c r="AA843" s="326" t="s">
        <v>1411</v>
      </c>
      <c r="AD843" s="326" t="s">
        <v>1718</v>
      </c>
      <c r="AE843" s="326" t="s">
        <v>1726</v>
      </c>
      <c r="AG843" s="326" t="s">
        <v>1708</v>
      </c>
      <c r="AH843" s="326" t="s">
        <v>1712</v>
      </c>
      <c r="AM843" s="326" t="s">
        <v>1492</v>
      </c>
      <c r="AN843" s="326" t="s">
        <v>1493</v>
      </c>
      <c r="AO843" s="326" t="s">
        <v>1494</v>
      </c>
      <c r="AQ843" s="326">
        <v>740</v>
      </c>
      <c r="AR843" s="326" t="s">
        <v>1463</v>
      </c>
      <c r="AT843"/>
      <c r="AU843"/>
      <c r="AV843"/>
    </row>
    <row r="844" spans="1:48">
      <c r="A844" s="277" t="s">
        <v>1283</v>
      </c>
      <c r="B844" s="334" t="s">
        <v>1663</v>
      </c>
      <c r="C844" s="334">
        <f>'EXD Roalkvam 2011'!D19</f>
        <v>0.18734177215189873</v>
      </c>
      <c r="I844" s="301">
        <f>'EXD Roalkvam 2011'!J19</f>
        <v>108631107.60561264</v>
      </c>
      <c r="J844" s="301">
        <f>'EXD Roalkvam 2011'!G19</f>
        <v>306473964.89552832</v>
      </c>
      <c r="K844" s="301">
        <f>I844+J844</f>
        <v>415105072.50114095</v>
      </c>
      <c r="N844" s="27">
        <f>J844/K844</f>
        <v>0.73830455274594586</v>
      </c>
      <c r="P844" s="328">
        <f>'EXD Roalkvam 2011'!M19</f>
        <v>7.0836094013160196</v>
      </c>
      <c r="R844" s="304"/>
      <c r="S844" s="304"/>
      <c r="T844" s="304"/>
      <c r="U844" s="304"/>
      <c r="V844" s="334"/>
      <c r="W844" s="334"/>
      <c r="X844" s="334"/>
      <c r="Y844" s="334"/>
      <c r="Z844" s="334"/>
      <c r="AA844" s="326" t="s">
        <v>1411</v>
      </c>
      <c r="AD844" s="326" t="s">
        <v>1718</v>
      </c>
      <c r="AE844" s="326" t="s">
        <v>1726</v>
      </c>
      <c r="AG844" s="326" t="s">
        <v>1708</v>
      </c>
      <c r="AH844" s="326" t="s">
        <v>1712</v>
      </c>
      <c r="AM844" s="326" t="s">
        <v>1492</v>
      </c>
      <c r="AN844" s="326" t="s">
        <v>1493</v>
      </c>
      <c r="AO844" s="326" t="s">
        <v>1494</v>
      </c>
      <c r="AQ844" s="326">
        <v>740</v>
      </c>
      <c r="AR844" s="326" t="s">
        <v>1463</v>
      </c>
      <c r="AT844"/>
      <c r="AU844"/>
      <c r="AV844"/>
    </row>
    <row r="845" spans="1:48">
      <c r="A845" s="277" t="s">
        <v>1283</v>
      </c>
      <c r="B845" s="334" t="s">
        <v>1663</v>
      </c>
      <c r="C845" s="334">
        <f>'EXD Roalkvam 2011'!D20</f>
        <v>0.20759493670886076</v>
      </c>
      <c r="H845" s="336"/>
      <c r="I845" s="301">
        <f>'EXD Roalkvam 2011'!J20</f>
        <v>3668756.618172355</v>
      </c>
      <c r="J845" s="301">
        <f>'EXD Roalkvam 2011'!G20</f>
        <v>9658929.3478282169</v>
      </c>
      <c r="K845" s="301">
        <f>I845+J845</f>
        <v>13327685.966000572</v>
      </c>
      <c r="N845" s="27">
        <f>J845/K845</f>
        <v>0.72472666091236759</v>
      </c>
      <c r="P845" s="303"/>
      <c r="R845" s="304"/>
      <c r="S845" s="304"/>
      <c r="T845" s="304"/>
      <c r="U845" s="304"/>
      <c r="V845" s="334"/>
      <c r="W845" s="334"/>
      <c r="X845" s="334"/>
      <c r="Y845" s="334"/>
      <c r="Z845" s="334"/>
      <c r="AA845" s="326" t="s">
        <v>1411</v>
      </c>
      <c r="AD845" s="326" t="s">
        <v>1718</v>
      </c>
      <c r="AE845" s="326" t="s">
        <v>1726</v>
      </c>
      <c r="AG845" s="326" t="s">
        <v>1708</v>
      </c>
      <c r="AH845" s="326" t="s">
        <v>1712</v>
      </c>
      <c r="AM845" s="326" t="s">
        <v>1492</v>
      </c>
      <c r="AN845" s="326" t="s">
        <v>1493</v>
      </c>
      <c r="AO845" s="326" t="s">
        <v>1494</v>
      </c>
      <c r="AQ845" s="326">
        <v>740</v>
      </c>
      <c r="AR845" s="326" t="s">
        <v>1463</v>
      </c>
      <c r="AT845"/>
      <c r="AU845"/>
      <c r="AV845"/>
    </row>
    <row r="846" spans="1:48">
      <c r="A846" s="277" t="s">
        <v>388</v>
      </c>
      <c r="B846" s="334" t="s">
        <v>37</v>
      </c>
      <c r="C846" s="334">
        <f>'Rossello-Mora 1999'!B31</f>
        <v>5.0000000000000001E-3</v>
      </c>
      <c r="D846" s="301">
        <f>'Rossello-Mora 1999'!J31</f>
        <v>747229102.04660606</v>
      </c>
      <c r="E846" s="301">
        <f>'Rossello-Mora 1999'!K31</f>
        <v>136893936.51500264</v>
      </c>
      <c r="G846" s="301">
        <f>E846</f>
        <v>136893936.51500264</v>
      </c>
      <c r="H846" s="336">
        <f>G846/D846</f>
        <v>0.18320209443135996</v>
      </c>
      <c r="M846" s="27">
        <v>0</v>
      </c>
      <c r="O846" t="s">
        <v>943</v>
      </c>
      <c r="P846" s="303"/>
      <c r="Q846" s="301" t="b">
        <v>1</v>
      </c>
      <c r="R846" s="304" t="s">
        <v>460</v>
      </c>
      <c r="S846" s="304" t="s">
        <v>142</v>
      </c>
      <c r="T846" s="304" t="s">
        <v>47</v>
      </c>
      <c r="U846" s="304" t="s">
        <v>7</v>
      </c>
      <c r="V846" s="334"/>
      <c r="W846" s="334"/>
      <c r="X846" s="334"/>
      <c r="Y846" s="334"/>
      <c r="Z846" s="334"/>
      <c r="AQ846" s="326">
        <v>77</v>
      </c>
      <c r="AR846" s="326"/>
      <c r="AT846"/>
      <c r="AU846"/>
      <c r="AV846"/>
    </row>
    <row r="847" spans="1:48">
      <c r="A847" s="277" t="s">
        <v>388</v>
      </c>
      <c r="B847" s="334" t="s">
        <v>37</v>
      </c>
      <c r="C847" s="334">
        <f>'Rossello-Mora 1999'!B32</f>
        <v>0.01</v>
      </c>
      <c r="D847" s="301">
        <f>'Rossello-Mora 1999'!J32</f>
        <v>976307780.98499143</v>
      </c>
      <c r="E847" s="301">
        <f>'Rossello-Mora 1999'!K32</f>
        <v>235712264.22554001</v>
      </c>
      <c r="G847" s="301">
        <f>E847</f>
        <v>235712264.22554001</v>
      </c>
      <c r="H847" s="336">
        <f>G847/D847</f>
        <v>0.24143233191046704</v>
      </c>
      <c r="M847" s="27">
        <v>0</v>
      </c>
      <c r="O847" t="s">
        <v>943</v>
      </c>
      <c r="P847" s="327"/>
      <c r="Q847" s="301" t="b">
        <v>1</v>
      </c>
      <c r="R847" s="304" t="s">
        <v>460</v>
      </c>
      <c r="S847" s="304" t="s">
        <v>142</v>
      </c>
      <c r="T847" s="304" t="s">
        <v>47</v>
      </c>
      <c r="U847" s="304" t="s">
        <v>7</v>
      </c>
      <c r="V847" s="334"/>
      <c r="W847" s="334"/>
      <c r="X847" s="334"/>
      <c r="Y847" s="334"/>
      <c r="Z847" s="334"/>
      <c r="AQ847" s="326">
        <v>77</v>
      </c>
      <c r="AR847" s="326"/>
      <c r="AT847"/>
      <c r="AU847"/>
      <c r="AV847"/>
    </row>
    <row r="848" spans="1:48">
      <c r="A848" s="277" t="s">
        <v>388</v>
      </c>
      <c r="B848" s="334" t="s">
        <v>37</v>
      </c>
      <c r="C848" s="334">
        <f>'Rossello-Mora 1999'!B33</f>
        <v>1.4999999999999999E-2</v>
      </c>
      <c r="D848" s="301">
        <f>'Rossello-Mora 1999'!J33</f>
        <v>498574454.22922873</v>
      </c>
      <c r="E848" s="301">
        <f>'Rossello-Mora 1999'!K33</f>
        <v>90736419.077174798</v>
      </c>
      <c r="G848" s="301">
        <f>E848</f>
        <v>90736419.077174798</v>
      </c>
      <c r="H848" s="336">
        <f>G848/D848</f>
        <v>0.18199171318845203</v>
      </c>
      <c r="M848" s="27">
        <v>0</v>
      </c>
      <c r="O848" t="s">
        <v>943</v>
      </c>
      <c r="P848" s="327"/>
      <c r="Q848" s="301" t="b">
        <v>1</v>
      </c>
      <c r="R848" s="304" t="s">
        <v>460</v>
      </c>
      <c r="S848" s="304" t="s">
        <v>142</v>
      </c>
      <c r="T848" s="304" t="s">
        <v>47</v>
      </c>
      <c r="U848" s="304" t="s">
        <v>7</v>
      </c>
      <c r="V848" s="334"/>
      <c r="W848" s="334"/>
      <c r="X848" s="334"/>
      <c r="Y848" s="334"/>
      <c r="Z848" s="334"/>
      <c r="AQ848" s="326">
        <v>77</v>
      </c>
      <c r="AR848" s="326"/>
      <c r="AT848"/>
      <c r="AU848"/>
      <c r="AV848"/>
    </row>
    <row r="849" spans="1:48">
      <c r="A849" s="277" t="s">
        <v>388</v>
      </c>
      <c r="B849" s="334" t="s">
        <v>37</v>
      </c>
      <c r="C849" s="334">
        <f>'Rossello-Mora 1999'!B34</f>
        <v>0.02</v>
      </c>
      <c r="D849" s="301">
        <f>'Rossello-Mora 1999'!J34</f>
        <v>460657462.32317573</v>
      </c>
      <c r="E849" s="301">
        <f>'Rossello-Mora 1999'!K34</f>
        <v>88970861.934139147</v>
      </c>
      <c r="G849" s="301">
        <f>E849</f>
        <v>88970861.934139147</v>
      </c>
      <c r="H849" s="336">
        <f>G849/D849</f>
        <v>0.1931388704427876</v>
      </c>
      <c r="M849" s="27">
        <v>0</v>
      </c>
      <c r="O849" t="s">
        <v>943</v>
      </c>
      <c r="P849" s="328"/>
      <c r="Q849" s="301" t="b">
        <v>1</v>
      </c>
      <c r="R849" s="304" t="s">
        <v>460</v>
      </c>
      <c r="S849" s="304" t="s">
        <v>142</v>
      </c>
      <c r="T849" s="304" t="s">
        <v>47</v>
      </c>
      <c r="U849" s="304" t="s">
        <v>7</v>
      </c>
      <c r="V849" s="334"/>
      <c r="W849" s="334"/>
      <c r="X849" s="334"/>
      <c r="Y849" s="334"/>
      <c r="Z849" s="334"/>
      <c r="AQ849" s="326">
        <v>77</v>
      </c>
      <c r="AR849" s="326"/>
      <c r="AT849"/>
      <c r="AU849"/>
      <c r="AV849"/>
    </row>
    <row r="850" spans="1:48">
      <c r="A850" s="277" t="s">
        <v>388</v>
      </c>
      <c r="B850" s="334" t="s">
        <v>37</v>
      </c>
      <c r="C850" s="334">
        <f>'Rossello-Mora 1999'!B35</f>
        <v>2.5000000000000001E-2</v>
      </c>
      <c r="D850" s="301">
        <f>'Rossello-Mora 1999'!J35</f>
        <v>425319883.31272358</v>
      </c>
      <c r="E850" s="301">
        <f>'Rossello-Mora 1999'!K35</f>
        <v>62674446.133158445</v>
      </c>
      <c r="G850" s="301">
        <f>E850</f>
        <v>62674446.133158445</v>
      </c>
      <c r="H850" s="336">
        <f>G850/D850</f>
        <v>0.14735837329071214</v>
      </c>
      <c r="M850" s="27">
        <v>0</v>
      </c>
      <c r="O850" t="s">
        <v>943</v>
      </c>
      <c r="P850" s="327"/>
      <c r="Q850" s="301" t="b">
        <v>1</v>
      </c>
      <c r="R850" s="304" t="s">
        <v>460</v>
      </c>
      <c r="S850" s="304" t="s">
        <v>142</v>
      </c>
      <c r="T850" s="304" t="s">
        <v>47</v>
      </c>
      <c r="U850" s="304" t="s">
        <v>7</v>
      </c>
      <c r="V850" s="334"/>
      <c r="W850" s="334"/>
      <c r="X850" s="334"/>
      <c r="Y850" s="334"/>
      <c r="Z850" s="334"/>
      <c r="AQ850" s="326">
        <v>77</v>
      </c>
      <c r="AR850" s="326"/>
      <c r="AT850"/>
      <c r="AU850"/>
      <c r="AV850"/>
    </row>
    <row r="851" spans="1:48">
      <c r="A851" s="277" t="s">
        <v>388</v>
      </c>
      <c r="B851" s="334" t="s">
        <v>37</v>
      </c>
      <c r="C851" s="334">
        <f>'Rossello-Mora 1999'!B36</f>
        <v>0.03</v>
      </c>
      <c r="D851" s="301">
        <f>'Rossello-Mora 1999'!J36</f>
        <v>280344038.16435832</v>
      </c>
      <c r="E851" s="301">
        <f>'Rossello-Mora 1999'!K36</f>
        <v>20888334.883703396</v>
      </c>
      <c r="G851" s="301">
        <f>E851</f>
        <v>20888334.883703396</v>
      </c>
      <c r="H851" s="336">
        <f>G851/D851</f>
        <v>7.4509645435930819E-2</v>
      </c>
      <c r="M851" s="27">
        <v>0</v>
      </c>
      <c r="O851" t="s">
        <v>943</v>
      </c>
      <c r="P851" s="328"/>
      <c r="Q851" s="301" t="b">
        <v>1</v>
      </c>
      <c r="R851" s="304" t="s">
        <v>460</v>
      </c>
      <c r="S851" s="304" t="s">
        <v>142</v>
      </c>
      <c r="T851" s="304" t="s">
        <v>47</v>
      </c>
      <c r="U851" s="304" t="s">
        <v>7</v>
      </c>
      <c r="V851" s="334"/>
      <c r="W851" s="334"/>
      <c r="X851" s="334"/>
      <c r="Y851" s="334"/>
      <c r="Z851" s="334"/>
      <c r="AQ851" s="326">
        <v>77</v>
      </c>
      <c r="AR851" s="326"/>
      <c r="AT851"/>
      <c r="AU851"/>
      <c r="AV851"/>
    </row>
    <row r="852" spans="1:48">
      <c r="A852" s="277" t="s">
        <v>388</v>
      </c>
      <c r="B852" s="334" t="s">
        <v>37</v>
      </c>
      <c r="C852" s="334">
        <f>'Rossello-Mora 1999'!B37</f>
        <v>3.5000000000000003E-2</v>
      </c>
      <c r="D852" s="301">
        <f>'Rossello-Mora 1999'!J37</f>
        <v>250165284.94510782</v>
      </c>
      <c r="E852" s="301">
        <f>'Rossello-Mora 1999'!K37</f>
        <v>21662536.411665652</v>
      </c>
      <c r="G852" s="301">
        <f>E852</f>
        <v>21662536.411665652</v>
      </c>
      <c r="H852" s="336">
        <f>G852/D852</f>
        <v>8.6592895638653161E-2</v>
      </c>
      <c r="M852" s="27">
        <v>0</v>
      </c>
      <c r="O852" t="s">
        <v>943</v>
      </c>
      <c r="P852" s="327"/>
      <c r="Q852" s="301" t="b">
        <v>1</v>
      </c>
      <c r="R852" s="304" t="s">
        <v>460</v>
      </c>
      <c r="S852" s="304" t="s">
        <v>142</v>
      </c>
      <c r="T852" s="304" t="s">
        <v>47</v>
      </c>
      <c r="U852" s="304" t="s">
        <v>7</v>
      </c>
      <c r="V852" s="334"/>
      <c r="W852" s="334"/>
      <c r="X852" s="334"/>
      <c r="Y852" s="334"/>
      <c r="Z852" s="334"/>
      <c r="AQ852" s="326">
        <v>77</v>
      </c>
      <c r="AR852" s="326"/>
      <c r="AT852"/>
      <c r="AU852"/>
      <c r="AV852"/>
    </row>
    <row r="853" spans="1:48">
      <c r="A853" s="277" t="s">
        <v>388</v>
      </c>
      <c r="B853" s="334" t="s">
        <v>37</v>
      </c>
      <c r="C853" s="334">
        <f>'Rossello-Mora 1999'!B38</f>
        <v>0.04</v>
      </c>
      <c r="D853" s="301">
        <f>'Rossello-Mora 1999'!J38</f>
        <v>272890932.23541486</v>
      </c>
      <c r="E853" s="301">
        <f>'Rossello-Mora 1999'!K38</f>
        <v>17317566.373028699</v>
      </c>
      <c r="G853" s="301">
        <f>E853</f>
        <v>17317566.373028699</v>
      </c>
      <c r="H853" s="336">
        <f>G853/D853</f>
        <v>6.3459662185071625E-2</v>
      </c>
      <c r="M853" s="27">
        <v>0</v>
      </c>
      <c r="O853" t="s">
        <v>943</v>
      </c>
      <c r="P853" s="327"/>
      <c r="Q853" s="301" t="b">
        <v>1</v>
      </c>
      <c r="R853" s="304" t="s">
        <v>460</v>
      </c>
      <c r="S853" s="304" t="s">
        <v>142</v>
      </c>
      <c r="T853" s="304" t="s">
        <v>47</v>
      </c>
      <c r="U853" s="304" t="s">
        <v>7</v>
      </c>
      <c r="V853" s="334"/>
      <c r="W853" s="334"/>
      <c r="X853" s="334"/>
      <c r="Y853" s="334"/>
      <c r="Z853" s="334"/>
      <c r="AQ853" s="326">
        <v>77</v>
      </c>
      <c r="AR853" s="326"/>
      <c r="AT853"/>
      <c r="AU853"/>
      <c r="AV853"/>
    </row>
    <row r="854" spans="1:48">
      <c r="A854" s="277" t="s">
        <v>388</v>
      </c>
      <c r="B854" s="334" t="s">
        <v>37</v>
      </c>
      <c r="C854" s="334">
        <f>'Rossello-Mora 1999'!B39</f>
        <v>4.4999999999999998E-2</v>
      </c>
      <c r="D854" s="301">
        <f>'Rossello-Mora 1999'!J39</f>
        <v>174370955.35760438</v>
      </c>
      <c r="E854" s="301">
        <f>'Rossello-Mora 1999'!K39</f>
        <v>12919724.034921218</v>
      </c>
      <c r="G854" s="301">
        <f>E854</f>
        <v>12919724.034921218</v>
      </c>
      <c r="H854" s="336">
        <f>G854/D854</f>
        <v>7.4093325969483384E-2</v>
      </c>
      <c r="M854" s="27">
        <v>0</v>
      </c>
      <c r="O854" t="s">
        <v>943</v>
      </c>
      <c r="P854" s="327"/>
      <c r="Q854" s="301" t="b">
        <v>1</v>
      </c>
      <c r="R854" s="304" t="s">
        <v>460</v>
      </c>
      <c r="S854" s="304" t="s">
        <v>142</v>
      </c>
      <c r="T854" s="304" t="s">
        <v>47</v>
      </c>
      <c r="U854" s="304" t="s">
        <v>7</v>
      </c>
      <c r="V854" s="334"/>
      <c r="W854" s="334"/>
      <c r="X854" s="334"/>
      <c r="Y854" s="334"/>
      <c r="Z854" s="334"/>
      <c r="AQ854" s="326">
        <v>77</v>
      </c>
      <c r="AR854" s="326"/>
      <c r="AT854"/>
      <c r="AU854"/>
      <c r="AV854"/>
    </row>
    <row r="855" spans="1:48">
      <c r="A855" s="277" t="s">
        <v>388</v>
      </c>
      <c r="B855" s="334" t="s">
        <v>37</v>
      </c>
      <c r="C855" s="334">
        <f>'Rossello-Mora 1999'!B40</f>
        <v>0.05</v>
      </c>
      <c r="D855" s="301">
        <f>'Rossello-Mora 1999'!J40</f>
        <v>262871631.48573741</v>
      </c>
      <c r="E855" s="301">
        <f>'Rossello-Mora 1999'!K40</f>
        <v>11127730.742150001</v>
      </c>
      <c r="G855" s="301">
        <f>E855</f>
        <v>11127730.742150001</v>
      </c>
      <c r="H855" s="336">
        <f>G855/D855</f>
        <v>4.2331424959234358E-2</v>
      </c>
      <c r="M855" s="27">
        <v>0</v>
      </c>
      <c r="O855" t="s">
        <v>943</v>
      </c>
      <c r="P855" s="327"/>
      <c r="Q855" s="301" t="b">
        <v>1</v>
      </c>
      <c r="R855" s="304" t="s">
        <v>460</v>
      </c>
      <c r="S855" s="304" t="s">
        <v>142</v>
      </c>
      <c r="T855" s="304" t="s">
        <v>47</v>
      </c>
      <c r="U855" s="304" t="s">
        <v>7</v>
      </c>
      <c r="V855" s="334"/>
      <c r="W855" s="334"/>
      <c r="X855" s="334"/>
      <c r="Y855" s="334"/>
      <c r="Z855" s="334"/>
      <c r="AQ855" s="326">
        <v>77</v>
      </c>
      <c r="AR855" s="326"/>
      <c r="AT855"/>
      <c r="AU855"/>
      <c r="AV855"/>
    </row>
    <row r="856" spans="1:48">
      <c r="A856" s="277" t="s">
        <v>388</v>
      </c>
      <c r="B856" s="334" t="s">
        <v>37</v>
      </c>
      <c r="C856" s="334">
        <f>'Rossello-Mora 1999'!B41</f>
        <v>5.5E-2</v>
      </c>
      <c r="D856" s="301">
        <f>'Rossello-Mora 1999'!J41</f>
        <v>174656088.1154635</v>
      </c>
      <c r="E856" s="301">
        <f>'Rossello-Mora 1999'!K41</f>
        <v>4176911.6581768701</v>
      </c>
      <c r="G856" s="301">
        <f>E856</f>
        <v>4176911.6581768701</v>
      </c>
      <c r="H856" s="336">
        <f>G856/D856</f>
        <v>2.3915064760957849E-2</v>
      </c>
      <c r="M856" s="27">
        <v>0</v>
      </c>
      <c r="O856" t="s">
        <v>943</v>
      </c>
      <c r="P856" s="327"/>
      <c r="Q856" s="301" t="b">
        <v>1</v>
      </c>
      <c r="R856" s="304" t="s">
        <v>460</v>
      </c>
      <c r="S856" s="304" t="s">
        <v>142</v>
      </c>
      <c r="T856" s="304" t="s">
        <v>47</v>
      </c>
      <c r="U856" s="304" t="s">
        <v>7</v>
      </c>
      <c r="V856" s="334"/>
      <c r="W856" s="334"/>
      <c r="X856" s="334"/>
      <c r="Y856" s="334"/>
      <c r="Z856" s="334"/>
      <c r="AQ856" s="326">
        <v>77</v>
      </c>
      <c r="AR856" s="326"/>
      <c r="AT856"/>
      <c r="AU856"/>
      <c r="AV856"/>
    </row>
    <row r="857" spans="1:48">
      <c r="A857" s="277" t="s">
        <v>388</v>
      </c>
      <c r="B857" s="334" t="s">
        <v>37</v>
      </c>
      <c r="C857" s="334">
        <f>'Rossello-Mora 1999'!B42</f>
        <v>0.06</v>
      </c>
      <c r="D857" s="301">
        <f>'Rossello-Mora 1999'!J42</f>
        <v>170284681.9270913</v>
      </c>
      <c r="E857" s="301">
        <f>'Rossello-Mora 1999'!K42</f>
        <v>8833450.6044082623</v>
      </c>
      <c r="G857" s="301">
        <f>E857</f>
        <v>8833450.6044082623</v>
      </c>
      <c r="H857" s="27">
        <f>G857/D857</f>
        <v>5.1874604952372477E-2</v>
      </c>
      <c r="M857" s="27">
        <v>0</v>
      </c>
      <c r="O857" t="s">
        <v>943</v>
      </c>
      <c r="P857" s="328"/>
      <c r="Q857" s="301" t="b">
        <v>1</v>
      </c>
      <c r="R857" s="304" t="s">
        <v>460</v>
      </c>
      <c r="S857" s="304" t="s">
        <v>142</v>
      </c>
      <c r="T857" s="304" t="s">
        <v>47</v>
      </c>
      <c r="U857" s="304" t="s">
        <v>7</v>
      </c>
      <c r="V857" s="334"/>
      <c r="W857" s="334"/>
      <c r="X857" s="334"/>
      <c r="Y857" s="334"/>
      <c r="Z857" s="334"/>
      <c r="AQ857" s="326">
        <v>77</v>
      </c>
      <c r="AR857" s="326"/>
      <c r="AT857"/>
      <c r="AU857"/>
      <c r="AV857"/>
    </row>
    <row r="858" spans="1:48">
      <c r="A858" s="277" t="s">
        <v>411</v>
      </c>
      <c r="B858" s="334" t="s">
        <v>1543</v>
      </c>
      <c r="C858" s="334">
        <f>'Rusch 2003'!C9</f>
        <v>2.2756005056889799E-3</v>
      </c>
      <c r="D858" s="301">
        <f>'Rusch 2003'!E9</f>
        <v>809066281.37980795</v>
      </c>
      <c r="E858" s="301">
        <f>'Rusch 2003'!G9</f>
        <v>424780751.31866217</v>
      </c>
      <c r="G858" s="301">
        <f>E858</f>
        <v>424780751.31866217</v>
      </c>
      <c r="H858" s="27">
        <f>G858/D858</f>
        <v>0.52502589848909198</v>
      </c>
      <c r="O858" t="s">
        <v>943</v>
      </c>
      <c r="P858" s="327"/>
      <c r="Q858" s="301" t="b">
        <v>1</v>
      </c>
      <c r="R858" s="304" t="s">
        <v>460</v>
      </c>
      <c r="S858" s="304" t="s">
        <v>140</v>
      </c>
      <c r="T858" s="304" t="s">
        <v>47</v>
      </c>
      <c r="U858" s="304" t="s">
        <v>7</v>
      </c>
      <c r="V858" s="334"/>
      <c r="W858" s="334"/>
      <c r="X858" s="334"/>
      <c r="Y858" s="334"/>
      <c r="Z858" s="334"/>
      <c r="AB858" s="334" t="s">
        <v>1739</v>
      </c>
      <c r="AC858" s="334" t="s">
        <v>95</v>
      </c>
      <c r="AQ858" s="326">
        <v>15</v>
      </c>
      <c r="AR858" s="326" t="s">
        <v>162</v>
      </c>
      <c r="AT858"/>
      <c r="AU858"/>
      <c r="AV858"/>
    </row>
    <row r="859" spans="1:48">
      <c r="A859" s="277" t="s">
        <v>411</v>
      </c>
      <c r="B859" s="334" t="s">
        <v>1543</v>
      </c>
      <c r="C859" s="334">
        <f>'Rusch 2003'!C12</f>
        <v>2.4273072060682498E-3</v>
      </c>
      <c r="D859" s="301">
        <f>'Rusch 2003'!E12</f>
        <v>267506197.97396001</v>
      </c>
      <c r="E859" s="301">
        <f>'Rusch 2003'!G12</f>
        <v>150958382.59571409</v>
      </c>
      <c r="G859" s="301">
        <f>E859</f>
        <v>150958382.59571409</v>
      </c>
      <c r="H859" s="27">
        <f>G859/D859</f>
        <v>0.56431732699669601</v>
      </c>
      <c r="O859" t="s">
        <v>943</v>
      </c>
      <c r="P859" s="327"/>
      <c r="Q859" s="301" t="b">
        <v>1</v>
      </c>
      <c r="R859" s="304" t="s">
        <v>460</v>
      </c>
      <c r="S859" s="304" t="s">
        <v>140</v>
      </c>
      <c r="T859" s="304" t="s">
        <v>47</v>
      </c>
      <c r="U859" s="304" t="s">
        <v>7</v>
      </c>
      <c r="V859" s="334"/>
      <c r="W859" s="334"/>
      <c r="X859" s="334"/>
      <c r="Y859" s="334"/>
      <c r="Z859" s="334"/>
      <c r="AA859" s="334"/>
      <c r="AB859" s="334" t="s">
        <v>1739</v>
      </c>
      <c r="AC859" s="334" t="s">
        <v>95</v>
      </c>
      <c r="AE859" s="334"/>
      <c r="AQ859">
        <v>15</v>
      </c>
      <c r="AR859" s="326" t="s">
        <v>162</v>
      </c>
      <c r="AT859"/>
      <c r="AU859"/>
      <c r="AV859"/>
    </row>
    <row r="860" spans="1:48">
      <c r="A860" s="277" t="s">
        <v>411</v>
      </c>
      <c r="B860" s="334" t="s">
        <v>1543</v>
      </c>
      <c r="C860" s="334">
        <f>'Rusch 2003'!C11</f>
        <v>5.3097345132743501E-3</v>
      </c>
      <c r="D860" s="301">
        <f>'Rusch 2003'!E11</f>
        <v>460981496.37972599</v>
      </c>
      <c r="E860" s="301">
        <f>'Rusch 2003'!G11</f>
        <v>255472480.42486235</v>
      </c>
      <c r="G860" s="301">
        <f>E860</f>
        <v>255472480.42486235</v>
      </c>
      <c r="H860" s="27">
        <f>G860/D860</f>
        <v>0.55419248371396901</v>
      </c>
      <c r="O860" t="s">
        <v>943</v>
      </c>
      <c r="P860" s="327"/>
      <c r="Q860" s="301" t="b">
        <v>1</v>
      </c>
      <c r="R860" s="304" t="s">
        <v>460</v>
      </c>
      <c r="S860" s="304" t="s">
        <v>140</v>
      </c>
      <c r="T860" s="304" t="s">
        <v>47</v>
      </c>
      <c r="U860" s="304" t="s">
        <v>7</v>
      </c>
      <c r="V860" s="334"/>
      <c r="W860" s="334"/>
      <c r="X860" s="334"/>
      <c r="Y860" s="334"/>
      <c r="Z860" s="334"/>
      <c r="AB860" s="334" t="s">
        <v>1739</v>
      </c>
      <c r="AC860" s="334" t="s">
        <v>95</v>
      </c>
      <c r="AQ860" s="326">
        <v>15</v>
      </c>
      <c r="AR860" s="326" t="s">
        <v>162</v>
      </c>
      <c r="AT860"/>
      <c r="AU860"/>
      <c r="AV860"/>
    </row>
    <row r="861" spans="1:48">
      <c r="A861" s="277" t="s">
        <v>411</v>
      </c>
      <c r="B861" s="334" t="s">
        <v>1543</v>
      </c>
      <c r="C861" s="334">
        <f>'Rusch 2003'!C6</f>
        <v>8.3438685208596999E-3</v>
      </c>
      <c r="D861" s="301">
        <f>'Rusch 2003'!E6</f>
        <v>551857750.34068298</v>
      </c>
      <c r="E861" s="301">
        <f>'Rusch 2003'!G6</f>
        <v>275057932.01719671</v>
      </c>
      <c r="G861" s="301">
        <f>E861</f>
        <v>275057932.01719671</v>
      </c>
      <c r="H861" s="27">
        <f>G861/D861</f>
        <v>0.49842179773210193</v>
      </c>
      <c r="O861" t="s">
        <v>943</v>
      </c>
      <c r="P861" s="327"/>
      <c r="Q861" s="301" t="b">
        <v>1</v>
      </c>
      <c r="R861" s="304" t="s">
        <v>460</v>
      </c>
      <c r="S861" s="304" t="s">
        <v>140</v>
      </c>
      <c r="T861" s="304" t="s">
        <v>47</v>
      </c>
      <c r="U861" s="304" t="s">
        <v>7</v>
      </c>
      <c r="V861" s="334"/>
      <c r="W861" s="334"/>
      <c r="X861" s="334"/>
      <c r="Y861" s="334"/>
      <c r="Z861" s="334"/>
      <c r="AB861" s="334" t="s">
        <v>1739</v>
      </c>
      <c r="AC861" s="334" t="s">
        <v>95</v>
      </c>
      <c r="AQ861" s="326">
        <v>15</v>
      </c>
      <c r="AR861" s="326" t="s">
        <v>162</v>
      </c>
      <c r="AT861"/>
      <c r="AU861"/>
      <c r="AV861"/>
    </row>
    <row r="862" spans="1:48">
      <c r="A862" s="277" t="s">
        <v>411</v>
      </c>
      <c r="B862" s="334" t="s">
        <v>1543</v>
      </c>
      <c r="C862" s="334">
        <f>'Rusch 2003'!C4</f>
        <v>1.28950695322376E-2</v>
      </c>
      <c r="D862" s="301">
        <f>'Rusch 2003'!E4</f>
        <v>647912391.02237809</v>
      </c>
      <c r="E862" s="301">
        <f>'Rusch 2003'!G4</f>
        <v>314623466.63324803</v>
      </c>
      <c r="G862" s="301">
        <f>E862</f>
        <v>314623466.63324803</v>
      </c>
      <c r="H862" s="27">
        <f>G862/D862</f>
        <v>0.48559569317201301</v>
      </c>
      <c r="O862" t="s">
        <v>943</v>
      </c>
      <c r="P862" s="328"/>
      <c r="Q862" s="301" t="b">
        <v>1</v>
      </c>
      <c r="R862" s="304" t="s">
        <v>460</v>
      </c>
      <c r="S862" s="304" t="s">
        <v>140</v>
      </c>
      <c r="T862" s="304" t="s">
        <v>47</v>
      </c>
      <c r="U862" s="304" t="s">
        <v>7</v>
      </c>
      <c r="V862" s="334"/>
      <c r="W862" s="334"/>
      <c r="X862" s="334"/>
      <c r="Y862" s="334"/>
      <c r="Z862" s="334"/>
      <c r="AB862" s="334" t="s">
        <v>1739</v>
      </c>
      <c r="AC862" s="334" t="s">
        <v>95</v>
      </c>
      <c r="AQ862" s="326">
        <v>15</v>
      </c>
      <c r="AR862" s="326" t="s">
        <v>162</v>
      </c>
      <c r="AT862"/>
      <c r="AU862"/>
      <c r="AV862"/>
    </row>
    <row r="863" spans="1:48">
      <c r="A863" s="277" t="s">
        <v>411</v>
      </c>
      <c r="B863" s="334" t="s">
        <v>1543</v>
      </c>
      <c r="C863" s="334">
        <f>'Rusch 2003'!C7</f>
        <v>2.2604298356510701E-2</v>
      </c>
      <c r="D863" s="301">
        <f>'Rusch 2003'!E7</f>
        <v>164690429.67146602</v>
      </c>
      <c r="E863" s="301">
        <f>'Rusch 2003'!G7</f>
        <v>84954433.940896049</v>
      </c>
      <c r="G863" s="301">
        <f>E863</f>
        <v>84954433.940896049</v>
      </c>
      <c r="H863" s="27">
        <f>G863/D863</f>
        <v>0.51584317382842504</v>
      </c>
      <c r="O863" t="s">
        <v>943</v>
      </c>
      <c r="P863" s="328"/>
      <c r="Q863" s="301" t="b">
        <v>1</v>
      </c>
      <c r="R863" s="304" t="s">
        <v>460</v>
      </c>
      <c r="S863" s="304" t="s">
        <v>140</v>
      </c>
      <c r="T863" s="304" t="s">
        <v>47</v>
      </c>
      <c r="U863" s="304" t="s">
        <v>7</v>
      </c>
      <c r="V863" s="334"/>
      <c r="W863" s="334"/>
      <c r="X863" s="334"/>
      <c r="Y863" s="334"/>
      <c r="Z863" s="334"/>
      <c r="AB863" s="334" t="s">
        <v>1739</v>
      </c>
      <c r="AC863" s="334" t="s">
        <v>95</v>
      </c>
      <c r="AQ863" s="326">
        <v>15</v>
      </c>
      <c r="AR863" s="326" t="s">
        <v>162</v>
      </c>
      <c r="AT863"/>
      <c r="AU863"/>
      <c r="AV863"/>
    </row>
    <row r="864" spans="1:48">
      <c r="A864" s="277" t="s">
        <v>411</v>
      </c>
      <c r="B864" s="334" t="s">
        <v>1543</v>
      </c>
      <c r="C864" s="334">
        <f>'Rusch 2003'!C8</f>
        <v>2.3211125158027798E-2</v>
      </c>
      <c r="D864" s="301">
        <f>'Rusch 2003'!E8</f>
        <v>846502044.100021</v>
      </c>
      <c r="E864" s="301">
        <f>'Rusch 2003'!G8</f>
        <v>439976415.59270525</v>
      </c>
      <c r="G864" s="301">
        <f>E864</f>
        <v>439976415.59270525</v>
      </c>
      <c r="H864" s="27">
        <f>G864/D864</f>
        <v>0.51975824353794298</v>
      </c>
      <c r="O864" t="s">
        <v>943</v>
      </c>
      <c r="P864" s="327"/>
      <c r="Q864" s="301" t="b">
        <v>1</v>
      </c>
      <c r="R864" s="304" t="s">
        <v>460</v>
      </c>
      <c r="S864" s="304" t="s">
        <v>140</v>
      </c>
      <c r="T864" s="304" t="s">
        <v>47</v>
      </c>
      <c r="U864" s="304" t="s">
        <v>7</v>
      </c>
      <c r="V864" s="334"/>
      <c r="W864" s="334"/>
      <c r="X864" s="334"/>
      <c r="Y864" s="334"/>
      <c r="Z864" s="334"/>
      <c r="AB864" s="334" t="s">
        <v>1739</v>
      </c>
      <c r="AC864" s="334" t="s">
        <v>95</v>
      </c>
      <c r="AQ864" s="326">
        <v>15</v>
      </c>
      <c r="AR864" s="326" t="s">
        <v>162</v>
      </c>
      <c r="AT864"/>
      <c r="AU864"/>
      <c r="AV864"/>
    </row>
    <row r="865" spans="1:48">
      <c r="A865" s="277" t="s">
        <v>411</v>
      </c>
      <c r="B865" s="334" t="s">
        <v>1543</v>
      </c>
      <c r="C865" s="334">
        <f>'Rusch 2003'!C5</f>
        <v>3.5044247787610602E-2</v>
      </c>
      <c r="D865" s="301">
        <f>'Rusch 2003'!E5</f>
        <v>222997356.62567502</v>
      </c>
      <c r="E865" s="301">
        <f>'Rusch 2003'!G5</f>
        <v>109279906.63876387</v>
      </c>
      <c r="G865" s="301">
        <f>E865</f>
        <v>109279906.63876387</v>
      </c>
      <c r="H865" s="27">
        <f>G865/D865</f>
        <v>0.49005023329582298</v>
      </c>
      <c r="O865" t="s">
        <v>943</v>
      </c>
      <c r="P865" s="327"/>
      <c r="Q865" s="301" t="b">
        <v>1</v>
      </c>
      <c r="R865" s="304" t="s">
        <v>460</v>
      </c>
      <c r="S865" s="304" t="s">
        <v>140</v>
      </c>
      <c r="T865" s="304" t="s">
        <v>47</v>
      </c>
      <c r="U865" s="304" t="s">
        <v>7</v>
      </c>
      <c r="V865" s="334"/>
      <c r="W865" s="334"/>
      <c r="X865" s="334"/>
      <c r="Y865" s="334"/>
      <c r="Z865" s="334"/>
      <c r="AB865" s="334" t="s">
        <v>1739</v>
      </c>
      <c r="AC865" s="334" t="s">
        <v>95</v>
      </c>
      <c r="AQ865" s="326">
        <v>15</v>
      </c>
      <c r="AR865" s="326" t="s">
        <v>162</v>
      </c>
      <c r="AT865"/>
      <c r="AU865"/>
      <c r="AV865"/>
    </row>
    <row r="866" spans="1:48">
      <c r="A866" s="277" t="s">
        <v>411</v>
      </c>
      <c r="B866" s="334" t="s">
        <v>1543</v>
      </c>
      <c r="C866" s="334">
        <f>'Rusch 2003'!C10</f>
        <v>3.51959544879899E-2</v>
      </c>
      <c r="D866" s="301">
        <f>'Rusch 2003'!E10</f>
        <v>268450260.232813</v>
      </c>
      <c r="E866" s="301">
        <f>'Rusch 2003'!G10</f>
        <v>146634383.55043754</v>
      </c>
      <c r="G866" s="301">
        <f>E866</f>
        <v>146634383.55043754</v>
      </c>
      <c r="H866" s="27">
        <f>G866/D866</f>
        <v>0.54622552208840902</v>
      </c>
      <c r="O866" t="s">
        <v>943</v>
      </c>
      <c r="P866" s="327"/>
      <c r="Q866" s="301" t="b">
        <v>1</v>
      </c>
      <c r="R866" s="304" t="s">
        <v>460</v>
      </c>
      <c r="S866" s="304" t="s">
        <v>140</v>
      </c>
      <c r="T866" s="304" t="s">
        <v>47</v>
      </c>
      <c r="U866" s="304" t="s">
        <v>7</v>
      </c>
      <c r="V866" s="334"/>
      <c r="W866" s="334"/>
      <c r="X866" s="334"/>
      <c r="Y866" s="334"/>
      <c r="Z866" s="334"/>
      <c r="AB866" s="334" t="s">
        <v>1739</v>
      </c>
      <c r="AC866" s="334" t="s">
        <v>95</v>
      </c>
      <c r="AQ866" s="326">
        <v>15</v>
      </c>
      <c r="AR866" s="326" t="s">
        <v>162</v>
      </c>
      <c r="AT866"/>
      <c r="AU866"/>
      <c r="AV866"/>
    </row>
    <row r="867" spans="1:48">
      <c r="A867" s="277" t="s">
        <v>411</v>
      </c>
      <c r="B867" s="334" t="s">
        <v>1543</v>
      </c>
      <c r="C867" s="334">
        <f>'Rusch 2003'!C3</f>
        <v>5.5221238938052995E-2</v>
      </c>
      <c r="D867" s="301">
        <f>'Rusch 2003'!E3</f>
        <v>592908861.05045295</v>
      </c>
      <c r="E867" s="301">
        <f>'Rusch 2003'!G3</f>
        <v>269822379.47234941</v>
      </c>
      <c r="G867" s="301">
        <f>E867</f>
        <v>269822379.47234941</v>
      </c>
      <c r="H867" s="27">
        <f>G867/D867</f>
        <v>0.45508238651435701</v>
      </c>
      <c r="O867" t="s">
        <v>943</v>
      </c>
      <c r="P867" s="328"/>
      <c r="Q867" s="301" t="b">
        <v>1</v>
      </c>
      <c r="R867" s="304" t="s">
        <v>460</v>
      </c>
      <c r="S867" s="304" t="s">
        <v>140</v>
      </c>
      <c r="T867" s="304" t="s">
        <v>47</v>
      </c>
      <c r="U867" s="304" t="s">
        <v>7</v>
      </c>
      <c r="V867" s="334"/>
      <c r="W867" s="334"/>
      <c r="X867" s="334"/>
      <c r="Y867" s="334"/>
      <c r="Z867" s="334"/>
      <c r="AB867" s="334" t="s">
        <v>1739</v>
      </c>
      <c r="AC867" s="334" t="s">
        <v>95</v>
      </c>
      <c r="AQ867" s="326">
        <v>15</v>
      </c>
      <c r="AR867" s="326" t="s">
        <v>162</v>
      </c>
      <c r="AT867"/>
      <c r="AU867"/>
      <c r="AV867"/>
    </row>
    <row r="868" spans="1:48">
      <c r="A868" s="277" t="s">
        <v>748</v>
      </c>
      <c r="B868" s="277" t="s">
        <v>1640</v>
      </c>
      <c r="C868" s="277">
        <f>'Schippers 2005&amp;2006 all'!B2</f>
        <v>0.8</v>
      </c>
      <c r="D868" s="301">
        <f>'Schippers 2005&amp;2006 all'!C2</f>
        <v>7516609.6984736901</v>
      </c>
      <c r="P868" s="327"/>
      <c r="R868" s="304" t="s">
        <v>1395</v>
      </c>
      <c r="S868" s="304" t="s">
        <v>52</v>
      </c>
      <c r="T868" s="304" t="s">
        <v>51</v>
      </c>
      <c r="U868" s="304" t="s">
        <v>51</v>
      </c>
      <c r="V868" s="313">
        <v>0.55000000000000004</v>
      </c>
      <c r="W868" s="313">
        <v>0.55000000000000004</v>
      </c>
      <c r="X868" s="306" t="s">
        <v>248</v>
      </c>
      <c r="Y868" s="334" t="s">
        <v>96</v>
      </c>
      <c r="Z868" s="314" t="s">
        <v>100</v>
      </c>
      <c r="AQ868" s="326">
        <v>3761</v>
      </c>
      <c r="AR868" s="326" t="s">
        <v>1463</v>
      </c>
      <c r="AT868"/>
      <c r="AU868"/>
      <c r="AV868"/>
    </row>
    <row r="869" spans="1:48">
      <c r="A869" s="277" t="s">
        <v>748</v>
      </c>
      <c r="B869" s="277" t="s">
        <v>1640</v>
      </c>
      <c r="C869" s="277">
        <f>'Schippers 2005&amp;2006 all'!B3</f>
        <v>1</v>
      </c>
      <c r="D869" s="301">
        <f>'Schippers 2005&amp;2006 all'!C3</f>
        <v>7516609.6984736854</v>
      </c>
      <c r="E869" s="301">
        <f>'Schippers 2005&amp;2006 all'!E3</f>
        <v>291492.48719638609</v>
      </c>
      <c r="G869" s="301">
        <f>E869+F869</f>
        <v>291492.48719638609</v>
      </c>
      <c r="H869" s="336">
        <f>G869/D869</f>
        <v>3.8779782227561482E-2</v>
      </c>
      <c r="M869" s="27">
        <v>0</v>
      </c>
      <c r="O869" t="s">
        <v>1247</v>
      </c>
      <c r="P869" s="303"/>
      <c r="Q869" s="301" t="b">
        <v>1</v>
      </c>
      <c r="R869" s="304" t="s">
        <v>1395</v>
      </c>
      <c r="S869" s="304" t="s">
        <v>52</v>
      </c>
      <c r="T869" s="304" t="s">
        <v>51</v>
      </c>
      <c r="U869" s="304" t="s">
        <v>51</v>
      </c>
      <c r="V869" s="313">
        <v>0.55000000000000004</v>
      </c>
      <c r="W869" s="313">
        <v>0.55000000000000004</v>
      </c>
      <c r="X869" s="306" t="s">
        <v>248</v>
      </c>
      <c r="Y869" s="334" t="s">
        <v>96</v>
      </c>
      <c r="Z869" s="314" t="s">
        <v>100</v>
      </c>
      <c r="AB869" s="334" t="s">
        <v>311</v>
      </c>
      <c r="AC869" s="334" t="s">
        <v>1702</v>
      </c>
      <c r="AQ869" s="326">
        <v>3761</v>
      </c>
      <c r="AR869" s="326" t="s">
        <v>1463</v>
      </c>
      <c r="AT869"/>
      <c r="AU869"/>
      <c r="AV869"/>
    </row>
    <row r="870" spans="1:48">
      <c r="A870" s="277" t="s">
        <v>759</v>
      </c>
      <c r="B870" s="277" t="s">
        <v>1640</v>
      </c>
      <c r="C870" s="277">
        <f>'Schippers 2005&amp;2006 all'!B4</f>
        <v>3.99</v>
      </c>
      <c r="D870" s="301">
        <f>'Schippers 2005&amp;2006 all'!C4</f>
        <v>854224.45424359513</v>
      </c>
      <c r="P870" s="323"/>
      <c r="R870" s="304" t="s">
        <v>1395</v>
      </c>
      <c r="S870" s="304" t="s">
        <v>52</v>
      </c>
      <c r="T870" s="304" t="s">
        <v>51</v>
      </c>
      <c r="U870" s="304" t="s">
        <v>51</v>
      </c>
      <c r="V870" s="313">
        <v>0.55000000000000004</v>
      </c>
      <c r="W870" s="313">
        <v>0.55000000000000004</v>
      </c>
      <c r="X870" s="306" t="s">
        <v>248</v>
      </c>
      <c r="Y870" s="334" t="s">
        <v>96</v>
      </c>
      <c r="Z870" s="314" t="s">
        <v>100</v>
      </c>
      <c r="AQ870" s="326">
        <v>3761</v>
      </c>
      <c r="AR870" s="326" t="s">
        <v>1463</v>
      </c>
      <c r="AT870"/>
      <c r="AU870"/>
      <c r="AV870"/>
    </row>
    <row r="871" spans="1:48">
      <c r="A871" s="277" t="s">
        <v>759</v>
      </c>
      <c r="B871" s="277" t="s">
        <v>1640</v>
      </c>
      <c r="C871" s="277">
        <f>'Schippers 2005&amp;2006 all'!B5</f>
        <v>4</v>
      </c>
      <c r="D871" s="301">
        <f>'Schippers 2005&amp;2006 all'!C5</f>
        <v>854224.45424359513</v>
      </c>
      <c r="E871" s="301">
        <f>'Schippers 2005&amp;2006 all'!E5</f>
        <v>263740.78446805716</v>
      </c>
      <c r="G871" s="301">
        <f>E871+F871</f>
        <v>263740.78446805716</v>
      </c>
      <c r="H871" s="27">
        <f>G871/D871</f>
        <v>0.30874881087500156</v>
      </c>
      <c r="M871" s="27">
        <v>0</v>
      </c>
      <c r="O871" t="s">
        <v>1247</v>
      </c>
      <c r="P871" s="328"/>
      <c r="Q871" s="301" t="b">
        <v>1</v>
      </c>
      <c r="R871" s="304" t="s">
        <v>1395</v>
      </c>
      <c r="S871" s="304" t="s">
        <v>52</v>
      </c>
      <c r="T871" s="304" t="s">
        <v>51</v>
      </c>
      <c r="U871" s="304" t="s">
        <v>51</v>
      </c>
      <c r="V871" s="313">
        <v>0.55000000000000004</v>
      </c>
      <c r="W871" s="313">
        <v>0.55000000000000004</v>
      </c>
      <c r="X871" s="306" t="s">
        <v>248</v>
      </c>
      <c r="Y871" s="334" t="s">
        <v>96</v>
      </c>
      <c r="Z871" s="314" t="s">
        <v>100</v>
      </c>
      <c r="AB871" s="334" t="s">
        <v>311</v>
      </c>
      <c r="AC871" s="334" t="s">
        <v>1702</v>
      </c>
      <c r="AQ871" s="326">
        <v>3761</v>
      </c>
      <c r="AR871" s="326" t="s">
        <v>1463</v>
      </c>
      <c r="AT871"/>
      <c r="AU871"/>
      <c r="AV871"/>
    </row>
    <row r="872" spans="1:48">
      <c r="A872" s="277" t="s">
        <v>759</v>
      </c>
      <c r="B872" s="277" t="s">
        <v>1640</v>
      </c>
      <c r="C872" s="277">
        <f>'Schippers 2005&amp;2006 all'!B6</f>
        <v>8</v>
      </c>
      <c r="D872" s="301">
        <f>'Schippers 2005&amp;2006 all'!C6</f>
        <v>1021153.4289247078</v>
      </c>
      <c r="E872" s="301">
        <f>'Schippers 2005&amp;2006 all'!E6</f>
        <v>30385.663311136304</v>
      </c>
      <c r="G872" s="301">
        <f>E872+F872</f>
        <v>30385.663311136304</v>
      </c>
      <c r="H872" s="27">
        <f>G872/D872</f>
        <v>2.9756217283756204E-2</v>
      </c>
      <c r="M872" s="27">
        <v>0</v>
      </c>
      <c r="O872" t="s">
        <v>1247</v>
      </c>
      <c r="P872" s="328"/>
      <c r="Q872" s="301" t="b">
        <v>1</v>
      </c>
      <c r="R872" s="304" t="s">
        <v>1395</v>
      </c>
      <c r="S872" s="304" t="s">
        <v>52</v>
      </c>
      <c r="T872" s="304" t="s">
        <v>51</v>
      </c>
      <c r="U872" s="304" t="s">
        <v>51</v>
      </c>
      <c r="V872" s="313">
        <v>0.55000000000000004</v>
      </c>
      <c r="W872" s="313">
        <v>0.55000000000000004</v>
      </c>
      <c r="X872" s="306" t="s">
        <v>248</v>
      </c>
      <c r="Y872" s="334" t="s">
        <v>96</v>
      </c>
      <c r="Z872" s="314" t="s">
        <v>100</v>
      </c>
      <c r="AB872" s="334" t="s">
        <v>311</v>
      </c>
      <c r="AC872" s="334" t="s">
        <v>1702</v>
      </c>
      <c r="AQ872" s="326">
        <v>3761</v>
      </c>
      <c r="AR872" s="326" t="s">
        <v>1463</v>
      </c>
      <c r="AT872"/>
      <c r="AU872"/>
      <c r="AV872"/>
    </row>
    <row r="873" spans="1:48">
      <c r="A873" s="277" t="s">
        <v>759</v>
      </c>
      <c r="B873" s="277" t="s">
        <v>1640</v>
      </c>
      <c r="C873" s="277">
        <f>'Schippers 2005&amp;2006 all'!B7</f>
        <v>8</v>
      </c>
      <c r="D873" s="301">
        <f>'Schippers 2005&amp;2006 all'!C7</f>
        <v>1021153.4289247078</v>
      </c>
      <c r="E873" s="301">
        <f>'Schippers 2005&amp;2006 all'!E7</f>
        <v>207291.65600633225</v>
      </c>
      <c r="G873" s="301">
        <f>E873+F873</f>
        <v>207291.65600633225</v>
      </c>
      <c r="H873" s="27">
        <f>G873/D873</f>
        <v>0.2029975615168956</v>
      </c>
      <c r="M873" s="27">
        <v>0</v>
      </c>
      <c r="O873" t="s">
        <v>1247</v>
      </c>
      <c r="P873" s="289"/>
      <c r="Q873" s="301" t="b">
        <v>1</v>
      </c>
      <c r="R873" s="304" t="s">
        <v>1395</v>
      </c>
      <c r="S873" s="304" t="s">
        <v>52</v>
      </c>
      <c r="T873" s="304" t="s">
        <v>51</v>
      </c>
      <c r="U873" s="304" t="s">
        <v>51</v>
      </c>
      <c r="V873" s="313">
        <v>0.55000000000000004</v>
      </c>
      <c r="W873" s="313">
        <v>0.55000000000000004</v>
      </c>
      <c r="X873" s="306" t="s">
        <v>248</v>
      </c>
      <c r="Y873" s="334" t="s">
        <v>96</v>
      </c>
      <c r="Z873" s="314" t="s">
        <v>100</v>
      </c>
      <c r="AB873" s="334" t="s">
        <v>311</v>
      </c>
      <c r="AC873" s="334" t="s">
        <v>1702</v>
      </c>
      <c r="AQ873" s="326">
        <v>3761</v>
      </c>
      <c r="AR873" s="326" t="s">
        <v>1463</v>
      </c>
      <c r="AT873"/>
      <c r="AU873"/>
      <c r="AV873"/>
    </row>
    <row r="874" spans="1:48">
      <c r="A874" s="277" t="s">
        <v>759</v>
      </c>
      <c r="B874" s="277" t="s">
        <v>1640</v>
      </c>
      <c r="C874" s="277">
        <f>'Schippers 2005&amp;2006 all'!B8</f>
        <v>8.3699999999999992</v>
      </c>
      <c r="D874" s="301">
        <f>'Schippers 2005&amp;2006 all'!C8</f>
        <v>1021153.4289247078</v>
      </c>
      <c r="H874" s="336"/>
      <c r="M874" s="336"/>
      <c r="N874" s="336"/>
      <c r="P874" s="328"/>
      <c r="R874" s="304" t="s">
        <v>1395</v>
      </c>
      <c r="S874" s="304" t="s">
        <v>52</v>
      </c>
      <c r="T874" s="304" t="s">
        <v>51</v>
      </c>
      <c r="U874" s="304" t="s">
        <v>51</v>
      </c>
      <c r="V874" s="313">
        <v>0.55000000000000004</v>
      </c>
      <c r="W874" s="313">
        <v>0.55000000000000004</v>
      </c>
      <c r="X874" s="306" t="s">
        <v>248</v>
      </c>
      <c r="Y874" s="334" t="s">
        <v>96</v>
      </c>
      <c r="Z874" s="314" t="s">
        <v>100</v>
      </c>
      <c r="AQ874" s="326">
        <v>3761</v>
      </c>
      <c r="AR874" s="326" t="s">
        <v>1463</v>
      </c>
      <c r="AT874"/>
      <c r="AU874"/>
      <c r="AV874"/>
    </row>
    <row r="875" spans="1:48">
      <c r="A875" s="277" t="s">
        <v>759</v>
      </c>
      <c r="B875" s="277" t="s">
        <v>1640</v>
      </c>
      <c r="C875" s="277">
        <f>'Schippers 2005&amp;2006 all'!B9</f>
        <v>8.8000000000000007</v>
      </c>
      <c r="D875" s="301">
        <f>'Schippers 2005&amp;2006 all'!C9</f>
        <v>2377842.0341580459</v>
      </c>
      <c r="H875" s="336"/>
      <c r="M875" s="336"/>
      <c r="N875" s="336"/>
      <c r="O875" s="334"/>
      <c r="P875" s="334"/>
      <c r="R875" s="304" t="s">
        <v>1395</v>
      </c>
      <c r="S875" s="304" t="s">
        <v>52</v>
      </c>
      <c r="T875" s="304" t="s">
        <v>51</v>
      </c>
      <c r="U875" s="304" t="s">
        <v>51</v>
      </c>
      <c r="V875" s="313">
        <v>0.55000000000000004</v>
      </c>
      <c r="W875" s="313">
        <v>0.55000000000000004</v>
      </c>
      <c r="X875" s="306" t="s">
        <v>248</v>
      </c>
      <c r="Y875" s="334" t="s">
        <v>96</v>
      </c>
      <c r="Z875" s="314" t="s">
        <v>100</v>
      </c>
      <c r="AQ875" s="326">
        <v>3761</v>
      </c>
      <c r="AR875" s="326" t="s">
        <v>1463</v>
      </c>
      <c r="AT875"/>
      <c r="AU875"/>
      <c r="AV875"/>
    </row>
    <row r="876" spans="1:48">
      <c r="A876" s="277" t="s">
        <v>759</v>
      </c>
      <c r="B876" s="277" t="s">
        <v>1640</v>
      </c>
      <c r="C876" s="277">
        <f>'Schippers 2005&amp;2006 all'!B10</f>
        <v>16.8</v>
      </c>
      <c r="D876" s="301">
        <f>'Schippers 2005&amp;2006 all'!C10</f>
        <v>604968.83148045372</v>
      </c>
      <c r="H876" s="336"/>
      <c r="M876" s="336"/>
      <c r="N876" s="336"/>
      <c r="O876" s="334"/>
      <c r="P876" s="334"/>
      <c r="R876" s="304" t="s">
        <v>1395</v>
      </c>
      <c r="S876" s="304" t="s">
        <v>52</v>
      </c>
      <c r="T876" s="304" t="s">
        <v>51</v>
      </c>
      <c r="U876" s="304" t="s">
        <v>51</v>
      </c>
      <c r="V876" s="313">
        <v>0.55000000000000004</v>
      </c>
      <c r="W876" s="313">
        <v>0.55000000000000004</v>
      </c>
      <c r="X876" s="306" t="s">
        <v>248</v>
      </c>
      <c r="Y876" s="334" t="s">
        <v>96</v>
      </c>
      <c r="Z876" s="314" t="s">
        <v>100</v>
      </c>
      <c r="AQ876" s="326">
        <v>3761</v>
      </c>
      <c r="AR876" s="326" t="s">
        <v>1463</v>
      </c>
      <c r="AT876"/>
      <c r="AU876"/>
      <c r="AV876"/>
    </row>
    <row r="877" spans="1:48">
      <c r="A877" s="277" t="s">
        <v>759</v>
      </c>
      <c r="B877" s="277" t="s">
        <v>1640</v>
      </c>
      <c r="C877" s="277">
        <f>'Schippers 2005&amp;2006 all'!B11</f>
        <v>27</v>
      </c>
      <c r="D877" s="301">
        <f>'Schippers 2005&amp;2006 all'!C11</f>
        <v>1052856.057150631</v>
      </c>
      <c r="E877" s="301">
        <f>'Schippers 2005&amp;2006 all'!E11</f>
        <v>148119.6271301884</v>
      </c>
      <c r="G877" s="301">
        <f>E877+F877</f>
        <v>148119.6271301884</v>
      </c>
      <c r="H877" s="336">
        <f>G877/D877</f>
        <v>0.14068364438254552</v>
      </c>
      <c r="M877" s="336">
        <v>0</v>
      </c>
      <c r="N877" s="336"/>
      <c r="O877" s="334" t="s">
        <v>1247</v>
      </c>
      <c r="P877" s="334"/>
      <c r="Q877" s="301" t="b">
        <v>1</v>
      </c>
      <c r="R877" s="304" t="s">
        <v>1395</v>
      </c>
      <c r="S877" s="304" t="s">
        <v>52</v>
      </c>
      <c r="T877" s="304" t="s">
        <v>51</v>
      </c>
      <c r="U877" s="304" t="s">
        <v>51</v>
      </c>
      <c r="V877" s="313">
        <v>0.55000000000000004</v>
      </c>
      <c r="W877" s="313">
        <v>0.55000000000000004</v>
      </c>
      <c r="X877" s="306" t="s">
        <v>248</v>
      </c>
      <c r="Y877" s="334" t="s">
        <v>96</v>
      </c>
      <c r="Z877" s="314" t="s">
        <v>100</v>
      </c>
      <c r="AB877" s="334" t="s">
        <v>311</v>
      </c>
      <c r="AC877" s="334" t="s">
        <v>1702</v>
      </c>
      <c r="AQ877" s="326">
        <v>3761</v>
      </c>
      <c r="AR877" s="326" t="s">
        <v>1463</v>
      </c>
      <c r="AT877"/>
      <c r="AU877"/>
      <c r="AV877"/>
    </row>
    <row r="878" spans="1:48">
      <c r="A878" s="277" t="s">
        <v>759</v>
      </c>
      <c r="B878" s="277" t="s">
        <v>1640</v>
      </c>
      <c r="C878" s="277">
        <f>'Schippers 2005&amp;2006 all'!B12</f>
        <v>27.8</v>
      </c>
      <c r="D878" s="301">
        <f>'Schippers 2005&amp;2006 all'!C12</f>
        <v>1052856.057150631</v>
      </c>
      <c r="H878" s="336"/>
      <c r="M878" s="336"/>
      <c r="N878" s="336"/>
      <c r="O878" s="334"/>
      <c r="P878" s="334"/>
      <c r="R878" s="304" t="s">
        <v>1395</v>
      </c>
      <c r="S878" s="304" t="s">
        <v>52</v>
      </c>
      <c r="T878" s="304" t="s">
        <v>51</v>
      </c>
      <c r="U878" s="304" t="s">
        <v>51</v>
      </c>
      <c r="V878" s="313">
        <v>0.55000000000000004</v>
      </c>
      <c r="W878" s="313">
        <v>0.55000000000000004</v>
      </c>
      <c r="X878" s="306" t="s">
        <v>248</v>
      </c>
      <c r="Y878" s="334" t="s">
        <v>96</v>
      </c>
      <c r="Z878" s="314" t="s">
        <v>100</v>
      </c>
      <c r="AQ878" s="326">
        <v>3761</v>
      </c>
      <c r="AR878" s="326" t="s">
        <v>1463</v>
      </c>
      <c r="AT878"/>
      <c r="AU878"/>
      <c r="AV878"/>
    </row>
    <row r="879" spans="1:48">
      <c r="A879" s="277" t="s">
        <v>759</v>
      </c>
      <c r="B879" s="277" t="s">
        <v>1640</v>
      </c>
      <c r="C879" s="277">
        <f>'Schippers 2005&amp;2006 all'!B13</f>
        <v>35.799999999999997</v>
      </c>
      <c r="D879" s="301">
        <f>'Schippers 2005&amp;2006 all'!C13</f>
        <v>1776384.6020799133</v>
      </c>
      <c r="H879" s="336"/>
      <c r="M879" s="336"/>
      <c r="N879" s="336"/>
      <c r="O879" s="334"/>
      <c r="P879" s="334"/>
      <c r="R879" s="304" t="s">
        <v>1395</v>
      </c>
      <c r="S879" s="304" t="s">
        <v>52</v>
      </c>
      <c r="T879" s="304" t="s">
        <v>51</v>
      </c>
      <c r="U879" s="304" t="s">
        <v>51</v>
      </c>
      <c r="V879" s="313">
        <v>0.55000000000000004</v>
      </c>
      <c r="W879" s="313">
        <v>0.55000000000000004</v>
      </c>
      <c r="X879" s="306" t="s">
        <v>248</v>
      </c>
      <c r="Y879" s="334" t="s">
        <v>96</v>
      </c>
      <c r="Z879" s="314" t="s">
        <v>100</v>
      </c>
      <c r="AQ879" s="326">
        <v>3761</v>
      </c>
      <c r="AR879" s="326" t="s">
        <v>1463</v>
      </c>
      <c r="AT879"/>
      <c r="AU879"/>
      <c r="AV879"/>
    </row>
    <row r="880" spans="1:48">
      <c r="A880" s="277" t="s">
        <v>759</v>
      </c>
      <c r="B880" s="277" t="s">
        <v>1640</v>
      </c>
      <c r="C880" s="277">
        <f>'Schippers 2005&amp;2006 all'!B14</f>
        <v>46</v>
      </c>
      <c r="D880" s="301">
        <f>'Schippers 2005&amp;2006 all'!C14</f>
        <v>910307.24661365699</v>
      </c>
      <c r="E880" s="301">
        <f>'Schippers 2005&amp;2006 all'!E14</f>
        <v>75702.332413213386</v>
      </c>
      <c r="G880" s="301">
        <f>E880+F880</f>
        <v>75702.332413213386</v>
      </c>
      <c r="H880" s="336">
        <f>G880/D880</f>
        <v>8.3161298226314323E-2</v>
      </c>
      <c r="M880" s="336">
        <v>0</v>
      </c>
      <c r="N880" s="336"/>
      <c r="O880" s="334" t="s">
        <v>1247</v>
      </c>
      <c r="P880" s="334"/>
      <c r="Q880" s="301" t="b">
        <v>1</v>
      </c>
      <c r="R880" s="304" t="s">
        <v>1395</v>
      </c>
      <c r="S880" s="304" t="s">
        <v>52</v>
      </c>
      <c r="T880" s="304" t="s">
        <v>51</v>
      </c>
      <c r="U880" s="304" t="s">
        <v>51</v>
      </c>
      <c r="V880" s="313">
        <v>0.55000000000000004</v>
      </c>
      <c r="W880" s="313">
        <v>0.55000000000000004</v>
      </c>
      <c r="X880" s="306" t="s">
        <v>248</v>
      </c>
      <c r="Y880" s="334" t="s">
        <v>96</v>
      </c>
      <c r="Z880" s="314" t="s">
        <v>100</v>
      </c>
      <c r="AB880" s="334" t="s">
        <v>311</v>
      </c>
      <c r="AC880" s="334" t="s">
        <v>1702</v>
      </c>
      <c r="AQ880" s="326">
        <v>3761</v>
      </c>
      <c r="AR880" s="326" t="s">
        <v>1463</v>
      </c>
      <c r="AT880"/>
      <c r="AU880"/>
      <c r="AV880"/>
    </row>
    <row r="881" spans="1:48">
      <c r="A881" s="277" t="s">
        <v>759</v>
      </c>
      <c r="B881" s="277" t="s">
        <v>1640</v>
      </c>
      <c r="C881" s="277">
        <f>'Schippers 2005&amp;2006 all'!B15</f>
        <v>46.8</v>
      </c>
      <c r="D881" s="301">
        <f>'Schippers 2005&amp;2006 all'!C15</f>
        <v>910307.24661365699</v>
      </c>
      <c r="H881" s="336"/>
      <c r="M881" s="336"/>
      <c r="N881" s="336"/>
      <c r="O881" s="334"/>
      <c r="P881" s="334"/>
      <c r="R881" s="304" t="s">
        <v>1395</v>
      </c>
      <c r="S881" s="304" t="s">
        <v>52</v>
      </c>
      <c r="T881" s="304" t="s">
        <v>51</v>
      </c>
      <c r="U881" s="304" t="s">
        <v>51</v>
      </c>
      <c r="V881" s="313">
        <v>0.55000000000000004</v>
      </c>
      <c r="W881" s="313">
        <v>0.55000000000000004</v>
      </c>
      <c r="X881" s="306" t="s">
        <v>248</v>
      </c>
      <c r="Y881" s="334" t="s">
        <v>96</v>
      </c>
      <c r="Z881" s="314" t="s">
        <v>100</v>
      </c>
      <c r="AQ881" s="326">
        <v>3761</v>
      </c>
      <c r="AR881" s="326" t="s">
        <v>1463</v>
      </c>
      <c r="AT881"/>
      <c r="AU881"/>
      <c r="AV881"/>
    </row>
    <row r="882" spans="1:48">
      <c r="A882" s="277" t="s">
        <v>759</v>
      </c>
      <c r="B882" s="277" t="s">
        <v>1640</v>
      </c>
      <c r="C882" s="277">
        <f>'Schippers 2005&amp;2006 all'!B16</f>
        <v>56.3</v>
      </c>
      <c r="D882" s="301">
        <f>'Schippers 2005&amp;2006 all'!C16</f>
        <v>471916.32374982937</v>
      </c>
      <c r="H882" s="336"/>
      <c r="M882" s="336"/>
      <c r="N882" s="336"/>
      <c r="O882" s="334"/>
      <c r="P882" s="334"/>
      <c r="R882" s="304" t="s">
        <v>1395</v>
      </c>
      <c r="S882" s="304" t="s">
        <v>52</v>
      </c>
      <c r="T882" s="304" t="s">
        <v>51</v>
      </c>
      <c r="U882" s="304" t="s">
        <v>51</v>
      </c>
      <c r="V882" s="313">
        <v>0.55000000000000004</v>
      </c>
      <c r="W882" s="313">
        <v>0.55000000000000004</v>
      </c>
      <c r="X882" s="306" t="s">
        <v>248</v>
      </c>
      <c r="Y882" s="334" t="s">
        <v>96</v>
      </c>
      <c r="Z882" s="314" t="s">
        <v>100</v>
      </c>
      <c r="AQ882" s="326">
        <v>3761</v>
      </c>
      <c r="AR882" s="326" t="s">
        <v>1463</v>
      </c>
      <c r="AT882"/>
      <c r="AU882"/>
      <c r="AV882"/>
    </row>
    <row r="883" spans="1:48">
      <c r="A883" s="277" t="s">
        <v>759</v>
      </c>
      <c r="B883" s="277" t="s">
        <v>1640</v>
      </c>
      <c r="C883" s="277">
        <f>'Schippers 2005&amp;2006 all'!B17</f>
        <v>65</v>
      </c>
      <c r="D883" s="301">
        <f>'Schippers 2005&amp;2006 all'!C17</f>
        <v>752015.86008574103</v>
      </c>
      <c r="E883" s="301">
        <f>'Schippers 2005&amp;2006 all'!E17</f>
        <v>84788.108366141605</v>
      </c>
      <c r="G883" s="301">
        <f>E883+F883</f>
        <v>84788.108366141605</v>
      </c>
      <c r="H883" s="336">
        <f>G883/D883</f>
        <v>0.11274776619268974</v>
      </c>
      <c r="M883" s="336">
        <v>0</v>
      </c>
      <c r="N883" s="336"/>
      <c r="O883" s="334" t="s">
        <v>1247</v>
      </c>
      <c r="P883" s="334"/>
      <c r="Q883" s="301" t="b">
        <v>1</v>
      </c>
      <c r="R883" s="304" t="s">
        <v>1395</v>
      </c>
      <c r="S883" s="304" t="s">
        <v>52</v>
      </c>
      <c r="T883" s="304" t="s">
        <v>51</v>
      </c>
      <c r="U883" s="304" t="s">
        <v>51</v>
      </c>
      <c r="V883" s="313">
        <v>0.55000000000000004</v>
      </c>
      <c r="W883" s="313">
        <v>0.55000000000000004</v>
      </c>
      <c r="X883" s="306" t="s">
        <v>248</v>
      </c>
      <c r="Y883" s="334" t="s">
        <v>96</v>
      </c>
      <c r="Z883" s="314" t="s">
        <v>100</v>
      </c>
      <c r="AB883" s="334" t="s">
        <v>311</v>
      </c>
      <c r="AC883" s="334" t="s">
        <v>1702</v>
      </c>
      <c r="AQ883" s="326">
        <v>3761</v>
      </c>
      <c r="AR883" s="326" t="s">
        <v>1463</v>
      </c>
      <c r="AT883"/>
      <c r="AU883"/>
      <c r="AV883"/>
    </row>
    <row r="884" spans="1:48">
      <c r="A884" s="277" t="s">
        <v>759</v>
      </c>
      <c r="B884" s="277" t="s">
        <v>1640</v>
      </c>
      <c r="C884" s="277">
        <f>'Schippers 2005&amp;2006 all'!B18</f>
        <v>65.8</v>
      </c>
      <c r="D884" s="301">
        <f>'Schippers 2005&amp;2006 all'!C18</f>
        <v>752015.86008574103</v>
      </c>
      <c r="H884" s="336"/>
      <c r="M884" s="336"/>
      <c r="N884" s="336"/>
      <c r="O884" s="334"/>
      <c r="P884" s="334"/>
      <c r="R884" s="304" t="s">
        <v>1395</v>
      </c>
      <c r="S884" s="304" t="s">
        <v>52</v>
      </c>
      <c r="T884" s="304" t="s">
        <v>51</v>
      </c>
      <c r="U884" s="304" t="s">
        <v>51</v>
      </c>
      <c r="V884" s="313">
        <v>0.55000000000000004</v>
      </c>
      <c r="W884" s="313">
        <v>0.55000000000000004</v>
      </c>
      <c r="X884" s="306" t="s">
        <v>248</v>
      </c>
      <c r="Y884" s="334" t="s">
        <v>96</v>
      </c>
      <c r="Z884" s="314" t="s">
        <v>100</v>
      </c>
      <c r="AQ884" s="326">
        <v>3761</v>
      </c>
      <c r="AR884" s="326" t="s">
        <v>1463</v>
      </c>
      <c r="AT884"/>
      <c r="AU884"/>
      <c r="AV884"/>
    </row>
    <row r="885" spans="1:48">
      <c r="A885" s="277" t="s">
        <v>759</v>
      </c>
      <c r="B885" s="277" t="s">
        <v>1640</v>
      </c>
      <c r="C885" s="277">
        <f>'Schippers 2005&amp;2006 all'!B19</f>
        <v>79.8</v>
      </c>
      <c r="D885" s="301">
        <f>'Schippers 2005&amp;2006 all'!C19</f>
        <v>1053309.4971193315</v>
      </c>
      <c r="H885" s="336"/>
      <c r="M885" s="336"/>
      <c r="N885" s="336"/>
      <c r="O885" s="334"/>
      <c r="P885" s="334"/>
      <c r="R885" s="304" t="s">
        <v>1395</v>
      </c>
      <c r="S885" s="304" t="s">
        <v>52</v>
      </c>
      <c r="T885" s="304" t="s">
        <v>51</v>
      </c>
      <c r="U885" s="304" t="s">
        <v>51</v>
      </c>
      <c r="V885" s="313">
        <v>0.55000000000000004</v>
      </c>
      <c r="W885" s="313">
        <v>0.55000000000000004</v>
      </c>
      <c r="X885" s="306" t="s">
        <v>248</v>
      </c>
      <c r="Y885" s="334" t="s">
        <v>96</v>
      </c>
      <c r="Z885" s="314" t="s">
        <v>100</v>
      </c>
      <c r="AQ885" s="326">
        <v>3761</v>
      </c>
      <c r="AR885" s="326" t="s">
        <v>1463</v>
      </c>
      <c r="AT885"/>
      <c r="AU885"/>
      <c r="AV885"/>
    </row>
    <row r="886" spans="1:48">
      <c r="A886" s="277" t="s">
        <v>759</v>
      </c>
      <c r="B886" s="277" t="s">
        <v>1640</v>
      </c>
      <c r="C886" s="277">
        <f>'Schippers 2005&amp;2006 all'!B20</f>
        <v>84</v>
      </c>
      <c r="D886" s="301">
        <f>'Schippers 2005&amp;2006 all'!C20</f>
        <v>1053309.4971193315</v>
      </c>
      <c r="E886" s="301">
        <f>'Schippers 2005&amp;2006 all'!E20</f>
        <v>453649.04497634107</v>
      </c>
      <c r="G886" s="301">
        <f>E886+F886</f>
        <v>453649.04497634107</v>
      </c>
      <c r="H886" s="336">
        <f>G886/D886</f>
        <v>0.43068921928171533</v>
      </c>
      <c r="M886" s="336">
        <v>0</v>
      </c>
      <c r="N886" s="336"/>
      <c r="O886" s="334" t="s">
        <v>1247</v>
      </c>
      <c r="P886" s="334"/>
      <c r="Q886" s="301" t="b">
        <v>1</v>
      </c>
      <c r="R886" s="304" t="s">
        <v>1395</v>
      </c>
      <c r="S886" s="304" t="s">
        <v>52</v>
      </c>
      <c r="T886" s="304" t="s">
        <v>51</v>
      </c>
      <c r="U886" s="304" t="s">
        <v>51</v>
      </c>
      <c r="V886" s="313">
        <v>0.55000000000000004</v>
      </c>
      <c r="W886" s="313">
        <v>0.55000000000000004</v>
      </c>
      <c r="X886" s="306" t="s">
        <v>248</v>
      </c>
      <c r="Y886" s="334" t="s">
        <v>96</v>
      </c>
      <c r="Z886" s="314" t="s">
        <v>100</v>
      </c>
      <c r="AB886" s="334" t="s">
        <v>311</v>
      </c>
      <c r="AC886" s="334" t="s">
        <v>1702</v>
      </c>
      <c r="AQ886" s="326">
        <v>3761</v>
      </c>
      <c r="AR886" s="326" t="s">
        <v>1463</v>
      </c>
      <c r="AT886"/>
      <c r="AU886"/>
      <c r="AV886"/>
    </row>
    <row r="887" spans="1:48">
      <c r="A887" s="277" t="s">
        <v>759</v>
      </c>
      <c r="B887" s="277" t="s">
        <v>1640</v>
      </c>
      <c r="C887" s="277">
        <f>'Schippers 2005&amp;2006 all'!B21</f>
        <v>94.3</v>
      </c>
      <c r="D887" s="301">
        <f>'Schippers 2005&amp;2006 all'!C21</f>
        <v>3424829.849606859</v>
      </c>
      <c r="H887" s="336"/>
      <c r="M887" s="336"/>
      <c r="N887" s="336"/>
      <c r="O887" s="334"/>
      <c r="P887" s="334"/>
      <c r="R887" s="304" t="s">
        <v>1395</v>
      </c>
      <c r="S887" s="304" t="s">
        <v>52</v>
      </c>
      <c r="T887" s="304" t="s">
        <v>51</v>
      </c>
      <c r="U887" s="304" t="s">
        <v>51</v>
      </c>
      <c r="V887" s="313">
        <v>0.55000000000000004</v>
      </c>
      <c r="W887" s="313">
        <v>0.55000000000000004</v>
      </c>
      <c r="X887" s="306" t="s">
        <v>248</v>
      </c>
      <c r="Y887" s="334" t="s">
        <v>96</v>
      </c>
      <c r="Z887" s="314" t="s">
        <v>100</v>
      </c>
      <c r="AQ887" s="326">
        <v>3761</v>
      </c>
      <c r="AR887" s="326" t="s">
        <v>1463</v>
      </c>
      <c r="AT887"/>
      <c r="AU887"/>
      <c r="AV887"/>
    </row>
    <row r="888" spans="1:48">
      <c r="A888" s="277" t="s">
        <v>759</v>
      </c>
      <c r="B888" s="277" t="s">
        <v>1640</v>
      </c>
      <c r="C888" s="277">
        <f>'Schippers 2005&amp;2006 all'!B22</f>
        <v>103</v>
      </c>
      <c r="D888" s="301">
        <f>'Schippers 2005&amp;2006 all'!C22</f>
        <v>2346691.4985403363</v>
      </c>
      <c r="E888" s="301">
        <f>'Schippers 2005&amp;2006 all'!E22</f>
        <v>505900.61149290367</v>
      </c>
      <c r="G888" s="301">
        <f>E888+F888</f>
        <v>505900.61149290367</v>
      </c>
      <c r="H888" s="336">
        <f>G888/D888</f>
        <v>0.21558036572237063</v>
      </c>
      <c r="M888" s="336">
        <v>0</v>
      </c>
      <c r="N888" s="336"/>
      <c r="O888" s="334" t="s">
        <v>1247</v>
      </c>
      <c r="P888" s="334"/>
      <c r="Q888" s="301" t="b">
        <v>1</v>
      </c>
      <c r="R888" s="304" t="s">
        <v>1395</v>
      </c>
      <c r="S888" s="304" t="s">
        <v>52</v>
      </c>
      <c r="T888" s="304" t="s">
        <v>51</v>
      </c>
      <c r="U888" s="304" t="s">
        <v>51</v>
      </c>
      <c r="V888" s="313">
        <v>0.55000000000000004</v>
      </c>
      <c r="W888" s="313">
        <v>0.55000000000000004</v>
      </c>
      <c r="X888" s="306" t="s">
        <v>248</v>
      </c>
      <c r="Y888" s="334" t="s">
        <v>96</v>
      </c>
      <c r="Z888" s="314" t="s">
        <v>100</v>
      </c>
      <c r="AB888" s="334" t="s">
        <v>311</v>
      </c>
      <c r="AC888" s="334" t="s">
        <v>1702</v>
      </c>
      <c r="AQ888" s="326">
        <v>3761</v>
      </c>
      <c r="AR888" s="326" t="s">
        <v>1463</v>
      </c>
      <c r="AT888"/>
      <c r="AU888"/>
      <c r="AV888"/>
    </row>
    <row r="889" spans="1:48">
      <c r="A889" s="277" t="s">
        <v>759</v>
      </c>
      <c r="B889" s="277" t="s">
        <v>1640</v>
      </c>
      <c r="C889" s="277">
        <f>'Schippers 2005&amp;2006 all'!B23</f>
        <v>103.8</v>
      </c>
      <c r="D889" s="301">
        <f>'Schippers 2005&amp;2006 all'!C23</f>
        <v>2346691.4985403363</v>
      </c>
      <c r="H889" s="336"/>
      <c r="M889" s="336"/>
      <c r="N889" s="336"/>
      <c r="O889" s="334"/>
      <c r="P889" s="334"/>
      <c r="R889" s="304" t="s">
        <v>1395</v>
      </c>
      <c r="S889" s="304" t="s">
        <v>52</v>
      </c>
      <c r="T889" s="304" t="s">
        <v>51</v>
      </c>
      <c r="U889" s="304" t="s">
        <v>51</v>
      </c>
      <c r="V889" s="313">
        <v>0.55000000000000004</v>
      </c>
      <c r="W889" s="313">
        <v>0.55000000000000004</v>
      </c>
      <c r="X889" s="306" t="s">
        <v>248</v>
      </c>
      <c r="Y889" s="334" t="s">
        <v>96</v>
      </c>
      <c r="Z889" s="314" t="s">
        <v>100</v>
      </c>
      <c r="AQ889" s="326">
        <v>3761</v>
      </c>
      <c r="AR889" s="326" t="s">
        <v>1463</v>
      </c>
      <c r="AT889"/>
      <c r="AU889"/>
      <c r="AV889"/>
    </row>
    <row r="890" spans="1:48">
      <c r="A890" s="277" t="s">
        <v>759</v>
      </c>
      <c r="B890" s="277" t="s">
        <v>1640</v>
      </c>
      <c r="C890" s="277">
        <f>'Schippers 2005&amp;2006 all'!B24</f>
        <v>122</v>
      </c>
      <c r="D890" s="301">
        <f>'Schippers 2005&amp;2006 all'!C24</f>
        <v>975077.19651637413</v>
      </c>
      <c r="E890" s="301">
        <f>'Schippers 2005&amp;2006 all'!E24</f>
        <v>115439.49737614235</v>
      </c>
      <c r="G890" s="301">
        <f>E890+F890</f>
        <v>115439.49737614235</v>
      </c>
      <c r="H890" s="336">
        <f>G890/D890</f>
        <v>0.11839011084308934</v>
      </c>
      <c r="M890" s="336">
        <v>0</v>
      </c>
      <c r="N890" s="336"/>
      <c r="O890" s="334" t="s">
        <v>1247</v>
      </c>
      <c r="P890" s="334"/>
      <c r="Q890" s="301" t="b">
        <v>1</v>
      </c>
      <c r="R890" s="304" t="s">
        <v>1395</v>
      </c>
      <c r="S890" s="304" t="s">
        <v>52</v>
      </c>
      <c r="T890" s="304" t="s">
        <v>51</v>
      </c>
      <c r="U890" s="304" t="s">
        <v>51</v>
      </c>
      <c r="V890" s="313">
        <v>0.55000000000000004</v>
      </c>
      <c r="W890" s="313">
        <v>0.55000000000000004</v>
      </c>
      <c r="X890" s="306" t="s">
        <v>248</v>
      </c>
      <c r="Y890" s="334" t="s">
        <v>96</v>
      </c>
      <c r="Z890" s="314" t="s">
        <v>100</v>
      </c>
      <c r="AB890" s="334" t="s">
        <v>311</v>
      </c>
      <c r="AC890" s="334" t="s">
        <v>1702</v>
      </c>
      <c r="AQ890" s="326">
        <v>3761</v>
      </c>
      <c r="AR890" s="326" t="s">
        <v>1463</v>
      </c>
      <c r="AT890"/>
      <c r="AU890"/>
      <c r="AV890"/>
    </row>
    <row r="891" spans="1:48">
      <c r="A891" s="277" t="s">
        <v>759</v>
      </c>
      <c r="B891" s="277" t="s">
        <v>1640</v>
      </c>
      <c r="C891" s="277">
        <f>'Schippers 2005&amp;2006 all'!B25</f>
        <v>122.8</v>
      </c>
      <c r="D891" s="301">
        <f>'Schippers 2005&amp;2006 all'!C25</f>
        <v>975077.19651637413</v>
      </c>
      <c r="H891" s="336"/>
      <c r="M891" s="336"/>
      <c r="N891" s="336"/>
      <c r="O891" s="334"/>
      <c r="P891" s="334"/>
      <c r="R891" s="304" t="s">
        <v>1395</v>
      </c>
      <c r="S891" s="304" t="s">
        <v>52</v>
      </c>
      <c r="T891" s="304" t="s">
        <v>51</v>
      </c>
      <c r="U891" s="304" t="s">
        <v>51</v>
      </c>
      <c r="V891" s="313">
        <v>0.55000000000000004</v>
      </c>
      <c r="W891" s="313">
        <v>0.55000000000000004</v>
      </c>
      <c r="X891" s="306" t="s">
        <v>248</v>
      </c>
      <c r="Y891" s="334" t="s">
        <v>96</v>
      </c>
      <c r="Z891" s="314" t="s">
        <v>100</v>
      </c>
      <c r="AQ891" s="326">
        <v>3761</v>
      </c>
      <c r="AR891" s="326" t="s">
        <v>1463</v>
      </c>
      <c r="AT891"/>
      <c r="AU891"/>
      <c r="AV891"/>
    </row>
    <row r="892" spans="1:48">
      <c r="A892" s="277" t="s">
        <v>759</v>
      </c>
      <c r="B892" s="277" t="s">
        <v>1640</v>
      </c>
      <c r="C892" s="277">
        <f>'Schippers 2005&amp;2006 all'!B26</f>
        <v>141</v>
      </c>
      <c r="E892" s="301">
        <f>'Schippers 2005&amp;2006 all'!E26</f>
        <v>331996.12846216146</v>
      </c>
      <c r="G892" s="301">
        <f>E892+F892</f>
        <v>331996.12846216146</v>
      </c>
      <c r="H892" s="336"/>
      <c r="M892" s="336">
        <v>0</v>
      </c>
      <c r="N892" s="336"/>
      <c r="O892" s="334" t="s">
        <v>1247</v>
      </c>
      <c r="P892" s="334"/>
      <c r="Q892" s="301" t="b">
        <v>1</v>
      </c>
      <c r="R892" s="304" t="s">
        <v>1395</v>
      </c>
      <c r="S892" s="304" t="s">
        <v>52</v>
      </c>
      <c r="T892" s="304" t="s">
        <v>51</v>
      </c>
      <c r="U892" s="304" t="s">
        <v>51</v>
      </c>
      <c r="V892" s="313">
        <v>0.55000000000000004</v>
      </c>
      <c r="W892" s="313">
        <v>0.55000000000000004</v>
      </c>
      <c r="X892" s="306" t="s">
        <v>248</v>
      </c>
      <c r="Y892" s="334" t="s">
        <v>96</v>
      </c>
      <c r="Z892" s="314" t="s">
        <v>100</v>
      </c>
      <c r="AB892" s="334" t="s">
        <v>311</v>
      </c>
      <c r="AC892" s="334" t="s">
        <v>1702</v>
      </c>
      <c r="AQ892" s="326">
        <v>3761</v>
      </c>
      <c r="AR892" s="326" t="s">
        <v>1463</v>
      </c>
      <c r="AT892"/>
      <c r="AU892"/>
      <c r="AV892"/>
    </row>
    <row r="893" spans="1:48">
      <c r="A893" s="277" t="s">
        <v>759</v>
      </c>
      <c r="B893" s="277" t="s">
        <v>1640</v>
      </c>
      <c r="C893" s="277">
        <f>'Schippers 2005&amp;2006 all'!B27</f>
        <v>160</v>
      </c>
      <c r="D893" s="301">
        <f>'Schippers 2005&amp;2006 all'!C27</f>
        <v>1432613.3702114061</v>
      </c>
      <c r="E893" s="301">
        <f>'Schippers 2005&amp;2006 all'!E27</f>
        <v>237612.72885689398</v>
      </c>
      <c r="G893" s="301">
        <f>E893+F893</f>
        <v>237612.72885689398</v>
      </c>
      <c r="H893" s="336">
        <f>G893/D893</f>
        <v>0.16585963372785656</v>
      </c>
      <c r="M893" s="336">
        <v>0</v>
      </c>
      <c r="N893" s="336"/>
      <c r="O893" s="334" t="s">
        <v>1247</v>
      </c>
      <c r="P893" s="334"/>
      <c r="Q893" s="301" t="b">
        <v>1</v>
      </c>
      <c r="R893" s="304" t="s">
        <v>1395</v>
      </c>
      <c r="S893" s="304" t="s">
        <v>52</v>
      </c>
      <c r="T893" s="304" t="s">
        <v>51</v>
      </c>
      <c r="U893" s="304" t="s">
        <v>51</v>
      </c>
      <c r="V893" s="313">
        <v>0.55000000000000004</v>
      </c>
      <c r="W893" s="313">
        <v>0.55000000000000004</v>
      </c>
      <c r="X893" s="306" t="s">
        <v>248</v>
      </c>
      <c r="Y893" s="334" t="s">
        <v>96</v>
      </c>
      <c r="Z893" s="314" t="s">
        <v>100</v>
      </c>
      <c r="AB893" s="334" t="s">
        <v>311</v>
      </c>
      <c r="AC893" s="334" t="s">
        <v>1702</v>
      </c>
      <c r="AQ893" s="326">
        <v>3761</v>
      </c>
      <c r="AR893" s="326" t="s">
        <v>1463</v>
      </c>
      <c r="AT893"/>
      <c r="AU893"/>
      <c r="AV893"/>
    </row>
    <row r="894" spans="1:48">
      <c r="A894" s="277" t="s">
        <v>759</v>
      </c>
      <c r="B894" s="277" t="s">
        <v>1640</v>
      </c>
      <c r="C894" s="277">
        <f>'Schippers 2005&amp;2006 all'!B28</f>
        <v>160.80000000000001</v>
      </c>
      <c r="D894" s="301">
        <f>'Schippers 2005&amp;2006 all'!C28</f>
        <v>1432613.3702114061</v>
      </c>
      <c r="H894" s="336"/>
      <c r="M894" s="336"/>
      <c r="N894" s="336"/>
      <c r="O894" s="334"/>
      <c r="P894" s="334"/>
      <c r="R894" s="304" t="s">
        <v>1395</v>
      </c>
      <c r="S894" s="304" t="s">
        <v>52</v>
      </c>
      <c r="T894" s="304" t="s">
        <v>51</v>
      </c>
      <c r="U894" s="304" t="s">
        <v>51</v>
      </c>
      <c r="V894" s="313">
        <v>0.55000000000000004</v>
      </c>
      <c r="W894" s="313">
        <v>0.55000000000000004</v>
      </c>
      <c r="X894" s="306" t="s">
        <v>248</v>
      </c>
      <c r="Y894" s="334" t="s">
        <v>96</v>
      </c>
      <c r="Z894" s="314" t="s">
        <v>100</v>
      </c>
      <c r="AQ894" s="326">
        <v>3761</v>
      </c>
      <c r="AR894" s="326" t="s">
        <v>1463</v>
      </c>
      <c r="AT894"/>
      <c r="AU894"/>
      <c r="AV894"/>
    </row>
    <row r="895" spans="1:48">
      <c r="A895" s="277" t="s">
        <v>759</v>
      </c>
      <c r="B895" s="277" t="s">
        <v>1640</v>
      </c>
      <c r="C895" s="277">
        <f>'Schippers 2005&amp;2006 all'!B29</f>
        <v>170.14</v>
      </c>
      <c r="D895" s="301">
        <f>'Schippers 2005&amp;2006 all'!C29</f>
        <v>1031582.5806224471</v>
      </c>
      <c r="H895" s="336"/>
      <c r="M895" s="336"/>
      <c r="N895" s="336"/>
      <c r="O895" s="334"/>
      <c r="P895" s="334"/>
      <c r="R895" s="304" t="s">
        <v>1395</v>
      </c>
      <c r="S895" s="304" t="s">
        <v>52</v>
      </c>
      <c r="T895" s="304" t="s">
        <v>51</v>
      </c>
      <c r="U895" s="304" t="s">
        <v>51</v>
      </c>
      <c r="V895" s="313">
        <v>0.55000000000000004</v>
      </c>
      <c r="W895" s="313">
        <v>0.55000000000000004</v>
      </c>
      <c r="X895" s="306" t="s">
        <v>248</v>
      </c>
      <c r="Y895" s="334" t="s">
        <v>96</v>
      </c>
      <c r="Z895" s="314" t="s">
        <v>100</v>
      </c>
      <c r="AQ895" s="326">
        <v>3761</v>
      </c>
      <c r="AR895" s="326" t="s">
        <v>1463</v>
      </c>
      <c r="AT895"/>
      <c r="AU895"/>
      <c r="AV895"/>
    </row>
    <row r="896" spans="1:48">
      <c r="A896" s="277" t="s">
        <v>759</v>
      </c>
      <c r="B896" s="277" t="s">
        <v>1640</v>
      </c>
      <c r="C896" s="277">
        <f>'Schippers 2005&amp;2006 all'!B30</f>
        <v>179</v>
      </c>
      <c r="E896" s="301">
        <f>'Schippers 2005&amp;2006 all'!E30</f>
        <v>294916.47517505853</v>
      </c>
      <c r="G896" s="301">
        <f>E896+F896</f>
        <v>294916.47517505853</v>
      </c>
      <c r="H896" s="336"/>
      <c r="M896" s="336">
        <v>0</v>
      </c>
      <c r="N896" s="336"/>
      <c r="O896" s="334" t="s">
        <v>1247</v>
      </c>
      <c r="P896" s="334"/>
      <c r="Q896" s="301" t="b">
        <v>1</v>
      </c>
      <c r="R896" s="304" t="s">
        <v>1395</v>
      </c>
      <c r="S896" s="304" t="s">
        <v>52</v>
      </c>
      <c r="T896" s="304" t="s">
        <v>51</v>
      </c>
      <c r="U896" s="304" t="s">
        <v>51</v>
      </c>
      <c r="V896" s="313">
        <v>0.55000000000000004</v>
      </c>
      <c r="W896" s="313">
        <v>0.55000000000000004</v>
      </c>
      <c r="X896" s="306" t="s">
        <v>248</v>
      </c>
      <c r="Y896" s="334" t="s">
        <v>96</v>
      </c>
      <c r="Z896" s="314" t="s">
        <v>100</v>
      </c>
      <c r="AB896" s="334" t="s">
        <v>311</v>
      </c>
      <c r="AC896" s="334" t="s">
        <v>1702</v>
      </c>
      <c r="AQ896" s="326">
        <v>3761</v>
      </c>
      <c r="AR896" s="326" t="s">
        <v>1463</v>
      </c>
      <c r="AT896"/>
      <c r="AU896"/>
      <c r="AV896"/>
    </row>
    <row r="897" spans="1:48">
      <c r="A897" s="277" t="s">
        <v>759</v>
      </c>
      <c r="B897" s="277" t="s">
        <v>1640</v>
      </c>
      <c r="C897" s="277">
        <f>'Schippers 2005&amp;2006 all'!B31</f>
        <v>198</v>
      </c>
      <c r="D897" s="301">
        <f>'Schippers 2005&amp;2006 all'!C31</f>
        <v>500042.594646396</v>
      </c>
      <c r="E897" s="301">
        <f>'Schippers 2005&amp;2006 all'!E31</f>
        <v>358092.97212126711</v>
      </c>
      <c r="G897" s="301">
        <f>E897+F897</f>
        <v>358092.97212126711</v>
      </c>
      <c r="H897" s="336">
        <f>G897/D897</f>
        <v>0.7161249380655097</v>
      </c>
      <c r="M897" s="336">
        <v>0</v>
      </c>
      <c r="N897" s="336"/>
      <c r="O897" s="334" t="s">
        <v>1247</v>
      </c>
      <c r="P897" s="334"/>
      <c r="Q897" s="301" t="b">
        <v>1</v>
      </c>
      <c r="R897" s="304" t="s">
        <v>1395</v>
      </c>
      <c r="S897" s="304" t="s">
        <v>52</v>
      </c>
      <c r="T897" s="304" t="s">
        <v>51</v>
      </c>
      <c r="U897" s="304" t="s">
        <v>51</v>
      </c>
      <c r="V897" s="313">
        <v>0.55000000000000004</v>
      </c>
      <c r="W897" s="313">
        <v>0.55000000000000004</v>
      </c>
      <c r="X897" s="306" t="s">
        <v>248</v>
      </c>
      <c r="Y897" s="334" t="s">
        <v>96</v>
      </c>
      <c r="Z897" s="314" t="s">
        <v>100</v>
      </c>
      <c r="AB897" s="334" t="s">
        <v>311</v>
      </c>
      <c r="AC897" s="334" t="s">
        <v>1702</v>
      </c>
      <c r="AQ897" s="326">
        <v>3761</v>
      </c>
      <c r="AR897" s="326" t="s">
        <v>1463</v>
      </c>
      <c r="AT897"/>
      <c r="AU897"/>
      <c r="AV897"/>
    </row>
    <row r="898" spans="1:48">
      <c r="A898" s="277" t="s">
        <v>759</v>
      </c>
      <c r="B898" s="277" t="s">
        <v>1640</v>
      </c>
      <c r="C898" s="277">
        <f>'Schippers 2005&amp;2006 all'!B32</f>
        <v>198.8</v>
      </c>
      <c r="D898" s="301">
        <f>'Schippers 2005&amp;2006 all'!C32</f>
        <v>500042.594646396</v>
      </c>
      <c r="H898" s="336"/>
      <c r="M898" s="336"/>
      <c r="N898" s="336"/>
      <c r="O898" s="334"/>
      <c r="P898" s="334"/>
      <c r="R898" s="304" t="s">
        <v>1395</v>
      </c>
      <c r="S898" s="304" t="s">
        <v>52</v>
      </c>
      <c r="T898" s="304" t="s">
        <v>51</v>
      </c>
      <c r="U898" s="304" t="s">
        <v>51</v>
      </c>
      <c r="V898" s="313">
        <v>0.55000000000000004</v>
      </c>
      <c r="W898" s="313">
        <v>0.55000000000000004</v>
      </c>
      <c r="X898" s="306" t="s">
        <v>248</v>
      </c>
      <c r="Y898" s="334" t="s">
        <v>96</v>
      </c>
      <c r="Z898" s="314" t="s">
        <v>100</v>
      </c>
      <c r="AQ898" s="326">
        <v>3761</v>
      </c>
      <c r="AR898" s="326" t="s">
        <v>1463</v>
      </c>
      <c r="AT898"/>
      <c r="AU898"/>
      <c r="AV898"/>
    </row>
    <row r="899" spans="1:48">
      <c r="A899" s="277" t="s">
        <v>759</v>
      </c>
      <c r="B899" s="277" t="s">
        <v>1640</v>
      </c>
      <c r="C899" s="277">
        <f>'Schippers 2005&amp;2006 all'!B33</f>
        <v>209.8</v>
      </c>
      <c r="D899" s="301">
        <f>'Schippers 2005&amp;2006 all'!C33</f>
        <v>917603.37023088813</v>
      </c>
      <c r="H899" s="336"/>
      <c r="M899" s="336"/>
      <c r="N899" s="336"/>
      <c r="O899" s="334"/>
      <c r="P899" s="334"/>
      <c r="R899" s="304" t="s">
        <v>1395</v>
      </c>
      <c r="S899" s="304" t="s">
        <v>52</v>
      </c>
      <c r="T899" s="304" t="s">
        <v>51</v>
      </c>
      <c r="U899" s="304" t="s">
        <v>51</v>
      </c>
      <c r="V899" s="313">
        <v>0.55000000000000004</v>
      </c>
      <c r="W899" s="313">
        <v>0.55000000000000004</v>
      </c>
      <c r="X899" s="306" t="s">
        <v>248</v>
      </c>
      <c r="Y899" s="334" t="s">
        <v>96</v>
      </c>
      <c r="Z899" s="314" t="s">
        <v>100</v>
      </c>
      <c r="AQ899" s="326">
        <v>3761</v>
      </c>
      <c r="AR899" s="326" t="s">
        <v>1463</v>
      </c>
      <c r="AT899"/>
      <c r="AU899"/>
      <c r="AV899"/>
    </row>
    <row r="900" spans="1:48">
      <c r="A900" s="277" t="s">
        <v>759</v>
      </c>
      <c r="B900" s="277" t="s">
        <v>1640</v>
      </c>
      <c r="C900" s="277">
        <f>'Schippers 2005&amp;2006 all'!B34</f>
        <v>218</v>
      </c>
      <c r="D900" s="301">
        <f>'Schippers 2005&amp;2006 all'!C34</f>
        <v>403121.53588113323</v>
      </c>
      <c r="E900" s="301">
        <f>'Schippers 2005&amp;2006 all'!E34</f>
        <v>412392.67836414854</v>
      </c>
      <c r="G900" s="301">
        <f>E900+F900</f>
        <v>412392.67836414854</v>
      </c>
      <c r="H900" s="336">
        <f>G900/D900</f>
        <v>1.0229983805324383</v>
      </c>
      <c r="M900" s="336">
        <v>0</v>
      </c>
      <c r="N900" s="336"/>
      <c r="O900" s="334" t="s">
        <v>1247</v>
      </c>
      <c r="P900" s="334"/>
      <c r="Q900" s="301" t="b">
        <v>1</v>
      </c>
      <c r="R900" s="304" t="s">
        <v>1395</v>
      </c>
      <c r="S900" s="304" t="s">
        <v>52</v>
      </c>
      <c r="T900" s="304" t="s">
        <v>51</v>
      </c>
      <c r="U900" s="304" t="s">
        <v>51</v>
      </c>
      <c r="V900" s="313">
        <v>0.55000000000000004</v>
      </c>
      <c r="W900" s="313">
        <v>0.55000000000000004</v>
      </c>
      <c r="X900" s="306" t="s">
        <v>248</v>
      </c>
      <c r="Y900" s="334" t="s">
        <v>96</v>
      </c>
      <c r="Z900" s="314" t="s">
        <v>100</v>
      </c>
      <c r="AB900" s="334" t="s">
        <v>311</v>
      </c>
      <c r="AC900" s="334" t="s">
        <v>1702</v>
      </c>
      <c r="AQ900" s="326">
        <v>3761</v>
      </c>
      <c r="AR900" s="326" t="s">
        <v>1463</v>
      </c>
      <c r="AT900"/>
      <c r="AU900"/>
      <c r="AV900"/>
    </row>
    <row r="901" spans="1:48">
      <c r="A901" s="277" t="s">
        <v>759</v>
      </c>
      <c r="B901" s="277" t="s">
        <v>1640</v>
      </c>
      <c r="C901" s="277">
        <f>'Schippers 2005&amp;2006 all'!B35</f>
        <v>219.3</v>
      </c>
      <c r="D901" s="301">
        <f>'Schippers 2005&amp;2006 all'!C35</f>
        <v>403121.53588113323</v>
      </c>
      <c r="H901" s="336"/>
      <c r="M901" s="336"/>
      <c r="N901" s="336"/>
      <c r="O901" s="334"/>
      <c r="P901" s="334"/>
      <c r="R901" s="304" t="s">
        <v>1395</v>
      </c>
      <c r="S901" s="304" t="s">
        <v>52</v>
      </c>
      <c r="T901" s="304" t="s">
        <v>51</v>
      </c>
      <c r="U901" s="304" t="s">
        <v>51</v>
      </c>
      <c r="V901" s="313">
        <v>0.55000000000000004</v>
      </c>
      <c r="W901" s="313">
        <v>0.55000000000000004</v>
      </c>
      <c r="X901" s="306" t="s">
        <v>248</v>
      </c>
      <c r="Y901" s="334" t="s">
        <v>96</v>
      </c>
      <c r="Z901" s="314" t="s">
        <v>100</v>
      </c>
      <c r="AQ901" s="326">
        <v>3761</v>
      </c>
      <c r="AR901" s="326" t="s">
        <v>1463</v>
      </c>
      <c r="AT901"/>
      <c r="AU901"/>
      <c r="AV901"/>
    </row>
    <row r="902" spans="1:48">
      <c r="A902" s="277" t="s">
        <v>759</v>
      </c>
      <c r="B902" s="277" t="s">
        <v>1640</v>
      </c>
      <c r="C902" s="277">
        <f>'Schippers 2005&amp;2006 all'!B36</f>
        <v>237</v>
      </c>
      <c r="D902" s="301">
        <f>'Schippers 2005&amp;2006 all'!C36</f>
        <v>1096369.6379404955</v>
      </c>
      <c r="E902" s="301">
        <f>'Schippers 2005&amp;2006 all'!E36</f>
        <v>544102.73295727838</v>
      </c>
      <c r="G902" s="301">
        <f>E902+F902</f>
        <v>544102.73295727838</v>
      </c>
      <c r="H902" s="336">
        <f>G902/D902</f>
        <v>0.49627672468143363</v>
      </c>
      <c r="M902" s="336">
        <v>0</v>
      </c>
      <c r="N902" s="336"/>
      <c r="O902" s="334" t="s">
        <v>1247</v>
      </c>
      <c r="P902" s="334"/>
      <c r="Q902" s="301" t="b">
        <v>1</v>
      </c>
      <c r="R902" s="304" t="s">
        <v>1395</v>
      </c>
      <c r="S902" s="304" t="s">
        <v>52</v>
      </c>
      <c r="T902" s="304" t="s">
        <v>51</v>
      </c>
      <c r="U902" s="304" t="s">
        <v>51</v>
      </c>
      <c r="V902" s="313">
        <v>0.55000000000000004</v>
      </c>
      <c r="W902" s="313">
        <v>0.55000000000000004</v>
      </c>
      <c r="X902" s="306" t="s">
        <v>248</v>
      </c>
      <c r="Y902" s="334" t="s">
        <v>96</v>
      </c>
      <c r="Z902" s="314" t="s">
        <v>100</v>
      </c>
      <c r="AB902" s="334" t="s">
        <v>311</v>
      </c>
      <c r="AC902" s="334" t="s">
        <v>1702</v>
      </c>
      <c r="AQ902" s="326">
        <v>3761</v>
      </c>
      <c r="AR902" s="326" t="s">
        <v>1463</v>
      </c>
      <c r="AT902"/>
      <c r="AU902"/>
      <c r="AV902"/>
    </row>
    <row r="903" spans="1:48">
      <c r="A903" s="277" t="s">
        <v>759</v>
      </c>
      <c r="B903" s="277" t="s">
        <v>1640</v>
      </c>
      <c r="C903" s="277">
        <f>'Schippers 2005&amp;2006 all'!B37</f>
        <v>238.3</v>
      </c>
      <c r="D903" s="301">
        <f>'Schippers 2005&amp;2006 all'!C37</f>
        <v>1096369.6379404955</v>
      </c>
      <c r="H903" s="336"/>
      <c r="M903" s="336"/>
      <c r="N903" s="336"/>
      <c r="O903" s="334"/>
      <c r="P903" s="334"/>
      <c r="R903" s="304" t="s">
        <v>1395</v>
      </c>
      <c r="S903" s="304" t="s">
        <v>52</v>
      </c>
      <c r="T903" s="304" t="s">
        <v>51</v>
      </c>
      <c r="U903" s="304" t="s">
        <v>51</v>
      </c>
      <c r="V903" s="313">
        <v>0.55000000000000004</v>
      </c>
      <c r="W903" s="313">
        <v>0.55000000000000004</v>
      </c>
      <c r="X903" s="306" t="s">
        <v>248</v>
      </c>
      <c r="Y903" s="334" t="s">
        <v>96</v>
      </c>
      <c r="Z903" s="314" t="s">
        <v>100</v>
      </c>
      <c r="AQ903" s="326">
        <v>3761</v>
      </c>
      <c r="AR903" s="326" t="s">
        <v>1463</v>
      </c>
      <c r="AT903"/>
      <c r="AU903"/>
      <c r="AV903"/>
    </row>
    <row r="904" spans="1:48">
      <c r="A904" s="277" t="s">
        <v>759</v>
      </c>
      <c r="B904" s="277" t="s">
        <v>1640</v>
      </c>
      <c r="C904" s="277">
        <f>'Schippers 2005&amp;2006 all'!B38</f>
        <v>266</v>
      </c>
      <c r="D904" s="301">
        <f>'Schippers 2005&amp;2006 all'!C38</f>
        <v>2196286.5400199294</v>
      </c>
      <c r="E904" s="301">
        <f>'Schippers 2005&amp;2006 all'!E38</f>
        <v>106204.84873382335</v>
      </c>
      <c r="G904" s="301">
        <f>E904+F904</f>
        <v>106204.84873382335</v>
      </c>
      <c r="H904" s="336">
        <f>G904/D904</f>
        <v>4.8356554028173224E-2</v>
      </c>
      <c r="M904" s="336">
        <v>0</v>
      </c>
      <c r="N904" s="336"/>
      <c r="O904" s="334" t="s">
        <v>1247</v>
      </c>
      <c r="P904" s="334"/>
      <c r="Q904" s="301" t="b">
        <v>1</v>
      </c>
      <c r="R904" s="304" t="s">
        <v>1395</v>
      </c>
      <c r="S904" s="304" t="s">
        <v>52</v>
      </c>
      <c r="T904" s="304" t="s">
        <v>51</v>
      </c>
      <c r="U904" s="304" t="s">
        <v>51</v>
      </c>
      <c r="V904" s="313">
        <v>0.55000000000000004</v>
      </c>
      <c r="W904" s="313">
        <v>0.55000000000000004</v>
      </c>
      <c r="X904" s="306" t="s">
        <v>248</v>
      </c>
      <c r="Y904" s="328" t="s">
        <v>96</v>
      </c>
      <c r="Z904" s="314" t="s">
        <v>100</v>
      </c>
      <c r="AB904" s="334" t="s">
        <v>311</v>
      </c>
      <c r="AC904" s="334" t="s">
        <v>1702</v>
      </c>
      <c r="AQ904" s="326">
        <v>3761</v>
      </c>
      <c r="AR904" s="326" t="s">
        <v>1463</v>
      </c>
      <c r="AT904"/>
      <c r="AU904"/>
      <c r="AV904"/>
    </row>
    <row r="905" spans="1:48">
      <c r="A905" s="277" t="s">
        <v>759</v>
      </c>
      <c r="B905" s="277" t="s">
        <v>1640</v>
      </c>
      <c r="C905" s="277">
        <f>'Schippers 2005&amp;2006 all'!B39</f>
        <v>267.05</v>
      </c>
      <c r="D905" s="301">
        <f>'Schippers 2005&amp;2006 all'!C39</f>
        <v>2196286.5400199294</v>
      </c>
      <c r="H905" s="336"/>
      <c r="M905" s="336"/>
      <c r="N905" s="336"/>
      <c r="O905" s="334"/>
      <c r="P905" s="334"/>
      <c r="R905" s="304" t="s">
        <v>1395</v>
      </c>
      <c r="S905" s="304" t="s">
        <v>52</v>
      </c>
      <c r="T905" s="304" t="s">
        <v>51</v>
      </c>
      <c r="U905" s="304" t="s">
        <v>51</v>
      </c>
      <c r="V905" s="313">
        <v>0.55000000000000004</v>
      </c>
      <c r="W905" s="313">
        <v>0.55000000000000004</v>
      </c>
      <c r="X905" s="306" t="s">
        <v>248</v>
      </c>
      <c r="Y905" s="328" t="s">
        <v>96</v>
      </c>
      <c r="Z905" s="314" t="s">
        <v>100</v>
      </c>
      <c r="AQ905" s="326">
        <v>3761</v>
      </c>
      <c r="AR905" s="326" t="s">
        <v>1463</v>
      </c>
      <c r="AT905"/>
      <c r="AU905"/>
      <c r="AV905"/>
    </row>
    <row r="906" spans="1:48">
      <c r="A906" s="277" t="s">
        <v>759</v>
      </c>
      <c r="B906" s="277" t="s">
        <v>1640</v>
      </c>
      <c r="C906" s="277">
        <f>'Schippers 2005&amp;2006 all'!B40</f>
        <v>278.2</v>
      </c>
      <c r="D906" s="301">
        <f>'Schippers 2005&amp;2006 all'!C40</f>
        <v>393531.04608257866</v>
      </c>
      <c r="H906" s="336"/>
      <c r="M906" s="336"/>
      <c r="N906" s="336"/>
      <c r="O906" s="334"/>
      <c r="P906" s="334"/>
      <c r="R906" s="304" t="s">
        <v>1395</v>
      </c>
      <c r="S906" s="304" t="s">
        <v>52</v>
      </c>
      <c r="T906" s="304" t="s">
        <v>51</v>
      </c>
      <c r="U906" s="304" t="s">
        <v>51</v>
      </c>
      <c r="V906" s="313">
        <v>0.55000000000000004</v>
      </c>
      <c r="W906" s="313">
        <v>0.55000000000000004</v>
      </c>
      <c r="X906" s="306" t="s">
        <v>248</v>
      </c>
      <c r="Y906" s="328" t="s">
        <v>96</v>
      </c>
      <c r="Z906" s="314" t="s">
        <v>100</v>
      </c>
      <c r="AQ906" s="326">
        <v>3761</v>
      </c>
      <c r="AR906" s="326" t="s">
        <v>1463</v>
      </c>
      <c r="AT906"/>
      <c r="AU906"/>
      <c r="AV906"/>
    </row>
    <row r="907" spans="1:48">
      <c r="A907" s="277" t="s">
        <v>759</v>
      </c>
      <c r="B907" s="277" t="s">
        <v>1640</v>
      </c>
      <c r="C907" s="277">
        <f>'Schippers 2005&amp;2006 all'!B41</f>
        <v>287</v>
      </c>
      <c r="D907" s="301">
        <f>'Schippers 2005&amp;2006 all'!C41</f>
        <v>819113.34213539888</v>
      </c>
      <c r="E907" s="301">
        <f>'Schippers 2005&amp;2006 all'!E41</f>
        <v>250528.83094882252</v>
      </c>
      <c r="G907" s="301">
        <f>E907+F907</f>
        <v>250528.83094882252</v>
      </c>
      <c r="H907" s="336">
        <f>G907/D907</f>
        <v>0.30585368112269168</v>
      </c>
      <c r="M907" s="336">
        <v>0</v>
      </c>
      <c r="N907" s="336"/>
      <c r="O907" s="334" t="s">
        <v>1247</v>
      </c>
      <c r="P907" s="334"/>
      <c r="Q907" s="301" t="b">
        <v>1</v>
      </c>
      <c r="R907" s="304" t="s">
        <v>1395</v>
      </c>
      <c r="S907" s="304" t="s">
        <v>52</v>
      </c>
      <c r="T907" s="304" t="s">
        <v>51</v>
      </c>
      <c r="U907" s="304" t="s">
        <v>51</v>
      </c>
      <c r="V907" s="313">
        <v>0.55000000000000004</v>
      </c>
      <c r="W907" s="313">
        <v>0.55000000000000004</v>
      </c>
      <c r="X907" s="306" t="s">
        <v>248</v>
      </c>
      <c r="Y907" s="328" t="s">
        <v>96</v>
      </c>
      <c r="Z907" s="314" t="s">
        <v>100</v>
      </c>
      <c r="AB907" s="334" t="s">
        <v>311</v>
      </c>
      <c r="AC907" s="334" t="s">
        <v>1702</v>
      </c>
      <c r="AQ907" s="326">
        <v>3761</v>
      </c>
      <c r="AR907" s="326" t="s">
        <v>1463</v>
      </c>
      <c r="AT907"/>
      <c r="AU907"/>
      <c r="AV907"/>
    </row>
    <row r="908" spans="1:48">
      <c r="A908" s="277" t="s">
        <v>759</v>
      </c>
      <c r="B908" s="277" t="s">
        <v>1640</v>
      </c>
      <c r="C908" s="277">
        <f>'Schippers 2005&amp;2006 all'!B42</f>
        <v>287.55</v>
      </c>
      <c r="D908" s="301">
        <f>'Schippers 2005&amp;2006 all'!C42</f>
        <v>819113.34213539888</v>
      </c>
      <c r="H908" s="336"/>
      <c r="M908" s="336"/>
      <c r="N908" s="336"/>
      <c r="O908" s="334"/>
      <c r="P908" s="334"/>
      <c r="R908" s="304" t="s">
        <v>1395</v>
      </c>
      <c r="S908" s="304" t="s">
        <v>52</v>
      </c>
      <c r="T908" s="304" t="s">
        <v>51</v>
      </c>
      <c r="U908" s="304" t="s">
        <v>51</v>
      </c>
      <c r="V908" s="313">
        <v>0.55000000000000004</v>
      </c>
      <c r="W908" s="313">
        <v>0.55000000000000004</v>
      </c>
      <c r="X908" s="306" t="s">
        <v>248</v>
      </c>
      <c r="Y908" s="334" t="s">
        <v>96</v>
      </c>
      <c r="Z908" s="314" t="s">
        <v>100</v>
      </c>
      <c r="AQ908" s="326">
        <v>3761</v>
      </c>
      <c r="AR908" s="326" t="s">
        <v>1463</v>
      </c>
      <c r="AT908"/>
      <c r="AU908"/>
      <c r="AV908"/>
    </row>
    <row r="909" spans="1:48">
      <c r="A909" s="277" t="s">
        <v>759</v>
      </c>
      <c r="B909" s="277" t="s">
        <v>1640</v>
      </c>
      <c r="C909" s="277">
        <f>'Schippers 2005&amp;2006 all'!B43</f>
        <v>307</v>
      </c>
      <c r="D909" s="301">
        <f>'Schippers 2005&amp;2006 all'!C43</f>
        <v>205062.38302834646</v>
      </c>
      <c r="E909" s="301">
        <f>'Schippers 2005&amp;2006 all'!E43</f>
        <v>184438.13002796666</v>
      </c>
      <c r="G909" s="301">
        <f>E909+F909</f>
        <v>184438.13002796666</v>
      </c>
      <c r="H909" s="336">
        <f>G909/D909</f>
        <v>0.89942449367942412</v>
      </c>
      <c r="M909" s="336">
        <v>0</v>
      </c>
      <c r="N909" s="336"/>
      <c r="O909" s="334" t="s">
        <v>1247</v>
      </c>
      <c r="P909" s="334"/>
      <c r="Q909" s="301" t="b">
        <v>1</v>
      </c>
      <c r="R909" s="304" t="s">
        <v>1395</v>
      </c>
      <c r="S909" s="304" t="s">
        <v>52</v>
      </c>
      <c r="T909" s="304" t="s">
        <v>51</v>
      </c>
      <c r="U909" s="304" t="s">
        <v>51</v>
      </c>
      <c r="V909" s="313">
        <v>0.55000000000000004</v>
      </c>
      <c r="W909" s="313">
        <v>0.55000000000000004</v>
      </c>
      <c r="X909" s="306" t="s">
        <v>248</v>
      </c>
      <c r="Y909" s="328" t="s">
        <v>96</v>
      </c>
      <c r="Z909" s="314" t="s">
        <v>100</v>
      </c>
      <c r="AB909" s="334" t="s">
        <v>311</v>
      </c>
      <c r="AC909" s="334" t="s">
        <v>1702</v>
      </c>
      <c r="AQ909" s="326">
        <v>3761</v>
      </c>
      <c r="AR909" s="326" t="s">
        <v>1463</v>
      </c>
      <c r="AT909"/>
      <c r="AU909"/>
      <c r="AV909"/>
    </row>
    <row r="910" spans="1:48">
      <c r="A910" s="277" t="s">
        <v>759</v>
      </c>
      <c r="B910" s="277" t="s">
        <v>1640</v>
      </c>
      <c r="C910" s="277">
        <f>'Schippers 2005&amp;2006 all'!B44</f>
        <v>308.2</v>
      </c>
      <c r="D910" s="301">
        <f>'Schippers 2005&amp;2006 all'!C44</f>
        <v>205062.38302834646</v>
      </c>
      <c r="H910" s="336"/>
      <c r="M910" s="336"/>
      <c r="N910" s="336"/>
      <c r="O910" s="334"/>
      <c r="P910" s="334"/>
      <c r="R910" s="304" t="s">
        <v>1395</v>
      </c>
      <c r="S910" s="304" t="s">
        <v>52</v>
      </c>
      <c r="T910" s="304" t="s">
        <v>51</v>
      </c>
      <c r="U910" s="304" t="s">
        <v>51</v>
      </c>
      <c r="V910" s="313">
        <v>0.55000000000000004</v>
      </c>
      <c r="W910" s="313">
        <v>0.55000000000000004</v>
      </c>
      <c r="X910" s="306" t="s">
        <v>248</v>
      </c>
      <c r="Y910" s="328" t="s">
        <v>96</v>
      </c>
      <c r="Z910" s="314" t="s">
        <v>100</v>
      </c>
      <c r="AQ910" s="326">
        <v>3761</v>
      </c>
      <c r="AR910" s="326" t="s">
        <v>1463</v>
      </c>
      <c r="AT910"/>
      <c r="AU910"/>
      <c r="AV910"/>
    </row>
    <row r="911" spans="1:48">
      <c r="A911" s="277" t="s">
        <v>759</v>
      </c>
      <c r="B911" s="277" t="s">
        <v>1640</v>
      </c>
      <c r="C911" s="277">
        <f>'Schippers 2005&amp;2006 all'!B45</f>
        <v>320</v>
      </c>
      <c r="D911" s="301">
        <f>'Schippers 2005&amp;2006 all'!C45</f>
        <v>183589.99076861143</v>
      </c>
      <c r="E911" s="301">
        <f>'Schippers 2005&amp;2006 all'!E45</f>
        <v>245228.00391056712</v>
      </c>
      <c r="G911" s="301">
        <f>E911+F911</f>
        <v>245228.00391056712</v>
      </c>
      <c r="H911" s="336">
        <f>G911/D911</f>
        <v>1.3357373290553811</v>
      </c>
      <c r="M911" s="336">
        <v>0</v>
      </c>
      <c r="N911" s="336"/>
      <c r="O911" s="334" t="s">
        <v>1247</v>
      </c>
      <c r="P911" s="334"/>
      <c r="Q911" s="301" t="b">
        <v>1</v>
      </c>
      <c r="R911" s="304" t="s">
        <v>1395</v>
      </c>
      <c r="S911" s="304" t="s">
        <v>52</v>
      </c>
      <c r="T911" s="304" t="s">
        <v>51</v>
      </c>
      <c r="U911" s="304" t="s">
        <v>51</v>
      </c>
      <c r="V911" s="313">
        <v>0.55000000000000004</v>
      </c>
      <c r="W911" s="313">
        <v>0.55000000000000004</v>
      </c>
      <c r="X911" s="306" t="s">
        <v>248</v>
      </c>
      <c r="Y911" s="312" t="s">
        <v>96</v>
      </c>
      <c r="Z911" s="314" t="s">
        <v>100</v>
      </c>
      <c r="AB911" s="334" t="s">
        <v>311</v>
      </c>
      <c r="AC911" s="334" t="s">
        <v>1702</v>
      </c>
      <c r="AQ911" s="326">
        <v>3761</v>
      </c>
      <c r="AR911" s="326" t="s">
        <v>1463</v>
      </c>
      <c r="AT911"/>
      <c r="AU911"/>
      <c r="AV911"/>
    </row>
    <row r="912" spans="1:48">
      <c r="A912" s="277" t="s">
        <v>759</v>
      </c>
      <c r="B912" s="277" t="s">
        <v>1640</v>
      </c>
      <c r="C912" s="277">
        <f>'Schippers 2005&amp;2006 all'!B46</f>
        <v>320.13</v>
      </c>
      <c r="D912" s="301">
        <f>'Schippers 2005&amp;2006 all'!C46</f>
        <v>183589.99076861143</v>
      </c>
      <c r="H912" s="336"/>
      <c r="M912" s="336"/>
      <c r="N912" s="336"/>
      <c r="O912" s="334"/>
      <c r="P912" s="334"/>
      <c r="R912" s="304" t="s">
        <v>1395</v>
      </c>
      <c r="S912" s="304" t="s">
        <v>52</v>
      </c>
      <c r="T912" s="304" t="s">
        <v>51</v>
      </c>
      <c r="U912" s="304" t="s">
        <v>51</v>
      </c>
      <c r="V912" s="313">
        <v>0.55000000000000004</v>
      </c>
      <c r="W912" s="313">
        <v>0.55000000000000004</v>
      </c>
      <c r="X912" s="306" t="s">
        <v>248</v>
      </c>
      <c r="Y912" s="328" t="s">
        <v>96</v>
      </c>
      <c r="Z912" s="314" t="s">
        <v>100</v>
      </c>
      <c r="AQ912" s="326">
        <v>3761</v>
      </c>
      <c r="AR912" s="326" t="s">
        <v>1463</v>
      </c>
      <c r="AT912"/>
      <c r="AU912"/>
      <c r="AV912"/>
    </row>
    <row r="913" spans="1:48">
      <c r="A913" s="277" t="s">
        <v>759</v>
      </c>
      <c r="B913" s="277" t="s">
        <v>1641</v>
      </c>
      <c r="C913" s="277">
        <f>'Schippers 2005&amp;2006 all'!B47</f>
        <v>0.01</v>
      </c>
      <c r="D913" s="301">
        <f>'Schippers 2005&amp;2006 all'!C47</f>
        <v>462942937.05624115</v>
      </c>
      <c r="H913" s="336"/>
      <c r="M913" s="336"/>
      <c r="N913" s="336"/>
      <c r="O913" s="334"/>
      <c r="P913" s="334"/>
      <c r="R913" s="304" t="s">
        <v>1395</v>
      </c>
      <c r="S913" s="304" t="s">
        <v>52</v>
      </c>
      <c r="T913" s="304" t="s">
        <v>51</v>
      </c>
      <c r="U913" s="304" t="s">
        <v>51</v>
      </c>
      <c r="V913" s="313">
        <v>0.55000000000000004</v>
      </c>
      <c r="W913" s="313">
        <v>0.55000000000000004</v>
      </c>
      <c r="X913" s="306" t="s">
        <v>248</v>
      </c>
      <c r="Y913" s="312" t="s">
        <v>96</v>
      </c>
      <c r="Z913" s="314" t="s">
        <v>100</v>
      </c>
      <c r="AQ913" s="326">
        <v>3298</v>
      </c>
      <c r="AR913" s="326" t="s">
        <v>1463</v>
      </c>
      <c r="AT913"/>
      <c r="AU913"/>
      <c r="AV913"/>
    </row>
    <row r="914" spans="1:48">
      <c r="A914" s="277" t="s">
        <v>759</v>
      </c>
      <c r="B914" s="277" t="s">
        <v>1641</v>
      </c>
      <c r="C914" s="277">
        <f>'Schippers 2005&amp;2006 all'!B48</f>
        <v>1</v>
      </c>
      <c r="D914" s="301">
        <f>'Schippers 2005&amp;2006 all'!C48</f>
        <v>3209217.393423113</v>
      </c>
      <c r="E914" s="301">
        <f>'Schippers 2005&amp;2006 all'!E48</f>
        <v>132730.7648679642</v>
      </c>
      <c r="G914" s="301">
        <f>E914+F914</f>
        <v>132730.7648679642</v>
      </c>
      <c r="H914" s="336">
        <f>G914/D914</f>
        <v>4.1359231425075534E-2</v>
      </c>
      <c r="M914" s="336">
        <v>0</v>
      </c>
      <c r="N914" s="336"/>
      <c r="O914" s="334" t="s">
        <v>1247</v>
      </c>
      <c r="P914" s="334"/>
      <c r="Q914" s="301" t="b">
        <v>1</v>
      </c>
      <c r="R914" s="304" t="s">
        <v>1395</v>
      </c>
      <c r="S914" s="304" t="s">
        <v>52</v>
      </c>
      <c r="T914" s="304" t="s">
        <v>51</v>
      </c>
      <c r="U914" s="304" t="s">
        <v>51</v>
      </c>
      <c r="V914" s="313">
        <v>0.55000000000000004</v>
      </c>
      <c r="W914" s="313">
        <v>0.55000000000000004</v>
      </c>
      <c r="X914" s="306" t="s">
        <v>248</v>
      </c>
      <c r="Y914" s="325" t="s">
        <v>96</v>
      </c>
      <c r="Z914" s="314" t="s">
        <v>100</v>
      </c>
      <c r="AB914" s="334" t="s">
        <v>311</v>
      </c>
      <c r="AC914" s="334" t="s">
        <v>1702</v>
      </c>
      <c r="AQ914" s="326">
        <v>3298</v>
      </c>
      <c r="AR914" s="326" t="s">
        <v>1463</v>
      </c>
      <c r="AT914"/>
      <c r="AU914"/>
      <c r="AV914"/>
    </row>
    <row r="915" spans="1:48">
      <c r="A915" s="277" t="s">
        <v>759</v>
      </c>
      <c r="B915" s="277" t="s">
        <v>1641</v>
      </c>
      <c r="C915" s="277">
        <f>'Schippers 2005&amp;2006 all'!B49</f>
        <v>1.49</v>
      </c>
      <c r="D915" s="301">
        <f>'Schippers 2005&amp;2006 all'!C49</f>
        <v>3209217.393423113</v>
      </c>
      <c r="H915" s="336"/>
      <c r="M915" s="336"/>
      <c r="N915" s="336"/>
      <c r="O915" s="334"/>
      <c r="P915" s="334"/>
      <c r="R915" s="304" t="s">
        <v>1395</v>
      </c>
      <c r="S915" s="304" t="s">
        <v>52</v>
      </c>
      <c r="T915" s="304" t="s">
        <v>51</v>
      </c>
      <c r="U915" s="304" t="s">
        <v>51</v>
      </c>
      <c r="V915" s="313">
        <v>0.55000000000000004</v>
      </c>
      <c r="W915" s="313">
        <v>0.55000000000000004</v>
      </c>
      <c r="X915" s="306" t="s">
        <v>248</v>
      </c>
      <c r="Y915" s="334" t="s">
        <v>96</v>
      </c>
      <c r="Z915" s="314" t="s">
        <v>100</v>
      </c>
      <c r="AQ915" s="326">
        <v>3298</v>
      </c>
      <c r="AR915" s="326" t="s">
        <v>1463</v>
      </c>
      <c r="AT915"/>
      <c r="AU915"/>
      <c r="AV915"/>
    </row>
    <row r="916" spans="1:48">
      <c r="A916" s="277" t="s">
        <v>759</v>
      </c>
      <c r="B916" s="277" t="s">
        <v>1641</v>
      </c>
      <c r="C916" s="277">
        <f>'Schippers 2005&amp;2006 all'!B50</f>
        <v>4</v>
      </c>
      <c r="D916" s="301">
        <f>'Schippers 2005&amp;2006 all'!C50</f>
        <v>9740877.7823530156</v>
      </c>
      <c r="E916" s="301">
        <f>'Schippers 2005&amp;2006 all'!E50</f>
        <v>438437.75814626564</v>
      </c>
      <c r="G916" s="301">
        <f>E916+F916</f>
        <v>438437.75814626564</v>
      </c>
      <c r="H916" s="336">
        <f>G916/D916</f>
        <v>4.5010087175157656E-2</v>
      </c>
      <c r="M916" s="336">
        <v>0</v>
      </c>
      <c r="N916" s="336"/>
      <c r="O916" s="334" t="s">
        <v>1247</v>
      </c>
      <c r="P916" s="334"/>
      <c r="Q916" s="301" t="b">
        <v>1</v>
      </c>
      <c r="R916" s="304" t="s">
        <v>1395</v>
      </c>
      <c r="S916" s="304" t="s">
        <v>52</v>
      </c>
      <c r="T916" s="304" t="s">
        <v>51</v>
      </c>
      <c r="U916" s="304" t="s">
        <v>51</v>
      </c>
      <c r="V916" s="313">
        <v>0.55000000000000004</v>
      </c>
      <c r="W916" s="313">
        <v>0.55000000000000004</v>
      </c>
      <c r="X916" s="306" t="s">
        <v>248</v>
      </c>
      <c r="Y916" s="328" t="s">
        <v>96</v>
      </c>
      <c r="Z916" s="314" t="s">
        <v>100</v>
      </c>
      <c r="AB916" s="334" t="s">
        <v>311</v>
      </c>
      <c r="AC916" s="334" t="s">
        <v>1702</v>
      </c>
      <c r="AQ916" s="326">
        <v>3298</v>
      </c>
      <c r="AR916" s="326" t="s">
        <v>1463</v>
      </c>
      <c r="AT916"/>
      <c r="AU916"/>
      <c r="AV916"/>
    </row>
    <row r="917" spans="1:48">
      <c r="A917" s="277" t="s">
        <v>759</v>
      </c>
      <c r="B917" s="277" t="s">
        <v>1641</v>
      </c>
      <c r="C917" s="277">
        <f>'Schippers 2005&amp;2006 all'!B51</f>
        <v>4.49</v>
      </c>
      <c r="D917" s="301">
        <f>'Schippers 2005&amp;2006 all'!C51</f>
        <v>9740877.7823530156</v>
      </c>
      <c r="H917" s="336"/>
      <c r="M917" s="336"/>
      <c r="N917" s="336"/>
      <c r="O917" s="334"/>
      <c r="P917" s="334"/>
      <c r="R917" s="304" t="s">
        <v>1395</v>
      </c>
      <c r="S917" s="304" t="s">
        <v>52</v>
      </c>
      <c r="T917" s="304" t="s">
        <v>51</v>
      </c>
      <c r="U917" s="304" t="s">
        <v>51</v>
      </c>
      <c r="V917" s="313">
        <v>0.55000000000000004</v>
      </c>
      <c r="W917" s="313">
        <v>0.55000000000000004</v>
      </c>
      <c r="X917" s="306" t="s">
        <v>248</v>
      </c>
      <c r="Y917" s="334" t="s">
        <v>96</v>
      </c>
      <c r="Z917" s="314" t="s">
        <v>100</v>
      </c>
      <c r="AQ917" s="326">
        <v>3298</v>
      </c>
      <c r="AR917" s="326" t="s">
        <v>1463</v>
      </c>
      <c r="AT917"/>
      <c r="AU917"/>
      <c r="AV917"/>
    </row>
    <row r="918" spans="1:48">
      <c r="A918" s="277" t="s">
        <v>759</v>
      </c>
      <c r="B918" s="277" t="s">
        <v>1641</v>
      </c>
      <c r="C918" s="277">
        <f>'Schippers 2005&amp;2006 all'!B52</f>
        <v>7</v>
      </c>
      <c r="D918" s="301">
        <f>'Schippers 2005&amp;2006 all'!C52</f>
        <v>7032301.5086931139</v>
      </c>
      <c r="E918" s="301">
        <f>'Schippers 2005&amp;2006 all'!E52</f>
        <v>434969.3223641488</v>
      </c>
      <c r="G918" s="301">
        <f>E918+F918</f>
        <v>434969.3223641488</v>
      </c>
      <c r="H918" s="336">
        <f>G918/D918</f>
        <v>6.1853053630657497E-2</v>
      </c>
      <c r="M918" s="336">
        <v>0</v>
      </c>
      <c r="N918" s="336"/>
      <c r="O918" s="334" t="s">
        <v>1247</v>
      </c>
      <c r="P918" s="334"/>
      <c r="Q918" s="301" t="b">
        <v>1</v>
      </c>
      <c r="R918" s="304" t="s">
        <v>1395</v>
      </c>
      <c r="S918" s="304" t="s">
        <v>52</v>
      </c>
      <c r="T918" s="304" t="s">
        <v>51</v>
      </c>
      <c r="U918" s="304" t="s">
        <v>51</v>
      </c>
      <c r="V918" s="313">
        <v>0.55000000000000004</v>
      </c>
      <c r="W918" s="313">
        <v>0.55000000000000004</v>
      </c>
      <c r="X918" s="306" t="s">
        <v>248</v>
      </c>
      <c r="Y918" s="334" t="s">
        <v>96</v>
      </c>
      <c r="Z918" s="314" t="s">
        <v>100</v>
      </c>
      <c r="AB918" s="334" t="s">
        <v>311</v>
      </c>
      <c r="AC918" s="334" t="s">
        <v>1702</v>
      </c>
      <c r="AQ918" s="326">
        <v>3298</v>
      </c>
      <c r="AR918" s="326" t="s">
        <v>1463</v>
      </c>
      <c r="AT918"/>
      <c r="AU918"/>
      <c r="AV918"/>
    </row>
    <row r="919" spans="1:48">
      <c r="A919" s="277" t="s">
        <v>759</v>
      </c>
      <c r="B919" s="277" t="s">
        <v>1641</v>
      </c>
      <c r="C919" s="277">
        <f>'Schippers 2005&amp;2006 all'!B53</f>
        <v>7.34</v>
      </c>
      <c r="D919" s="301">
        <f>'Schippers 2005&amp;2006 all'!C53</f>
        <v>7032301.5086931139</v>
      </c>
      <c r="H919" s="336"/>
      <c r="M919" s="336"/>
      <c r="N919" s="336"/>
      <c r="O919" s="334"/>
      <c r="P919" s="334"/>
      <c r="R919" s="304" t="s">
        <v>1395</v>
      </c>
      <c r="S919" s="304" t="s">
        <v>52</v>
      </c>
      <c r="T919" s="304" t="s">
        <v>51</v>
      </c>
      <c r="U919" s="304" t="s">
        <v>51</v>
      </c>
      <c r="V919" s="313">
        <v>0.55000000000000004</v>
      </c>
      <c r="W919" s="313">
        <v>0.55000000000000004</v>
      </c>
      <c r="X919" s="306" t="s">
        <v>248</v>
      </c>
      <c r="Y919" s="321" t="s">
        <v>96</v>
      </c>
      <c r="Z919" s="314" t="s">
        <v>100</v>
      </c>
      <c r="AQ919" s="326">
        <v>3298</v>
      </c>
      <c r="AR919" s="326" t="s">
        <v>1463</v>
      </c>
      <c r="AT919"/>
      <c r="AU919"/>
      <c r="AV919"/>
    </row>
    <row r="920" spans="1:48">
      <c r="A920" s="277" t="s">
        <v>759</v>
      </c>
      <c r="B920" s="277" t="s">
        <v>1641</v>
      </c>
      <c r="C920" s="277">
        <f>'Schippers 2005&amp;2006 all'!B54</f>
        <v>8</v>
      </c>
      <c r="D920" s="301">
        <f>'Schippers 2005&amp;2006 all'!C54</f>
        <v>9718643.7925605942</v>
      </c>
      <c r="E920" s="301">
        <f>'Schippers 2005&amp;2006 all'!E54</f>
        <v>6991461.6001142487</v>
      </c>
      <c r="G920" s="301">
        <f>E920+F920</f>
        <v>6991461.6001142487</v>
      </c>
      <c r="H920" s="336">
        <f>G920/D920</f>
        <v>0.71938654706802374</v>
      </c>
      <c r="M920" s="336">
        <v>0</v>
      </c>
      <c r="N920" s="336"/>
      <c r="O920" s="334" t="s">
        <v>1247</v>
      </c>
      <c r="P920" s="334"/>
      <c r="Q920" s="301" t="b">
        <v>1</v>
      </c>
      <c r="R920" s="304" t="s">
        <v>1395</v>
      </c>
      <c r="S920" s="304" t="s">
        <v>52</v>
      </c>
      <c r="T920" s="304" t="s">
        <v>51</v>
      </c>
      <c r="U920" s="304" t="s">
        <v>51</v>
      </c>
      <c r="V920" s="313">
        <v>0.55000000000000004</v>
      </c>
      <c r="W920" s="313">
        <v>0.55000000000000004</v>
      </c>
      <c r="X920" s="306" t="s">
        <v>248</v>
      </c>
      <c r="Y920" s="328" t="s">
        <v>96</v>
      </c>
      <c r="Z920" s="314" t="s">
        <v>100</v>
      </c>
      <c r="AB920" s="334" t="s">
        <v>311</v>
      </c>
      <c r="AC920" s="334" t="s">
        <v>1702</v>
      </c>
      <c r="AQ920" s="326">
        <v>3298</v>
      </c>
      <c r="AR920" s="326" t="s">
        <v>1463</v>
      </c>
      <c r="AT920"/>
      <c r="AU920"/>
      <c r="AV920"/>
    </row>
    <row r="921" spans="1:48">
      <c r="A921" s="277" t="s">
        <v>759</v>
      </c>
      <c r="B921" s="277" t="s">
        <v>1641</v>
      </c>
      <c r="C921" s="277">
        <f>'Schippers 2005&amp;2006 all'!B55</f>
        <v>8.9</v>
      </c>
      <c r="D921" s="301">
        <f>'Schippers 2005&amp;2006 all'!C55</f>
        <v>9718643.7925605942</v>
      </c>
      <c r="H921" s="336"/>
      <c r="M921" s="336"/>
      <c r="N921" s="336"/>
      <c r="O921" s="334"/>
      <c r="P921" s="334"/>
      <c r="R921" s="304" t="s">
        <v>1395</v>
      </c>
      <c r="S921" s="304" t="s">
        <v>52</v>
      </c>
      <c r="T921" s="304" t="s">
        <v>51</v>
      </c>
      <c r="U921" s="304" t="s">
        <v>51</v>
      </c>
      <c r="V921" s="313">
        <v>0.55000000000000004</v>
      </c>
      <c r="W921" s="313">
        <v>0.55000000000000004</v>
      </c>
      <c r="X921" s="306" t="s">
        <v>248</v>
      </c>
      <c r="Y921" s="334" t="s">
        <v>96</v>
      </c>
      <c r="Z921" s="314" t="s">
        <v>100</v>
      </c>
      <c r="AQ921" s="326">
        <v>3298</v>
      </c>
      <c r="AR921" s="326" t="s">
        <v>1463</v>
      </c>
      <c r="AT921"/>
      <c r="AU921"/>
      <c r="AV921"/>
    </row>
    <row r="922" spans="1:48">
      <c r="A922" s="277" t="s">
        <v>759</v>
      </c>
      <c r="B922" s="277" t="s">
        <v>1641</v>
      </c>
      <c r="C922" s="277">
        <f>'Schippers 2005&amp;2006 all'!B56</f>
        <v>18.399999999999999</v>
      </c>
      <c r="D922" s="301">
        <f>'Schippers 2005&amp;2006 all'!C56</f>
        <v>5990842.8830607859</v>
      </c>
      <c r="H922" s="336"/>
      <c r="M922" s="336"/>
      <c r="N922" s="336"/>
      <c r="O922" s="334"/>
      <c r="P922" s="334"/>
      <c r="R922" s="304" t="s">
        <v>1395</v>
      </c>
      <c r="S922" s="304" t="s">
        <v>52</v>
      </c>
      <c r="T922" s="304" t="s">
        <v>51</v>
      </c>
      <c r="U922" s="304" t="s">
        <v>51</v>
      </c>
      <c r="V922" s="313">
        <v>0.55000000000000004</v>
      </c>
      <c r="W922" s="313">
        <v>0.55000000000000004</v>
      </c>
      <c r="X922" s="306" t="s">
        <v>248</v>
      </c>
      <c r="Y922" s="321" t="s">
        <v>96</v>
      </c>
      <c r="Z922" s="314" t="s">
        <v>100</v>
      </c>
      <c r="AQ922" s="326">
        <v>3298</v>
      </c>
      <c r="AR922" s="326" t="s">
        <v>1463</v>
      </c>
      <c r="AT922"/>
      <c r="AU922"/>
      <c r="AV922"/>
    </row>
    <row r="923" spans="1:48">
      <c r="A923" s="277" t="s">
        <v>759</v>
      </c>
      <c r="B923" s="277" t="s">
        <v>1641</v>
      </c>
      <c r="C923" s="277">
        <f>'Schippers 2005&amp;2006 all'!B57</f>
        <v>27</v>
      </c>
      <c r="D923" s="301">
        <f>'Schippers 2005&amp;2006 all'!C57</f>
        <v>3338833.091677546</v>
      </c>
      <c r="E923" s="301">
        <f>'Schippers 2005&amp;2006 all'!E57</f>
        <v>1564774.9750793334</v>
      </c>
      <c r="G923" s="301">
        <f>E923+F923</f>
        <v>1564774.9750793334</v>
      </c>
      <c r="H923" s="336">
        <f>G923/D923</f>
        <v>0.46865923875611765</v>
      </c>
      <c r="M923" s="336">
        <v>0</v>
      </c>
      <c r="N923" s="336"/>
      <c r="O923" s="334" t="s">
        <v>1247</v>
      </c>
      <c r="P923" s="334"/>
      <c r="Q923" s="301" t="b">
        <v>1</v>
      </c>
      <c r="R923" s="304" t="s">
        <v>1395</v>
      </c>
      <c r="S923" s="304" t="s">
        <v>52</v>
      </c>
      <c r="T923" s="304" t="s">
        <v>51</v>
      </c>
      <c r="U923" s="304" t="s">
        <v>51</v>
      </c>
      <c r="V923" s="313">
        <v>0.55000000000000004</v>
      </c>
      <c r="W923" s="313">
        <v>0.55000000000000004</v>
      </c>
      <c r="X923" s="306" t="s">
        <v>248</v>
      </c>
      <c r="Y923" s="323" t="s">
        <v>96</v>
      </c>
      <c r="Z923" s="314" t="s">
        <v>100</v>
      </c>
      <c r="AB923" s="334" t="s">
        <v>311</v>
      </c>
      <c r="AC923" s="334" t="s">
        <v>1702</v>
      </c>
      <c r="AQ923" s="326">
        <v>3298</v>
      </c>
      <c r="AR923" s="326" t="s">
        <v>1463</v>
      </c>
      <c r="AT923"/>
      <c r="AU923"/>
      <c r="AV923"/>
    </row>
    <row r="924" spans="1:48">
      <c r="A924" s="277" t="s">
        <v>759</v>
      </c>
      <c r="B924" s="277" t="s">
        <v>1641</v>
      </c>
      <c r="C924" s="277">
        <f>'Schippers 2005&amp;2006 all'!B58</f>
        <v>27.9</v>
      </c>
      <c r="D924" s="301">
        <f>'Schippers 2005&amp;2006 all'!C58</f>
        <v>3338833.091677546</v>
      </c>
      <c r="H924" s="336"/>
      <c r="M924" s="336"/>
      <c r="N924" s="336"/>
      <c r="O924" s="334"/>
      <c r="P924" s="334"/>
      <c r="R924" s="304" t="s">
        <v>1395</v>
      </c>
      <c r="S924" s="304" t="s">
        <v>52</v>
      </c>
      <c r="T924" s="304" t="s">
        <v>51</v>
      </c>
      <c r="U924" s="304" t="s">
        <v>51</v>
      </c>
      <c r="V924" s="313">
        <v>0.55000000000000004</v>
      </c>
      <c r="W924" s="313">
        <v>0.55000000000000004</v>
      </c>
      <c r="X924" s="306" t="s">
        <v>248</v>
      </c>
      <c r="Y924" s="321" t="s">
        <v>96</v>
      </c>
      <c r="Z924" s="314" t="s">
        <v>100</v>
      </c>
      <c r="AQ924" s="326">
        <v>3298</v>
      </c>
      <c r="AR924" s="326" t="s">
        <v>1463</v>
      </c>
      <c r="AT924"/>
      <c r="AU924"/>
      <c r="AV924"/>
    </row>
    <row r="925" spans="1:48">
      <c r="A925" s="277" t="s">
        <v>759</v>
      </c>
      <c r="B925" s="277" t="s">
        <v>1641</v>
      </c>
      <c r="C925" s="277">
        <f>'Schippers 2005&amp;2006 all'!B59</f>
        <v>37.4</v>
      </c>
      <c r="D925" s="301">
        <f>'Schippers 2005&amp;2006 all'!C59</f>
        <v>3827443.1982973716</v>
      </c>
      <c r="H925" s="336"/>
      <c r="M925" s="336"/>
      <c r="N925" s="336"/>
      <c r="O925" s="334"/>
      <c r="P925" s="334"/>
      <c r="R925" s="304" t="s">
        <v>1395</v>
      </c>
      <c r="S925" s="304" t="s">
        <v>52</v>
      </c>
      <c r="T925" s="304" t="s">
        <v>51</v>
      </c>
      <c r="U925" s="304" t="s">
        <v>51</v>
      </c>
      <c r="V925" s="313">
        <v>0.55000000000000004</v>
      </c>
      <c r="W925" s="313">
        <v>0.55000000000000004</v>
      </c>
      <c r="X925" s="306" t="s">
        <v>248</v>
      </c>
      <c r="Y925" s="321" t="s">
        <v>96</v>
      </c>
      <c r="Z925" s="314" t="s">
        <v>100</v>
      </c>
      <c r="AQ925" s="326">
        <v>3298</v>
      </c>
      <c r="AR925" s="326" t="s">
        <v>1463</v>
      </c>
      <c r="AT925"/>
      <c r="AU925"/>
      <c r="AV925"/>
    </row>
    <row r="926" spans="1:48">
      <c r="A926" s="277" t="s">
        <v>759</v>
      </c>
      <c r="B926" s="277" t="s">
        <v>1641</v>
      </c>
      <c r="C926" s="277">
        <f>'Schippers 2005&amp;2006 all'!B60</f>
        <v>46.9</v>
      </c>
      <c r="D926" s="301">
        <f>'Schippers 2005&amp;2006 all'!C60</f>
        <v>2692906.4468611642</v>
      </c>
      <c r="H926" s="336"/>
      <c r="M926" s="336"/>
      <c r="N926" s="336"/>
      <c r="O926" s="334"/>
      <c r="P926" s="334"/>
      <c r="R926" s="304" t="s">
        <v>1395</v>
      </c>
      <c r="S926" s="304" t="s">
        <v>52</v>
      </c>
      <c r="T926" s="304" t="s">
        <v>51</v>
      </c>
      <c r="U926" s="304" t="s">
        <v>51</v>
      </c>
      <c r="V926" s="313">
        <v>0.55000000000000004</v>
      </c>
      <c r="W926" s="313">
        <v>0.55000000000000004</v>
      </c>
      <c r="X926" s="306" t="s">
        <v>248</v>
      </c>
      <c r="Y926" s="321" t="s">
        <v>96</v>
      </c>
      <c r="Z926" s="314" t="s">
        <v>100</v>
      </c>
      <c r="AQ926" s="326">
        <v>3298</v>
      </c>
      <c r="AR926" s="326" t="s">
        <v>1463</v>
      </c>
      <c r="AT926"/>
      <c r="AU926"/>
      <c r="AV926"/>
    </row>
    <row r="927" spans="1:48">
      <c r="A927" s="277" t="s">
        <v>759</v>
      </c>
      <c r="B927" s="277" t="s">
        <v>1641</v>
      </c>
      <c r="C927" s="277">
        <f>'Schippers 2005&amp;2006 all'!B61</f>
        <v>47</v>
      </c>
      <c r="D927" s="301">
        <f>'Schippers 2005&amp;2006 all'!C61</f>
        <v>2692906.4468611642</v>
      </c>
      <c r="E927" s="301">
        <f>'Schippers 2005&amp;2006 all'!E61</f>
        <v>1083002.9865236287</v>
      </c>
      <c r="G927" s="301">
        <f>E927+F927</f>
        <v>1083002.9865236287</v>
      </c>
      <c r="H927" s="336">
        <f>G927/D927</f>
        <v>0.40216881198601256</v>
      </c>
      <c r="M927" s="336">
        <v>0</v>
      </c>
      <c r="N927" s="336"/>
      <c r="O927" s="334" t="s">
        <v>1247</v>
      </c>
      <c r="P927" s="334"/>
      <c r="Q927" s="301" t="b">
        <v>1</v>
      </c>
      <c r="R927" s="304" t="s">
        <v>1395</v>
      </c>
      <c r="S927" s="304" t="s">
        <v>52</v>
      </c>
      <c r="T927" s="304" t="s">
        <v>51</v>
      </c>
      <c r="U927" s="304" t="s">
        <v>51</v>
      </c>
      <c r="V927" s="313">
        <v>0.55000000000000004</v>
      </c>
      <c r="W927" s="313">
        <v>0.55000000000000004</v>
      </c>
      <c r="X927" s="306" t="s">
        <v>248</v>
      </c>
      <c r="Y927" s="322" t="s">
        <v>96</v>
      </c>
      <c r="Z927" s="314" t="s">
        <v>100</v>
      </c>
      <c r="AB927" s="334" t="s">
        <v>311</v>
      </c>
      <c r="AC927" s="334" t="s">
        <v>1702</v>
      </c>
      <c r="AQ927" s="326">
        <v>3298</v>
      </c>
      <c r="AR927" s="326" t="s">
        <v>1463</v>
      </c>
      <c r="AT927"/>
      <c r="AU927"/>
      <c r="AV927"/>
    </row>
    <row r="928" spans="1:48">
      <c r="A928" s="277" t="s">
        <v>759</v>
      </c>
      <c r="B928" s="277" t="s">
        <v>1641</v>
      </c>
      <c r="C928" s="277">
        <f>'Schippers 2005&amp;2006 all'!B62</f>
        <v>56.4</v>
      </c>
      <c r="D928" s="301">
        <f>'Schippers 2005&amp;2006 all'!C62</f>
        <v>10566836.563125249</v>
      </c>
      <c r="H928" s="336"/>
      <c r="M928" s="336"/>
      <c r="N928" s="336"/>
      <c r="O928" s="334"/>
      <c r="P928" s="334"/>
      <c r="R928" s="304" t="s">
        <v>1395</v>
      </c>
      <c r="S928" s="304" t="s">
        <v>52</v>
      </c>
      <c r="T928" s="304" t="s">
        <v>51</v>
      </c>
      <c r="U928" s="304" t="s">
        <v>51</v>
      </c>
      <c r="V928" s="313">
        <v>0.55000000000000004</v>
      </c>
      <c r="W928" s="313">
        <v>0.55000000000000004</v>
      </c>
      <c r="X928" s="306" t="s">
        <v>248</v>
      </c>
      <c r="Y928" s="322" t="s">
        <v>96</v>
      </c>
      <c r="Z928" s="314" t="s">
        <v>100</v>
      </c>
      <c r="AQ928" s="326">
        <v>3298</v>
      </c>
      <c r="AR928" s="326" t="s">
        <v>1463</v>
      </c>
      <c r="AT928"/>
      <c r="AU928"/>
      <c r="AV928"/>
    </row>
    <row r="929" spans="1:48">
      <c r="A929" s="277" t="s">
        <v>759</v>
      </c>
      <c r="B929" s="277" t="s">
        <v>1641</v>
      </c>
      <c r="C929" s="277">
        <f>'Schippers 2005&amp;2006 all'!B63</f>
        <v>65.900000000000006</v>
      </c>
      <c r="D929" s="301">
        <f>'Schippers 2005&amp;2006 all'!C63</f>
        <v>9069383.6355773732</v>
      </c>
      <c r="H929" s="336"/>
      <c r="M929" s="336"/>
      <c r="N929" s="336"/>
      <c r="O929" s="334"/>
      <c r="P929" s="334"/>
      <c r="R929" s="304" t="s">
        <v>1395</v>
      </c>
      <c r="S929" s="304" t="s">
        <v>52</v>
      </c>
      <c r="T929" s="304" t="s">
        <v>51</v>
      </c>
      <c r="U929" s="304" t="s">
        <v>51</v>
      </c>
      <c r="V929" s="313">
        <v>0.55000000000000004</v>
      </c>
      <c r="W929" s="313">
        <v>0.55000000000000004</v>
      </c>
      <c r="X929" s="306" t="s">
        <v>248</v>
      </c>
      <c r="Y929" s="322" t="s">
        <v>96</v>
      </c>
      <c r="Z929" s="314" t="s">
        <v>100</v>
      </c>
      <c r="AQ929" s="326">
        <v>3298</v>
      </c>
      <c r="AR929" s="326" t="s">
        <v>1463</v>
      </c>
      <c r="AV929" s="334"/>
    </row>
    <row r="930" spans="1:48">
      <c r="A930" s="277" t="s">
        <v>759</v>
      </c>
      <c r="B930" s="277" t="s">
        <v>1641</v>
      </c>
      <c r="C930" s="277">
        <f>'Schippers 2005&amp;2006 all'!B64</f>
        <v>66</v>
      </c>
      <c r="D930" s="301">
        <f>'Schippers 2005&amp;2006 all'!C64</f>
        <v>9069383.6355773732</v>
      </c>
      <c r="E930" s="301">
        <f>'Schippers 2005&amp;2006 all'!E64</f>
        <v>1488615.5257022865</v>
      </c>
      <c r="G930" s="301">
        <f>E930+F930</f>
        <v>1488615.5257022865</v>
      </c>
      <c r="H930" s="336">
        <f>G930/D930</f>
        <v>0.16413634989071874</v>
      </c>
      <c r="M930" s="336">
        <v>0</v>
      </c>
      <c r="N930" s="336"/>
      <c r="O930" s="334" t="s">
        <v>1247</v>
      </c>
      <c r="P930" s="334"/>
      <c r="Q930" s="301" t="b">
        <v>1</v>
      </c>
      <c r="R930" s="304" t="s">
        <v>1395</v>
      </c>
      <c r="S930" s="304" t="s">
        <v>52</v>
      </c>
      <c r="T930" s="304" t="s">
        <v>51</v>
      </c>
      <c r="U930" s="304" t="s">
        <v>51</v>
      </c>
      <c r="V930" s="313">
        <v>0.55000000000000004</v>
      </c>
      <c r="W930" s="313">
        <v>0.55000000000000004</v>
      </c>
      <c r="X930" s="306" t="s">
        <v>248</v>
      </c>
      <c r="Y930" s="334" t="s">
        <v>96</v>
      </c>
      <c r="Z930" s="314" t="s">
        <v>100</v>
      </c>
      <c r="AB930" s="334" t="s">
        <v>311</v>
      </c>
      <c r="AC930" s="334" t="s">
        <v>1702</v>
      </c>
      <c r="AQ930" s="326">
        <v>3298</v>
      </c>
      <c r="AR930" s="326" t="s">
        <v>1463</v>
      </c>
    </row>
    <row r="931" spans="1:48">
      <c r="A931" s="277" t="s">
        <v>759</v>
      </c>
      <c r="B931" s="277" t="s">
        <v>1641</v>
      </c>
      <c r="C931" s="277">
        <f>'Schippers 2005&amp;2006 all'!B65</f>
        <v>75.400000000000006</v>
      </c>
      <c r="D931" s="301">
        <f>'Schippers 2005&amp;2006 all'!C65</f>
        <v>5546644.1783004692</v>
      </c>
      <c r="H931" s="336"/>
      <c r="M931" s="336"/>
      <c r="N931" s="336"/>
      <c r="O931" s="334"/>
      <c r="P931" s="334"/>
      <c r="R931" s="304" t="s">
        <v>1395</v>
      </c>
      <c r="S931" s="304" t="s">
        <v>52</v>
      </c>
      <c r="T931" s="304" t="s">
        <v>51</v>
      </c>
      <c r="U931" s="304" t="s">
        <v>51</v>
      </c>
      <c r="V931" s="313">
        <v>0.55000000000000004</v>
      </c>
      <c r="W931" s="313">
        <v>0.55000000000000004</v>
      </c>
      <c r="X931" s="306" t="s">
        <v>248</v>
      </c>
      <c r="Y931" s="322" t="s">
        <v>96</v>
      </c>
      <c r="Z931" s="314" t="s">
        <v>100</v>
      </c>
      <c r="AA931" s="334"/>
      <c r="AD931" s="334"/>
      <c r="AE931" s="334"/>
      <c r="AF931" s="334"/>
      <c r="AG931" s="334"/>
      <c r="AH931" s="334"/>
      <c r="AI931" s="334"/>
      <c r="AJ931" s="334"/>
      <c r="AK931" s="334"/>
      <c r="AL931" s="334"/>
      <c r="AM931" s="334"/>
      <c r="AN931" s="334"/>
      <c r="AO931" s="334"/>
      <c r="AQ931" s="326">
        <v>3298</v>
      </c>
      <c r="AR931" s="326" t="s">
        <v>1463</v>
      </c>
      <c r="AV931" s="334"/>
    </row>
    <row r="932" spans="1:48">
      <c r="A932" s="277" t="s">
        <v>759</v>
      </c>
      <c r="B932" s="277" t="s">
        <v>1641</v>
      </c>
      <c r="C932" s="277">
        <f>'Schippers 2005&amp;2006 all'!B66</f>
        <v>84.9</v>
      </c>
      <c r="D932" s="301">
        <f>'Schippers 2005&amp;2006 all'!C66</f>
        <v>4907704.3893367993</v>
      </c>
      <c r="H932" s="336"/>
      <c r="M932" s="336"/>
      <c r="N932" s="336"/>
      <c r="O932" s="334"/>
      <c r="P932" s="334"/>
      <c r="R932" s="304" t="s">
        <v>1395</v>
      </c>
      <c r="S932" s="304" t="s">
        <v>52</v>
      </c>
      <c r="T932" s="304" t="s">
        <v>51</v>
      </c>
      <c r="U932" s="304" t="s">
        <v>51</v>
      </c>
      <c r="V932" s="313">
        <v>0.55000000000000004</v>
      </c>
      <c r="W932" s="313">
        <v>0.55000000000000004</v>
      </c>
      <c r="X932" s="306" t="s">
        <v>248</v>
      </c>
      <c r="Y932" s="324" t="s">
        <v>96</v>
      </c>
      <c r="Z932" s="314" t="s">
        <v>100</v>
      </c>
      <c r="AQ932" s="326">
        <v>3298</v>
      </c>
      <c r="AR932" s="326" t="s">
        <v>1463</v>
      </c>
      <c r="AV932" s="334"/>
    </row>
    <row r="933" spans="1:48">
      <c r="A933" s="277" t="s">
        <v>759</v>
      </c>
      <c r="B933" s="277" t="s">
        <v>1641</v>
      </c>
      <c r="C933" s="277">
        <f>'Schippers 2005&amp;2006 all'!B67</f>
        <v>85</v>
      </c>
      <c r="D933" s="301">
        <f>'Schippers 2005&amp;2006 all'!C67</f>
        <v>4907704.3893367993</v>
      </c>
      <c r="E933" s="301">
        <f>'Schippers 2005&amp;2006 all'!E67</f>
        <v>1445024.9589970296</v>
      </c>
      <c r="G933" s="301">
        <f>E933+F933</f>
        <v>1445024.9589970296</v>
      </c>
      <c r="H933" s="336">
        <f>G933/D933</f>
        <v>0.29444009752027922</v>
      </c>
      <c r="M933" s="336">
        <v>0</v>
      </c>
      <c r="N933" s="336"/>
      <c r="O933" s="334" t="s">
        <v>1247</v>
      </c>
      <c r="P933" s="334"/>
      <c r="Q933" s="301" t="b">
        <v>1</v>
      </c>
      <c r="R933" s="304" t="s">
        <v>1395</v>
      </c>
      <c r="S933" s="304" t="s">
        <v>52</v>
      </c>
      <c r="T933" s="304" t="s">
        <v>51</v>
      </c>
      <c r="U933" s="304" t="s">
        <v>51</v>
      </c>
      <c r="V933" s="313">
        <v>0.55000000000000004</v>
      </c>
      <c r="W933" s="313">
        <v>0.55000000000000004</v>
      </c>
      <c r="X933" s="306" t="s">
        <v>248</v>
      </c>
      <c r="Y933" s="322" t="s">
        <v>96</v>
      </c>
      <c r="Z933" s="314" t="s">
        <v>100</v>
      </c>
      <c r="AA933" s="334"/>
      <c r="AB933" s="334" t="s">
        <v>311</v>
      </c>
      <c r="AC933" s="334" t="s">
        <v>1702</v>
      </c>
      <c r="AD933" s="334"/>
      <c r="AE933" s="334"/>
      <c r="AF933" s="334"/>
      <c r="AG933" s="334"/>
      <c r="AH933" s="334"/>
      <c r="AI933" s="334"/>
      <c r="AJ933" s="334"/>
      <c r="AK933" s="334"/>
      <c r="AL933" s="334"/>
      <c r="AM933" s="334"/>
      <c r="AN933" s="334"/>
      <c r="AO933" s="334"/>
      <c r="AQ933" s="326">
        <v>3298</v>
      </c>
      <c r="AR933" s="326" t="s">
        <v>1463</v>
      </c>
      <c r="AV933" s="334"/>
    </row>
    <row r="934" spans="1:48">
      <c r="A934" s="277" t="s">
        <v>759</v>
      </c>
      <c r="B934" s="277" t="s">
        <v>1641</v>
      </c>
      <c r="C934" s="277">
        <f>'Schippers 2005&amp;2006 all'!B68</f>
        <v>94.4</v>
      </c>
      <c r="D934" s="301">
        <f>'Schippers 2005&amp;2006 all'!C68</f>
        <v>4989852.4197655646</v>
      </c>
      <c r="H934" s="336"/>
      <c r="M934" s="336"/>
      <c r="N934" s="336"/>
      <c r="O934" s="334"/>
      <c r="P934" s="334"/>
      <c r="R934" s="304" t="s">
        <v>1395</v>
      </c>
      <c r="S934" s="304" t="s">
        <v>52</v>
      </c>
      <c r="T934" s="304" t="s">
        <v>51</v>
      </c>
      <c r="U934" s="304" t="s">
        <v>51</v>
      </c>
      <c r="V934" s="313">
        <v>0.55000000000000004</v>
      </c>
      <c r="W934" s="313">
        <v>0.55000000000000004</v>
      </c>
      <c r="X934" s="306" t="s">
        <v>248</v>
      </c>
      <c r="Y934" s="334" t="s">
        <v>96</v>
      </c>
      <c r="Z934" s="314" t="s">
        <v>100</v>
      </c>
      <c r="AA934" s="334"/>
      <c r="AD934" s="334"/>
      <c r="AE934" s="334"/>
      <c r="AF934" s="334"/>
      <c r="AG934" s="334"/>
      <c r="AH934" s="334"/>
      <c r="AI934" s="334"/>
      <c r="AJ934" s="334"/>
      <c r="AK934" s="334"/>
      <c r="AL934" s="334"/>
      <c r="AM934" s="334"/>
      <c r="AN934" s="334"/>
      <c r="AO934" s="334"/>
      <c r="AQ934" s="326">
        <v>3298</v>
      </c>
      <c r="AR934" s="326" t="s">
        <v>1463</v>
      </c>
      <c r="AV934" s="334"/>
    </row>
    <row r="935" spans="1:48">
      <c r="A935" s="277" t="s">
        <v>759</v>
      </c>
      <c r="B935" s="277" t="s">
        <v>1641</v>
      </c>
      <c r="C935" s="277">
        <f>'Schippers 2005&amp;2006 all'!B69</f>
        <v>103.9</v>
      </c>
      <c r="D935" s="301">
        <f>'Schippers 2005&amp;2006 all'!C69</f>
        <v>1401637.6574005883</v>
      </c>
      <c r="H935" s="336"/>
      <c r="M935" s="336"/>
      <c r="N935" s="336"/>
      <c r="O935" s="334"/>
      <c r="P935" s="334"/>
      <c r="R935" s="304" t="s">
        <v>1395</v>
      </c>
      <c r="S935" s="304" t="s">
        <v>52</v>
      </c>
      <c r="T935" s="304" t="s">
        <v>51</v>
      </c>
      <c r="U935" s="304" t="s">
        <v>51</v>
      </c>
      <c r="V935" s="313">
        <v>0.55000000000000004</v>
      </c>
      <c r="W935" s="313">
        <v>0.55000000000000004</v>
      </c>
      <c r="X935" s="306" t="s">
        <v>248</v>
      </c>
      <c r="Y935" s="334" t="s">
        <v>96</v>
      </c>
      <c r="Z935" s="314" t="s">
        <v>100</v>
      </c>
      <c r="AA935" s="334"/>
      <c r="AD935" s="334"/>
      <c r="AE935" s="334"/>
      <c r="AF935" s="334"/>
      <c r="AG935" s="334"/>
      <c r="AH935" s="334"/>
      <c r="AI935" s="334"/>
      <c r="AJ935" s="334"/>
      <c r="AK935" s="334"/>
      <c r="AL935" s="334"/>
      <c r="AM935" s="334"/>
      <c r="AN935" s="334"/>
      <c r="AO935" s="334"/>
      <c r="AQ935" s="326">
        <v>3298</v>
      </c>
      <c r="AR935" s="326" t="s">
        <v>1463</v>
      </c>
      <c r="AV935" s="334"/>
    </row>
    <row r="936" spans="1:48">
      <c r="A936" s="277" t="s">
        <v>759</v>
      </c>
      <c r="B936" s="277" t="s">
        <v>1641</v>
      </c>
      <c r="C936" s="277">
        <f>'Schippers 2005&amp;2006 all'!B70</f>
        <v>104</v>
      </c>
      <c r="D936" s="301">
        <f>'Schippers 2005&amp;2006 all'!C70</f>
        <v>1401637.6574005883</v>
      </c>
      <c r="E936" s="301">
        <f>'Schippers 2005&amp;2006 all'!E70</f>
        <v>1020707.1161974899</v>
      </c>
      <c r="G936" s="301">
        <f>E936+F936</f>
        <v>1020707.1161974899</v>
      </c>
      <c r="H936" s="336">
        <f>G936/D936</f>
        <v>0.72822466691601706</v>
      </c>
      <c r="M936" s="336">
        <v>0</v>
      </c>
      <c r="N936" s="336"/>
      <c r="O936" s="334" t="s">
        <v>1247</v>
      </c>
      <c r="P936" s="334"/>
      <c r="Q936" s="301" t="b">
        <v>1</v>
      </c>
      <c r="R936" s="304" t="s">
        <v>1395</v>
      </c>
      <c r="S936" s="304" t="s">
        <v>52</v>
      </c>
      <c r="T936" s="304" t="s">
        <v>51</v>
      </c>
      <c r="U936" s="304" t="s">
        <v>51</v>
      </c>
      <c r="V936" s="313">
        <v>0.55000000000000004</v>
      </c>
      <c r="W936" s="313">
        <v>0.55000000000000004</v>
      </c>
      <c r="X936" s="306" t="s">
        <v>248</v>
      </c>
      <c r="Y936" s="334" t="s">
        <v>96</v>
      </c>
      <c r="Z936" s="314" t="s">
        <v>100</v>
      </c>
      <c r="AA936" s="334"/>
      <c r="AB936" s="334" t="s">
        <v>311</v>
      </c>
      <c r="AC936" s="334" t="s">
        <v>1702</v>
      </c>
      <c r="AD936" s="334"/>
      <c r="AE936" s="334"/>
      <c r="AF936" s="334"/>
      <c r="AG936" s="334"/>
      <c r="AH936" s="334"/>
      <c r="AI936" s="334"/>
      <c r="AJ936" s="334"/>
      <c r="AK936" s="334"/>
      <c r="AL936" s="334"/>
      <c r="AM936" s="334"/>
      <c r="AN936" s="334"/>
      <c r="AO936" s="334"/>
      <c r="AQ936" s="326">
        <v>3298</v>
      </c>
      <c r="AR936" s="326" t="s">
        <v>1463</v>
      </c>
      <c r="AV936" s="334"/>
    </row>
    <row r="937" spans="1:48">
      <c r="A937" s="277" t="s">
        <v>759</v>
      </c>
      <c r="B937" s="277" t="s">
        <v>1641</v>
      </c>
      <c r="C937" s="277">
        <f>'Schippers 2005&amp;2006 all'!B71</f>
        <v>113.4</v>
      </c>
      <c r="D937" s="301">
        <f>'Schippers 2005&amp;2006 all'!C71</f>
        <v>1856003.0568960814</v>
      </c>
      <c r="H937" s="336"/>
      <c r="M937" s="336"/>
      <c r="N937" s="336"/>
      <c r="O937" s="334"/>
      <c r="P937" s="334"/>
      <c r="R937" s="304" t="s">
        <v>1395</v>
      </c>
      <c r="S937" s="304" t="s">
        <v>52</v>
      </c>
      <c r="T937" s="304" t="s">
        <v>51</v>
      </c>
      <c r="U937" s="304" t="s">
        <v>51</v>
      </c>
      <c r="V937" s="313">
        <v>0.55000000000000004</v>
      </c>
      <c r="W937" s="313">
        <v>0.55000000000000004</v>
      </c>
      <c r="X937" s="306" t="s">
        <v>248</v>
      </c>
      <c r="Y937" s="319" t="s">
        <v>96</v>
      </c>
      <c r="Z937" s="314" t="s">
        <v>100</v>
      </c>
      <c r="AA937" s="334"/>
      <c r="AD937" s="334"/>
      <c r="AE937" s="334"/>
      <c r="AF937" s="334"/>
      <c r="AG937" s="334"/>
      <c r="AH937" s="334"/>
      <c r="AI937" s="334"/>
      <c r="AJ937" s="334"/>
      <c r="AK937" s="334"/>
      <c r="AL937" s="334"/>
      <c r="AM937" s="334"/>
      <c r="AN937" s="334"/>
      <c r="AO937" s="334"/>
      <c r="AQ937" s="326">
        <v>3298</v>
      </c>
      <c r="AR937" s="326" t="s">
        <v>1463</v>
      </c>
      <c r="AV937" s="334"/>
    </row>
    <row r="938" spans="1:48">
      <c r="A938" s="277" t="s">
        <v>759</v>
      </c>
      <c r="B938" s="277" t="s">
        <v>1641</v>
      </c>
      <c r="C938" s="277">
        <f>'Schippers 2005&amp;2006 all'!B72</f>
        <v>122.9</v>
      </c>
      <c r="D938" s="301">
        <f>'Schippers 2005&amp;2006 all'!C72</f>
        <v>1470905.5057868124</v>
      </c>
      <c r="H938" s="336"/>
      <c r="M938" s="336"/>
      <c r="N938" s="336"/>
      <c r="O938" s="334"/>
      <c r="P938" s="334"/>
      <c r="R938" s="304" t="s">
        <v>1395</v>
      </c>
      <c r="S938" s="304" t="s">
        <v>52</v>
      </c>
      <c r="T938" s="304" t="s">
        <v>51</v>
      </c>
      <c r="U938" s="304" t="s">
        <v>51</v>
      </c>
      <c r="V938" s="313">
        <v>0.55000000000000004</v>
      </c>
      <c r="W938" s="313">
        <v>0.55000000000000004</v>
      </c>
      <c r="X938" s="306" t="s">
        <v>248</v>
      </c>
      <c r="Y938" s="311" t="s">
        <v>96</v>
      </c>
      <c r="Z938" s="314" t="s">
        <v>100</v>
      </c>
      <c r="AA938" s="334"/>
      <c r="AD938" s="334"/>
      <c r="AE938" s="334"/>
      <c r="AF938" s="334"/>
      <c r="AG938" s="334"/>
      <c r="AH938" s="334"/>
      <c r="AI938" s="334"/>
      <c r="AJ938" s="334"/>
      <c r="AK938" s="334"/>
      <c r="AL938" s="334"/>
      <c r="AM938" s="334"/>
      <c r="AN938" s="334"/>
      <c r="AO938" s="334"/>
      <c r="AQ938" s="326">
        <v>3298</v>
      </c>
      <c r="AR938" s="326" t="s">
        <v>1463</v>
      </c>
      <c r="AV938" s="334"/>
    </row>
    <row r="939" spans="1:48">
      <c r="A939" s="277" t="s">
        <v>759</v>
      </c>
      <c r="B939" s="277" t="s">
        <v>1641</v>
      </c>
      <c r="C939" s="277">
        <f>'Schippers 2005&amp;2006 all'!B73</f>
        <v>132</v>
      </c>
      <c r="D939" s="301">
        <f>'Schippers 2005&amp;2006 all'!C73</f>
        <v>2103254.179323582</v>
      </c>
      <c r="E939" s="301">
        <f>'Schippers 2005&amp;2006 all'!E73</f>
        <v>984566.50535303866</v>
      </c>
      <c r="G939" s="301">
        <f>E939+F939</f>
        <v>984566.50535303866</v>
      </c>
      <c r="H939" s="336">
        <f>G939/D939</f>
        <v>0.46811579647956797</v>
      </c>
      <c r="M939" s="336">
        <v>0</v>
      </c>
      <c r="N939" s="336"/>
      <c r="O939" s="334" t="s">
        <v>1247</v>
      </c>
      <c r="P939" s="334"/>
      <c r="Q939" s="301" t="b">
        <v>1</v>
      </c>
      <c r="R939" s="304" t="s">
        <v>1395</v>
      </c>
      <c r="S939" s="304" t="s">
        <v>52</v>
      </c>
      <c r="T939" s="304" t="s">
        <v>51</v>
      </c>
      <c r="U939" s="304" t="s">
        <v>51</v>
      </c>
      <c r="V939" s="313">
        <v>0.55000000000000004</v>
      </c>
      <c r="W939" s="313">
        <v>0.55000000000000004</v>
      </c>
      <c r="X939" s="306" t="s">
        <v>248</v>
      </c>
      <c r="Y939" s="334" t="s">
        <v>96</v>
      </c>
      <c r="Z939" s="314" t="s">
        <v>100</v>
      </c>
      <c r="AA939" s="334"/>
      <c r="AB939" s="334" t="s">
        <v>311</v>
      </c>
      <c r="AC939" s="334" t="s">
        <v>1702</v>
      </c>
      <c r="AD939" s="334"/>
      <c r="AE939" s="334"/>
      <c r="AF939" s="334"/>
      <c r="AG939" s="334"/>
      <c r="AH939" s="334"/>
      <c r="AI939" s="334"/>
      <c r="AJ939" s="334"/>
      <c r="AK939" s="334"/>
      <c r="AL939" s="334"/>
      <c r="AM939" s="334"/>
      <c r="AN939" s="334"/>
      <c r="AO939" s="334"/>
      <c r="AQ939" s="326">
        <v>3298</v>
      </c>
      <c r="AR939" t="s">
        <v>1463</v>
      </c>
      <c r="AV939" s="334"/>
    </row>
    <row r="940" spans="1:48">
      <c r="A940" s="277" t="s">
        <v>759</v>
      </c>
      <c r="B940" s="277" t="s">
        <v>1641</v>
      </c>
      <c r="C940" s="277">
        <f>'Schippers 2005&amp;2006 all'!B74</f>
        <v>132.4</v>
      </c>
      <c r="D940" s="301">
        <f>'Schippers 2005&amp;2006 all'!C74</f>
        <v>2103254.179323582</v>
      </c>
      <c r="H940" s="336"/>
      <c r="M940" s="336"/>
      <c r="N940" s="336"/>
      <c r="O940" s="334"/>
      <c r="P940" s="334"/>
      <c r="R940" s="304" t="s">
        <v>1395</v>
      </c>
      <c r="S940" s="304" t="s">
        <v>52</v>
      </c>
      <c r="T940" s="304" t="s">
        <v>51</v>
      </c>
      <c r="U940" s="304" t="s">
        <v>51</v>
      </c>
      <c r="V940" s="313">
        <v>0.55000000000000004</v>
      </c>
      <c r="W940" s="313">
        <v>0.55000000000000004</v>
      </c>
      <c r="X940" s="306" t="s">
        <v>248</v>
      </c>
      <c r="Y940" s="311" t="s">
        <v>96</v>
      </c>
      <c r="Z940" s="314" t="s">
        <v>100</v>
      </c>
      <c r="AA940" s="334"/>
      <c r="AD940" s="334"/>
      <c r="AE940" s="334"/>
      <c r="AF940" s="334"/>
      <c r="AG940" s="334"/>
      <c r="AH940" s="334"/>
      <c r="AI940" s="334"/>
      <c r="AJ940" s="334"/>
      <c r="AK940" s="334"/>
      <c r="AL940" s="334"/>
      <c r="AM940" s="334"/>
      <c r="AN940" s="334"/>
      <c r="AO940" s="334"/>
      <c r="AQ940" s="326">
        <v>3298</v>
      </c>
      <c r="AR940" t="s">
        <v>1463</v>
      </c>
      <c r="AV940" s="334"/>
    </row>
    <row r="941" spans="1:48">
      <c r="A941" s="277" t="s">
        <v>759</v>
      </c>
      <c r="B941" s="277" t="s">
        <v>1641</v>
      </c>
      <c r="C941" s="277">
        <f>'Schippers 2005&amp;2006 all'!B75</f>
        <v>141.9</v>
      </c>
      <c r="D941" s="301">
        <f>'Schippers 2005&amp;2006 all'!C75</f>
        <v>1999732.9052673029</v>
      </c>
      <c r="H941" s="336"/>
      <c r="M941" s="336"/>
      <c r="N941" s="336"/>
      <c r="O941" s="334"/>
      <c r="P941" s="334"/>
      <c r="R941" s="304" t="s">
        <v>1395</v>
      </c>
      <c r="S941" s="304" t="s">
        <v>52</v>
      </c>
      <c r="T941" s="304" t="s">
        <v>51</v>
      </c>
      <c r="U941" s="304" t="s">
        <v>51</v>
      </c>
      <c r="V941" s="313">
        <v>0.55000000000000004</v>
      </c>
      <c r="W941" s="313">
        <v>0.55000000000000004</v>
      </c>
      <c r="X941" s="306" t="s">
        <v>248</v>
      </c>
      <c r="Y941" s="311" t="s">
        <v>96</v>
      </c>
      <c r="Z941" s="314" t="s">
        <v>100</v>
      </c>
      <c r="AA941" s="334"/>
      <c r="AD941" s="334"/>
      <c r="AE941" s="334"/>
      <c r="AF941" s="334"/>
      <c r="AG941" s="334"/>
      <c r="AH941" s="334"/>
      <c r="AI941" s="334"/>
      <c r="AJ941" s="334"/>
      <c r="AK941" s="334"/>
      <c r="AL941" s="334"/>
      <c r="AM941" s="334"/>
      <c r="AN941" s="334"/>
      <c r="AO941" s="334"/>
      <c r="AQ941">
        <v>3298</v>
      </c>
      <c r="AR941" t="s">
        <v>1463</v>
      </c>
      <c r="AV941" s="334"/>
    </row>
    <row r="942" spans="1:48">
      <c r="A942" s="277" t="s">
        <v>759</v>
      </c>
      <c r="B942" s="277" t="s">
        <v>1641</v>
      </c>
      <c r="C942" s="277">
        <f>'Schippers 2005&amp;2006 all'!B76</f>
        <v>160.9</v>
      </c>
      <c r="D942" s="301">
        <f>'Schippers 2005&amp;2006 all'!C76</f>
        <v>2999884.9699031995</v>
      </c>
      <c r="H942" s="336"/>
      <c r="M942" s="336"/>
      <c r="N942" s="336"/>
      <c r="O942" s="334"/>
      <c r="P942" s="334"/>
      <c r="R942" s="304" t="s">
        <v>1395</v>
      </c>
      <c r="S942" s="304" t="s">
        <v>52</v>
      </c>
      <c r="T942" s="304" t="s">
        <v>51</v>
      </c>
      <c r="U942" s="304" t="s">
        <v>51</v>
      </c>
      <c r="V942" s="313">
        <v>0.55000000000000004</v>
      </c>
      <c r="W942" s="313">
        <v>0.55000000000000004</v>
      </c>
      <c r="X942" s="306" t="s">
        <v>248</v>
      </c>
      <c r="Y942" s="311" t="s">
        <v>96</v>
      </c>
      <c r="Z942" s="314" t="s">
        <v>100</v>
      </c>
      <c r="AA942" s="334"/>
      <c r="AD942" s="334"/>
      <c r="AE942" s="334"/>
      <c r="AF942" s="334"/>
      <c r="AG942" s="334"/>
      <c r="AH942" s="334"/>
      <c r="AI942" s="334"/>
      <c r="AJ942" s="334"/>
      <c r="AK942" s="334"/>
      <c r="AL942" s="334"/>
      <c r="AM942" s="334"/>
      <c r="AN942" s="334"/>
      <c r="AO942" s="334"/>
      <c r="AQ942">
        <v>3298</v>
      </c>
      <c r="AR942" t="s">
        <v>1463</v>
      </c>
      <c r="AV942" s="334"/>
    </row>
    <row r="943" spans="1:48">
      <c r="A943" s="277" t="s">
        <v>759</v>
      </c>
      <c r="B943" s="277" t="s">
        <v>1641</v>
      </c>
      <c r="C943" s="277">
        <f>'Schippers 2005&amp;2006 all'!B77</f>
        <v>161</v>
      </c>
      <c r="D943" s="301">
        <f>'Schippers 2005&amp;2006 all'!C77</f>
        <v>2999884.9699031995</v>
      </c>
      <c r="E943" s="301">
        <f>'Schippers 2005&amp;2006 all'!E77</f>
        <v>713952.44813053659</v>
      </c>
      <c r="G943" s="301">
        <f>E943+F943</f>
        <v>713952.44813053659</v>
      </c>
      <c r="H943" s="336">
        <f>G943/D943</f>
        <v>0.23799327483999311</v>
      </c>
      <c r="M943" s="336">
        <v>0</v>
      </c>
      <c r="N943" s="336"/>
      <c r="O943" s="334" t="s">
        <v>1247</v>
      </c>
      <c r="P943" s="334"/>
      <c r="Q943" s="301" t="b">
        <v>1</v>
      </c>
      <c r="R943" s="304" t="s">
        <v>1395</v>
      </c>
      <c r="S943" s="304" t="s">
        <v>52</v>
      </c>
      <c r="T943" s="304" t="s">
        <v>51</v>
      </c>
      <c r="U943" s="304" t="s">
        <v>51</v>
      </c>
      <c r="V943" s="313">
        <v>0.55000000000000004</v>
      </c>
      <c r="W943" s="313">
        <v>0.55000000000000004</v>
      </c>
      <c r="X943" s="306" t="s">
        <v>248</v>
      </c>
      <c r="Y943" s="311" t="s">
        <v>96</v>
      </c>
      <c r="Z943" s="314" t="s">
        <v>100</v>
      </c>
      <c r="AA943" s="334"/>
      <c r="AB943" s="334" t="s">
        <v>311</v>
      </c>
      <c r="AC943" s="334" t="s">
        <v>1702</v>
      </c>
      <c r="AD943" s="334"/>
      <c r="AE943" s="334"/>
      <c r="AF943" s="334"/>
      <c r="AG943" s="334"/>
      <c r="AH943" s="334"/>
      <c r="AI943" s="334"/>
      <c r="AJ943" s="334"/>
      <c r="AK943" s="334"/>
      <c r="AL943" s="334"/>
      <c r="AM943" s="334"/>
      <c r="AN943" s="334"/>
      <c r="AO943" s="334"/>
      <c r="AQ943" s="326">
        <v>3298</v>
      </c>
      <c r="AR943" t="s">
        <v>1463</v>
      </c>
      <c r="AV943" s="334"/>
    </row>
    <row r="944" spans="1:48">
      <c r="A944" s="277" t="s">
        <v>759</v>
      </c>
      <c r="B944" s="277" t="s">
        <v>1641</v>
      </c>
      <c r="C944" s="277">
        <f>'Schippers 2005&amp;2006 all'!B78</f>
        <v>189.4</v>
      </c>
      <c r="D944" s="301">
        <f>'Schippers 2005&amp;2006 all'!C78</f>
        <v>1258958.6555100097</v>
      </c>
      <c r="H944" s="336"/>
      <c r="M944" s="336"/>
      <c r="N944" s="336"/>
      <c r="O944" s="334"/>
      <c r="P944" s="334"/>
      <c r="R944" s="304" t="s">
        <v>1395</v>
      </c>
      <c r="S944" s="304" t="s">
        <v>52</v>
      </c>
      <c r="T944" s="304" t="s">
        <v>51</v>
      </c>
      <c r="U944" s="304" t="s">
        <v>51</v>
      </c>
      <c r="V944" s="313">
        <v>0.55000000000000004</v>
      </c>
      <c r="W944" s="313">
        <v>0.55000000000000004</v>
      </c>
      <c r="X944" s="306" t="s">
        <v>248</v>
      </c>
      <c r="Y944" s="328" t="s">
        <v>96</v>
      </c>
      <c r="Z944" s="314" t="s">
        <v>100</v>
      </c>
      <c r="AA944" s="334"/>
      <c r="AD944" s="334"/>
      <c r="AE944" s="334"/>
      <c r="AF944" s="334"/>
      <c r="AG944" s="334"/>
      <c r="AH944" s="334"/>
      <c r="AI944" s="334"/>
      <c r="AJ944" s="334"/>
      <c r="AK944" s="334"/>
      <c r="AL944" s="334"/>
      <c r="AM944" s="334"/>
      <c r="AN944" s="334"/>
      <c r="AO944" s="334"/>
      <c r="AQ944" s="326">
        <v>3298</v>
      </c>
      <c r="AR944" t="s">
        <v>1463</v>
      </c>
      <c r="AV944" s="334"/>
    </row>
    <row r="945" spans="1:48">
      <c r="A945" s="277" t="s">
        <v>759</v>
      </c>
      <c r="B945" s="277" t="s">
        <v>1641</v>
      </c>
      <c r="C945" s="277">
        <f>'Schippers 2005&amp;2006 all'!B79</f>
        <v>199</v>
      </c>
      <c r="D945" s="301">
        <f>'Schippers 2005&amp;2006 all'!C79</f>
        <v>3608111.7667297246</v>
      </c>
      <c r="E945" s="301">
        <f>'Schippers 2005&amp;2006 all'!E79</f>
        <v>1422335.7006407799</v>
      </c>
      <c r="G945" s="301">
        <f>E945+F945</f>
        <v>1422335.7006407799</v>
      </c>
      <c r="H945" s="336">
        <f>G945/D945</f>
        <v>0.39420500045372453</v>
      </c>
      <c r="M945" s="336">
        <v>0</v>
      </c>
      <c r="N945" s="336"/>
      <c r="O945" s="334" t="s">
        <v>1247</v>
      </c>
      <c r="P945" s="334"/>
      <c r="Q945" s="301" t="b">
        <v>1</v>
      </c>
      <c r="R945" s="304" t="s">
        <v>1395</v>
      </c>
      <c r="S945" s="304" t="s">
        <v>52</v>
      </c>
      <c r="T945" s="304" t="s">
        <v>51</v>
      </c>
      <c r="U945" s="304" t="s">
        <v>51</v>
      </c>
      <c r="V945" s="313">
        <v>0.55000000000000004</v>
      </c>
      <c r="W945" s="313">
        <v>0.55000000000000004</v>
      </c>
      <c r="X945" s="306" t="s">
        <v>248</v>
      </c>
      <c r="Y945" s="311" t="s">
        <v>96</v>
      </c>
      <c r="Z945" s="314" t="s">
        <v>100</v>
      </c>
      <c r="AA945" s="334"/>
      <c r="AB945" s="334" t="s">
        <v>311</v>
      </c>
      <c r="AC945" s="334" t="s">
        <v>1702</v>
      </c>
      <c r="AD945" s="334"/>
      <c r="AE945" s="334"/>
      <c r="AF945" s="334"/>
      <c r="AG945" s="334"/>
      <c r="AH945" s="334"/>
      <c r="AI945" s="334"/>
      <c r="AJ945" s="334"/>
      <c r="AK945" s="334"/>
      <c r="AL945" s="334"/>
      <c r="AM945" s="334"/>
      <c r="AN945" s="334"/>
      <c r="AO945" s="334"/>
      <c r="AQ945" s="326">
        <v>3298</v>
      </c>
      <c r="AR945" t="s">
        <v>1463</v>
      </c>
      <c r="AV945" s="334"/>
    </row>
    <row r="946" spans="1:48">
      <c r="A946" s="277" t="s">
        <v>759</v>
      </c>
      <c r="B946" s="277" t="s">
        <v>1641</v>
      </c>
      <c r="C946" s="277">
        <f>'Schippers 2005&amp;2006 all'!B80</f>
        <v>199.2</v>
      </c>
      <c r="D946" s="301">
        <f>'Schippers 2005&amp;2006 all'!C80</f>
        <v>3608111.7667297246</v>
      </c>
      <c r="H946" s="336"/>
      <c r="M946" s="336"/>
      <c r="N946" s="336"/>
      <c r="O946" s="334"/>
      <c r="P946" s="334"/>
      <c r="R946" s="304" t="s">
        <v>1395</v>
      </c>
      <c r="S946" s="304" t="s">
        <v>52</v>
      </c>
      <c r="T946" s="304" t="s">
        <v>51</v>
      </c>
      <c r="U946" s="304" t="s">
        <v>51</v>
      </c>
      <c r="V946" s="313">
        <v>0.55000000000000004</v>
      </c>
      <c r="W946" s="313">
        <v>0.55000000000000004</v>
      </c>
      <c r="X946" s="306" t="s">
        <v>248</v>
      </c>
      <c r="Y946" s="323" t="s">
        <v>96</v>
      </c>
      <c r="Z946" s="314" t="s">
        <v>100</v>
      </c>
      <c r="AA946" s="334"/>
      <c r="AD946" s="334"/>
      <c r="AE946" s="334"/>
      <c r="AF946" s="334"/>
      <c r="AG946" s="334"/>
      <c r="AH946" s="334"/>
      <c r="AI946" s="334"/>
      <c r="AJ946" s="334"/>
      <c r="AK946" s="334"/>
      <c r="AL946" s="334"/>
      <c r="AM946" s="334"/>
      <c r="AN946" s="334"/>
      <c r="AO946" s="334"/>
      <c r="AQ946" s="326">
        <v>3298</v>
      </c>
      <c r="AR946" t="s">
        <v>1463</v>
      </c>
      <c r="AV946" s="334"/>
    </row>
    <row r="947" spans="1:48">
      <c r="A947" s="277" t="s">
        <v>759</v>
      </c>
      <c r="B947" s="277" t="s">
        <v>1641</v>
      </c>
      <c r="C947" s="277">
        <f>'Schippers 2005&amp;2006 all'!B81</f>
        <v>202</v>
      </c>
      <c r="D947" s="301">
        <f>'Schippers 2005&amp;2006 all'!C81</f>
        <v>3608111.7667297246</v>
      </c>
      <c r="E947" s="301">
        <f>'Schippers 2005&amp;2006 all'!E81</f>
        <v>371526.78929011628</v>
      </c>
      <c r="G947" s="301">
        <f>E947+F947</f>
        <v>371526.78929011628</v>
      </c>
      <c r="H947" s="336">
        <f>G947/D947</f>
        <v>0.10296986715210768</v>
      </c>
      <c r="M947" s="336">
        <v>0</v>
      </c>
      <c r="N947" s="336"/>
      <c r="O947" s="334" t="s">
        <v>1247</v>
      </c>
      <c r="P947" s="334"/>
      <c r="Q947" s="301" t="b">
        <v>1</v>
      </c>
      <c r="R947" s="304" t="s">
        <v>1395</v>
      </c>
      <c r="S947" s="304" t="s">
        <v>52</v>
      </c>
      <c r="T947" s="304" t="s">
        <v>51</v>
      </c>
      <c r="U947" s="304" t="s">
        <v>51</v>
      </c>
      <c r="V947" s="313">
        <v>0.55000000000000004</v>
      </c>
      <c r="W947" s="313">
        <v>0.55000000000000004</v>
      </c>
      <c r="X947" s="306" t="s">
        <v>248</v>
      </c>
      <c r="Y947" s="328" t="s">
        <v>96</v>
      </c>
      <c r="Z947" s="314" t="s">
        <v>100</v>
      </c>
      <c r="AA947" s="334"/>
      <c r="AB947" s="334" t="s">
        <v>311</v>
      </c>
      <c r="AC947" s="334" t="s">
        <v>1702</v>
      </c>
      <c r="AD947" s="334"/>
      <c r="AE947" s="334"/>
      <c r="AF947" s="334"/>
      <c r="AG947" s="334"/>
      <c r="AH947" s="334"/>
      <c r="AI947" s="334"/>
      <c r="AJ947" s="334"/>
      <c r="AK947" s="334"/>
      <c r="AL947" s="334"/>
      <c r="AM947" s="334"/>
      <c r="AN947" s="334"/>
      <c r="AO947" s="334"/>
      <c r="AQ947" s="326">
        <v>3298</v>
      </c>
      <c r="AR947" t="s">
        <v>1463</v>
      </c>
      <c r="AV947" s="334"/>
    </row>
    <row r="948" spans="1:48">
      <c r="A948" s="277" t="s">
        <v>759</v>
      </c>
      <c r="B948" s="277" t="s">
        <v>1641</v>
      </c>
      <c r="C948" s="277">
        <f>'Schippers 2005&amp;2006 all'!B82</f>
        <v>217.9</v>
      </c>
      <c r="D948" s="301">
        <f>'Schippers 2005&amp;2006 all'!C82</f>
        <v>2191081.5969802034</v>
      </c>
      <c r="H948" s="336"/>
      <c r="M948" s="336"/>
      <c r="N948" s="336"/>
      <c r="O948" s="334"/>
      <c r="P948" s="334"/>
      <c r="R948" s="304" t="s">
        <v>1395</v>
      </c>
      <c r="S948" s="304" t="s">
        <v>52</v>
      </c>
      <c r="T948" s="304" t="s">
        <v>51</v>
      </c>
      <c r="U948" s="304" t="s">
        <v>51</v>
      </c>
      <c r="V948" s="313">
        <v>0.55000000000000004</v>
      </c>
      <c r="W948" s="313">
        <v>0.55000000000000004</v>
      </c>
      <c r="X948" s="306" t="s">
        <v>248</v>
      </c>
      <c r="Y948" s="323" t="s">
        <v>96</v>
      </c>
      <c r="Z948" s="314" t="s">
        <v>100</v>
      </c>
      <c r="AA948" s="334"/>
      <c r="AD948" s="334"/>
      <c r="AE948" s="334"/>
      <c r="AF948" s="334"/>
      <c r="AG948" s="334"/>
      <c r="AH948" s="334"/>
      <c r="AI948" s="334"/>
      <c r="AJ948" s="334"/>
      <c r="AK948" s="334"/>
      <c r="AL948" s="334"/>
      <c r="AM948" s="334"/>
      <c r="AN948" s="334"/>
      <c r="AO948" s="334"/>
      <c r="AQ948" s="326">
        <v>3298</v>
      </c>
      <c r="AR948" t="s">
        <v>1463</v>
      </c>
      <c r="AV948" s="334"/>
    </row>
    <row r="949" spans="1:48">
      <c r="A949" s="277" t="s">
        <v>759</v>
      </c>
      <c r="B949" s="277" t="s">
        <v>1641</v>
      </c>
      <c r="C949" s="277">
        <f>'Schippers 2005&amp;2006 all'!B83</f>
        <v>218</v>
      </c>
      <c r="D949" s="301">
        <f>'Schippers 2005&amp;2006 all'!C83</f>
        <v>2191081.5969802034</v>
      </c>
      <c r="E949" s="301">
        <f>'Schippers 2005&amp;2006 all'!E83</f>
        <v>1958754.7450722985</v>
      </c>
      <c r="G949" s="301">
        <f>E949+F949</f>
        <v>1958754.7450722985</v>
      </c>
      <c r="H949" s="336">
        <f>G949/D949</f>
        <v>0.89396704703827423</v>
      </c>
      <c r="M949" s="336">
        <v>0</v>
      </c>
      <c r="N949" s="336"/>
      <c r="O949" s="334" t="s">
        <v>1247</v>
      </c>
      <c r="P949" s="334"/>
      <c r="Q949" s="301" t="b">
        <v>1</v>
      </c>
      <c r="R949" s="304" t="s">
        <v>1395</v>
      </c>
      <c r="S949" s="304" t="s">
        <v>52</v>
      </c>
      <c r="T949" s="304" t="s">
        <v>51</v>
      </c>
      <c r="U949" s="304" t="s">
        <v>51</v>
      </c>
      <c r="V949" s="313">
        <v>0.55000000000000004</v>
      </c>
      <c r="W949" s="313">
        <v>0.55000000000000004</v>
      </c>
      <c r="X949" s="306" t="s">
        <v>248</v>
      </c>
      <c r="Y949" s="323" t="s">
        <v>96</v>
      </c>
      <c r="Z949" s="314" t="s">
        <v>100</v>
      </c>
      <c r="AA949" s="334"/>
      <c r="AB949" s="334" t="s">
        <v>311</v>
      </c>
      <c r="AC949" s="334" t="s">
        <v>1702</v>
      </c>
      <c r="AD949" s="334"/>
      <c r="AE949" s="334"/>
      <c r="AF949" s="334"/>
      <c r="AG949" s="334"/>
      <c r="AH949" s="334"/>
      <c r="AI949" s="334"/>
      <c r="AJ949" s="334"/>
      <c r="AK949" s="334"/>
      <c r="AL949" s="334"/>
      <c r="AM949" s="334"/>
      <c r="AN949" s="334"/>
      <c r="AO949" s="334"/>
      <c r="AQ949" s="326">
        <v>3298</v>
      </c>
      <c r="AR949" t="s">
        <v>1463</v>
      </c>
      <c r="AV949" s="334"/>
    </row>
    <row r="950" spans="1:48">
      <c r="A950" s="277" t="s">
        <v>759</v>
      </c>
      <c r="B950" s="277" t="s">
        <v>1641</v>
      </c>
      <c r="C950" s="277">
        <f>'Schippers 2005&amp;2006 all'!B84</f>
        <v>236.9</v>
      </c>
      <c r="D950" s="301">
        <f>'Schippers 2005&amp;2006 all'!C84</f>
        <v>3545149.0314520355</v>
      </c>
      <c r="H950" s="336"/>
      <c r="M950" s="336"/>
      <c r="N950" s="336"/>
      <c r="O950" s="334"/>
      <c r="P950" s="334"/>
      <c r="R950" s="304" t="s">
        <v>1395</v>
      </c>
      <c r="S950" s="304" t="s">
        <v>52</v>
      </c>
      <c r="T950" s="304" t="s">
        <v>51</v>
      </c>
      <c r="U950" s="304" t="s">
        <v>51</v>
      </c>
      <c r="V950" s="313">
        <v>0.55000000000000004</v>
      </c>
      <c r="W950" s="313">
        <v>0.55000000000000004</v>
      </c>
      <c r="X950" s="306" t="s">
        <v>248</v>
      </c>
      <c r="Y950" s="323" t="s">
        <v>96</v>
      </c>
      <c r="Z950" s="314" t="s">
        <v>100</v>
      </c>
      <c r="AA950" s="334"/>
      <c r="AD950" s="334"/>
      <c r="AE950" s="334"/>
      <c r="AF950" s="334"/>
      <c r="AG950" s="334"/>
      <c r="AH950" s="334"/>
      <c r="AI950" s="334"/>
      <c r="AJ950" s="334"/>
      <c r="AK950" s="334"/>
      <c r="AL950" s="334"/>
      <c r="AM950" s="334"/>
      <c r="AN950" s="334"/>
      <c r="AO950" s="334"/>
      <c r="AQ950" s="326">
        <v>3298</v>
      </c>
      <c r="AR950" t="s">
        <v>1463</v>
      </c>
      <c r="AV950" s="334"/>
    </row>
    <row r="951" spans="1:48">
      <c r="A951" s="277" t="s">
        <v>759</v>
      </c>
      <c r="B951" s="277" t="s">
        <v>1641</v>
      </c>
      <c r="C951" s="277">
        <f>'Schippers 2005&amp;2006 all'!B85</f>
        <v>246</v>
      </c>
      <c r="D951" s="301">
        <f>'Schippers 2005&amp;2006 all'!C85</f>
        <v>1385649.3150039311</v>
      </c>
      <c r="E951" s="301">
        <f>'Schippers 2005&amp;2006 all'!E85</f>
        <v>1352041.2160964643</v>
      </c>
      <c r="G951" s="301">
        <f>E951+F951</f>
        <v>1352041.2160964643</v>
      </c>
      <c r="H951" s="336">
        <f>G951/D951</f>
        <v>0.97574559555325047</v>
      </c>
      <c r="M951" s="336">
        <v>0</v>
      </c>
      <c r="N951" s="336"/>
      <c r="O951" s="334" t="s">
        <v>1247</v>
      </c>
      <c r="P951" s="334"/>
      <c r="Q951" s="301" t="b">
        <v>1</v>
      </c>
      <c r="R951" s="304" t="s">
        <v>1395</v>
      </c>
      <c r="S951" s="304" t="s">
        <v>52</v>
      </c>
      <c r="T951" s="304" t="s">
        <v>51</v>
      </c>
      <c r="U951" s="304" t="s">
        <v>51</v>
      </c>
      <c r="V951" s="313">
        <v>0.55000000000000004</v>
      </c>
      <c r="W951" s="313">
        <v>0.55000000000000004</v>
      </c>
      <c r="X951" s="306" t="s">
        <v>248</v>
      </c>
      <c r="Y951" s="323" t="s">
        <v>96</v>
      </c>
      <c r="Z951" s="314" t="s">
        <v>100</v>
      </c>
      <c r="AA951" s="334"/>
      <c r="AB951" s="334" t="s">
        <v>311</v>
      </c>
      <c r="AC951" s="334" t="s">
        <v>1702</v>
      </c>
      <c r="AD951" s="334"/>
      <c r="AE951" s="334"/>
      <c r="AF951" s="334"/>
      <c r="AG951" s="334"/>
      <c r="AH951" s="334"/>
      <c r="AI951" s="334"/>
      <c r="AJ951" s="334"/>
      <c r="AK951" s="334"/>
      <c r="AL951" s="334"/>
      <c r="AM951" s="334"/>
      <c r="AN951" s="334"/>
      <c r="AO951" s="334"/>
      <c r="AQ951" s="326">
        <v>3298</v>
      </c>
      <c r="AR951" t="s">
        <v>1463</v>
      </c>
      <c r="AV951" s="334"/>
    </row>
    <row r="952" spans="1:48">
      <c r="A952" s="277" t="s">
        <v>759</v>
      </c>
      <c r="B952" s="277" t="s">
        <v>1641</v>
      </c>
      <c r="C952" s="277">
        <f>'Schippers 2005&amp;2006 all'!B86</f>
        <v>247.9</v>
      </c>
      <c r="D952" s="301">
        <f>'Schippers 2005&amp;2006 all'!C86</f>
        <v>1385649.3150039311</v>
      </c>
      <c r="H952" s="336"/>
      <c r="M952" s="336"/>
      <c r="N952" s="336"/>
      <c r="O952" s="334"/>
      <c r="P952" s="334"/>
      <c r="R952" s="304" t="s">
        <v>1395</v>
      </c>
      <c r="S952" s="304" t="s">
        <v>52</v>
      </c>
      <c r="T952" s="304" t="s">
        <v>51</v>
      </c>
      <c r="U952" s="304" t="s">
        <v>51</v>
      </c>
      <c r="V952" s="313">
        <v>0.55000000000000004</v>
      </c>
      <c r="W952" s="313">
        <v>0.55000000000000004</v>
      </c>
      <c r="X952" s="306" t="s">
        <v>248</v>
      </c>
      <c r="Y952" s="323" t="s">
        <v>96</v>
      </c>
      <c r="Z952" s="314" t="s">
        <v>100</v>
      </c>
      <c r="AA952" s="334"/>
      <c r="AD952" s="334"/>
      <c r="AE952" s="334"/>
      <c r="AF952" s="334"/>
      <c r="AG952" s="334"/>
      <c r="AH952" s="334"/>
      <c r="AI952" s="334"/>
      <c r="AJ952" s="334"/>
      <c r="AK952" s="334"/>
      <c r="AL952" s="334"/>
      <c r="AM952" s="334"/>
      <c r="AN952" s="334"/>
      <c r="AO952" s="334"/>
      <c r="AQ952" s="326">
        <v>3298</v>
      </c>
      <c r="AR952" t="s">
        <v>1463</v>
      </c>
      <c r="AV952" s="334"/>
    </row>
    <row r="953" spans="1:48">
      <c r="A953" s="277" t="s">
        <v>759</v>
      </c>
      <c r="B953" s="277" t="s">
        <v>1641</v>
      </c>
      <c r="C953" s="277">
        <f>'Schippers 2005&amp;2006 all'!B87</f>
        <v>257.39999999999998</v>
      </c>
      <c r="D953" s="301">
        <f>'Schippers 2005&amp;2006 all'!C87</f>
        <v>1580176.2636604016</v>
      </c>
      <c r="H953" s="336"/>
      <c r="M953" s="336"/>
      <c r="N953" s="336"/>
      <c r="O953" s="334"/>
      <c r="P953" s="334"/>
      <c r="R953" s="304" t="s">
        <v>1395</v>
      </c>
      <c r="S953" s="304" t="s">
        <v>52</v>
      </c>
      <c r="T953" s="304" t="s">
        <v>51</v>
      </c>
      <c r="U953" s="304" t="s">
        <v>51</v>
      </c>
      <c r="V953" s="313">
        <v>0.55000000000000004</v>
      </c>
      <c r="W953" s="313">
        <v>0.55000000000000004</v>
      </c>
      <c r="X953" s="306" t="s">
        <v>248</v>
      </c>
      <c r="Y953" s="334" t="s">
        <v>96</v>
      </c>
      <c r="Z953" s="314" t="s">
        <v>100</v>
      </c>
      <c r="AA953" s="334"/>
      <c r="AD953" s="334"/>
      <c r="AE953" s="334"/>
      <c r="AF953" s="334"/>
      <c r="AG953" s="334"/>
      <c r="AH953" s="334"/>
      <c r="AI953" s="334"/>
      <c r="AJ953" s="334"/>
      <c r="AK953" s="334"/>
      <c r="AL953" s="334"/>
      <c r="AM953" s="334"/>
      <c r="AN953" s="334"/>
      <c r="AO953" s="334"/>
      <c r="AQ953" s="326">
        <v>3298</v>
      </c>
      <c r="AR953" t="s">
        <v>1463</v>
      </c>
      <c r="AV953" s="334"/>
    </row>
    <row r="954" spans="1:48">
      <c r="A954" s="277" t="s">
        <v>759</v>
      </c>
      <c r="B954" s="277" t="s">
        <v>1641</v>
      </c>
      <c r="C954" s="277">
        <f>'Schippers 2005&amp;2006 all'!B88</f>
        <v>276</v>
      </c>
      <c r="D954" s="301">
        <f>'Schippers 2005&amp;2006 all'!C88</f>
        <v>1450361.7097133796</v>
      </c>
      <c r="E954" s="301">
        <f>'Schippers 2005&amp;2006 all'!E88</f>
        <v>859451.73687718727</v>
      </c>
      <c r="G954" s="301">
        <f>E954+F954</f>
        <v>859451.73687718727</v>
      </c>
      <c r="H954" s="336">
        <f>G954/D954</f>
        <v>0.59257751436848949</v>
      </c>
      <c r="M954" s="336">
        <v>0</v>
      </c>
      <c r="N954" s="336"/>
      <c r="O954" s="334" t="s">
        <v>1247</v>
      </c>
      <c r="P954" s="334"/>
      <c r="Q954" s="301" t="b">
        <v>1</v>
      </c>
      <c r="R954" s="304" t="s">
        <v>1395</v>
      </c>
      <c r="S954" s="304" t="s">
        <v>52</v>
      </c>
      <c r="T954" s="304" t="s">
        <v>51</v>
      </c>
      <c r="U954" s="323" t="s">
        <v>51</v>
      </c>
      <c r="V954" s="313">
        <v>0.55000000000000004</v>
      </c>
      <c r="W954" s="313">
        <v>0.55000000000000004</v>
      </c>
      <c r="X954" s="306" t="s">
        <v>248</v>
      </c>
      <c r="Y954" s="323" t="s">
        <v>96</v>
      </c>
      <c r="Z954" s="314" t="s">
        <v>100</v>
      </c>
      <c r="AA954" s="334"/>
      <c r="AB954" s="334" t="s">
        <v>311</v>
      </c>
      <c r="AC954" s="334" t="s">
        <v>1702</v>
      </c>
      <c r="AD954" s="334"/>
      <c r="AE954" s="334"/>
      <c r="AF954" s="334"/>
      <c r="AG954" s="334"/>
      <c r="AH954" s="334"/>
      <c r="AI954" s="334"/>
      <c r="AJ954" s="334"/>
      <c r="AK954" s="334"/>
      <c r="AL954" s="334"/>
      <c r="AM954" s="334"/>
      <c r="AN954" s="334"/>
      <c r="AO954" s="334"/>
      <c r="AQ954" s="326">
        <v>3298</v>
      </c>
      <c r="AR954" t="s">
        <v>1463</v>
      </c>
      <c r="AV954" s="334"/>
    </row>
    <row r="955" spans="1:48">
      <c r="A955" s="277" t="s">
        <v>759</v>
      </c>
      <c r="B955" s="277" t="s">
        <v>1641</v>
      </c>
      <c r="C955" s="277">
        <f>'Schippers 2005&amp;2006 all'!B89</f>
        <v>276.39999999999998</v>
      </c>
      <c r="D955" s="301">
        <f>'Schippers 2005&amp;2006 all'!C89</f>
        <v>1450361.7097133796</v>
      </c>
      <c r="H955" s="336"/>
      <c r="M955" s="336"/>
      <c r="N955" s="336"/>
      <c r="O955" s="334"/>
      <c r="P955" s="334"/>
      <c r="R955" s="304" t="s">
        <v>1395</v>
      </c>
      <c r="S955" s="304" t="s">
        <v>52</v>
      </c>
      <c r="T955" s="304" t="s">
        <v>51</v>
      </c>
      <c r="U955" s="323" t="s">
        <v>51</v>
      </c>
      <c r="V955" s="313">
        <v>0.55000000000000004</v>
      </c>
      <c r="W955" s="313">
        <v>0.55000000000000004</v>
      </c>
      <c r="X955" s="306" t="s">
        <v>248</v>
      </c>
      <c r="Y955" s="334" t="s">
        <v>96</v>
      </c>
      <c r="Z955" s="314" t="s">
        <v>100</v>
      </c>
      <c r="AA955" s="334"/>
      <c r="AD955" s="334"/>
      <c r="AE955" s="334"/>
      <c r="AF955" s="334"/>
      <c r="AG955" s="334"/>
      <c r="AH955" s="334"/>
      <c r="AI955" s="334"/>
      <c r="AJ955" s="334"/>
      <c r="AK955" s="334"/>
      <c r="AL955" s="334"/>
      <c r="AM955" s="334"/>
      <c r="AN955" s="334"/>
      <c r="AO955" s="334"/>
      <c r="AQ955" s="326">
        <v>3298</v>
      </c>
      <c r="AR955" t="s">
        <v>1463</v>
      </c>
      <c r="AV955" s="334"/>
    </row>
    <row r="956" spans="1:48">
      <c r="A956" s="277" t="s">
        <v>759</v>
      </c>
      <c r="B956" s="277" t="s">
        <v>1641</v>
      </c>
      <c r="C956" s="277">
        <f>'Schippers 2005&amp;2006 all'!B90</f>
        <v>283</v>
      </c>
      <c r="E956" s="301">
        <f>'Schippers 2005&amp;2006 all'!E90</f>
        <v>339684.57833674696</v>
      </c>
      <c r="G956" s="301">
        <f>E956+F956</f>
        <v>339684.57833674696</v>
      </c>
      <c r="H956" s="336"/>
      <c r="M956" s="336">
        <v>0</v>
      </c>
      <c r="N956" s="336"/>
      <c r="O956" s="334" t="s">
        <v>1247</v>
      </c>
      <c r="P956" s="334"/>
      <c r="Q956" s="301" t="b">
        <v>1</v>
      </c>
      <c r="R956" s="304" t="s">
        <v>1395</v>
      </c>
      <c r="S956" s="304" t="s">
        <v>52</v>
      </c>
      <c r="T956" s="304" t="s">
        <v>51</v>
      </c>
      <c r="U956" s="323" t="s">
        <v>51</v>
      </c>
      <c r="V956" s="313">
        <v>0.55000000000000004</v>
      </c>
      <c r="W956" s="313">
        <v>0.55000000000000004</v>
      </c>
      <c r="X956" s="306" t="s">
        <v>248</v>
      </c>
      <c r="Y956" s="323" t="s">
        <v>96</v>
      </c>
      <c r="Z956" s="314" t="s">
        <v>100</v>
      </c>
      <c r="AA956" s="334"/>
      <c r="AB956" s="334" t="s">
        <v>311</v>
      </c>
      <c r="AC956" s="334" t="s">
        <v>1702</v>
      </c>
      <c r="AD956" s="334"/>
      <c r="AE956" s="334"/>
      <c r="AF956" s="334"/>
      <c r="AG956" s="334"/>
      <c r="AH956" s="334"/>
      <c r="AI956" s="334"/>
      <c r="AJ956" s="334"/>
      <c r="AK956" s="334"/>
      <c r="AL956" s="334"/>
      <c r="AM956" s="334"/>
      <c r="AN956" s="334"/>
      <c r="AO956" s="334"/>
      <c r="AQ956" s="326">
        <v>3298</v>
      </c>
      <c r="AR956" t="s">
        <v>1463</v>
      </c>
      <c r="AV956" s="334"/>
    </row>
    <row r="957" spans="1:48">
      <c r="A957" s="277" t="s">
        <v>759</v>
      </c>
      <c r="B957" s="277" t="s">
        <v>1641</v>
      </c>
      <c r="C957" s="277">
        <f>'Schippers 2005&amp;2006 all'!B91</f>
        <v>295.3</v>
      </c>
      <c r="D957" s="301">
        <f>'Schippers 2005&amp;2006 all'!C91</f>
        <v>2854611.6897802125</v>
      </c>
      <c r="H957" s="336"/>
      <c r="M957" s="336"/>
      <c r="N957" s="336"/>
      <c r="O957" s="334"/>
      <c r="P957" s="334"/>
      <c r="R957" s="304" t="s">
        <v>1395</v>
      </c>
      <c r="S957" s="304" t="s">
        <v>52</v>
      </c>
      <c r="T957" s="304" t="s">
        <v>51</v>
      </c>
      <c r="U957" s="323" t="s">
        <v>51</v>
      </c>
      <c r="V957" s="313">
        <v>0.55000000000000004</v>
      </c>
      <c r="W957" s="313">
        <v>0.55000000000000004</v>
      </c>
      <c r="X957" s="306" t="s">
        <v>248</v>
      </c>
      <c r="Y957" s="328" t="s">
        <v>96</v>
      </c>
      <c r="Z957" s="314" t="s">
        <v>100</v>
      </c>
      <c r="AA957" s="334"/>
      <c r="AD957" s="334"/>
      <c r="AE957" s="334"/>
      <c r="AF957" s="334"/>
      <c r="AG957" s="334"/>
      <c r="AH957" s="334"/>
      <c r="AI957" s="334"/>
      <c r="AJ957" s="334"/>
      <c r="AK957" s="334"/>
      <c r="AL957" s="334"/>
      <c r="AM957" s="334"/>
      <c r="AN957" s="334"/>
      <c r="AO957" s="334"/>
      <c r="AQ957" s="326">
        <v>3298</v>
      </c>
      <c r="AR957" t="s">
        <v>1463</v>
      </c>
      <c r="AV957" s="334"/>
    </row>
    <row r="958" spans="1:48">
      <c r="A958" s="277" t="s">
        <v>759</v>
      </c>
      <c r="B958" s="277" t="s">
        <v>1641</v>
      </c>
      <c r="C958" s="277">
        <f>'Schippers 2005&amp;2006 all'!B92</f>
        <v>310</v>
      </c>
      <c r="D958" s="301">
        <f>'Schippers 2005&amp;2006 all'!C92</f>
        <v>1157790.1486272989</v>
      </c>
      <c r="E958" s="301">
        <f>'Schippers 2005&amp;2006 all'!E92</f>
        <v>248379.95699882123</v>
      </c>
      <c r="G958" s="301">
        <f>E958+F958</f>
        <v>248379.95699882123</v>
      </c>
      <c r="H958" s="336">
        <f>G958/D958</f>
        <v>0.21452934047962482</v>
      </c>
      <c r="M958" s="336">
        <v>0</v>
      </c>
      <c r="N958" s="336"/>
      <c r="O958" s="334" t="s">
        <v>1247</v>
      </c>
      <c r="P958" s="334"/>
      <c r="Q958" s="301" t="b">
        <v>1</v>
      </c>
      <c r="R958" s="304" t="s">
        <v>1395</v>
      </c>
      <c r="S958" s="304" t="s">
        <v>52</v>
      </c>
      <c r="T958" s="304" t="s">
        <v>51</v>
      </c>
      <c r="U958" s="323" t="s">
        <v>51</v>
      </c>
      <c r="V958" s="313">
        <v>0.55000000000000004</v>
      </c>
      <c r="W958" s="313">
        <v>0.55000000000000004</v>
      </c>
      <c r="X958" s="306" t="s">
        <v>248</v>
      </c>
      <c r="Y958" s="323" t="s">
        <v>96</v>
      </c>
      <c r="Z958" s="314" t="s">
        <v>100</v>
      </c>
      <c r="AA958" s="334"/>
      <c r="AB958" s="334" t="s">
        <v>311</v>
      </c>
      <c r="AC958" s="334" t="s">
        <v>1702</v>
      </c>
      <c r="AD958" s="334"/>
      <c r="AE958" s="334"/>
      <c r="AF958" s="334"/>
      <c r="AG958" s="334"/>
      <c r="AH958" s="334"/>
      <c r="AI958" s="334"/>
      <c r="AJ958" s="334"/>
      <c r="AK958" s="334"/>
      <c r="AL958" s="334"/>
      <c r="AM958" s="334"/>
      <c r="AN958" s="334"/>
      <c r="AO958" s="334"/>
      <c r="AQ958" s="326">
        <v>3298</v>
      </c>
      <c r="AR958" t="s">
        <v>1463</v>
      </c>
      <c r="AV958" s="334"/>
    </row>
    <row r="959" spans="1:48">
      <c r="A959" s="277" t="s">
        <v>759</v>
      </c>
      <c r="B959" s="277" t="s">
        <v>1641</v>
      </c>
      <c r="C959" s="277">
        <f>'Schippers 2005&amp;2006 all'!B93</f>
        <v>314.64999999999998</v>
      </c>
      <c r="D959" s="301">
        <f>'Schippers 2005&amp;2006 all'!C93</f>
        <v>1157790.1486272989</v>
      </c>
      <c r="H959" s="336"/>
      <c r="M959" s="336"/>
      <c r="N959" s="336"/>
      <c r="O959" s="334"/>
      <c r="P959" s="334"/>
      <c r="R959" s="304" t="s">
        <v>1395</v>
      </c>
      <c r="S959" s="304" t="s">
        <v>52</v>
      </c>
      <c r="T959" s="304" t="s">
        <v>51</v>
      </c>
      <c r="U959" s="323" t="s">
        <v>51</v>
      </c>
      <c r="V959" s="313">
        <v>0.55000000000000004</v>
      </c>
      <c r="W959" s="313">
        <v>0.55000000000000004</v>
      </c>
      <c r="X959" s="306" t="s">
        <v>248</v>
      </c>
      <c r="Y959" s="323" t="s">
        <v>96</v>
      </c>
      <c r="Z959" s="314" t="s">
        <v>100</v>
      </c>
      <c r="AA959" s="334"/>
      <c r="AD959" s="334"/>
      <c r="AE959" s="334"/>
      <c r="AF959" s="334"/>
      <c r="AG959" s="334"/>
      <c r="AH959" s="334"/>
      <c r="AI959" s="334"/>
      <c r="AJ959" s="334"/>
      <c r="AK959" s="334"/>
      <c r="AL959" s="334"/>
      <c r="AM959" s="334"/>
      <c r="AN959" s="334"/>
      <c r="AO959" s="334"/>
      <c r="AQ959" s="326">
        <v>3298</v>
      </c>
      <c r="AR959" t="s">
        <v>1463</v>
      </c>
      <c r="AV959" s="334"/>
    </row>
    <row r="960" spans="1:48">
      <c r="A960" s="277" t="s">
        <v>759</v>
      </c>
      <c r="B960" s="277" t="s">
        <v>1641</v>
      </c>
      <c r="C960" s="277">
        <f>'Schippers 2005&amp;2006 all'!B94</f>
        <v>321</v>
      </c>
      <c r="E960" s="301">
        <f>'Schippers 2005&amp;2006 all'!E94</f>
        <v>425167.15641855117</v>
      </c>
      <c r="G960" s="301">
        <f>E960+F960</f>
        <v>425167.15641855117</v>
      </c>
      <c r="H960" s="336"/>
      <c r="M960" s="336">
        <v>0</v>
      </c>
      <c r="N960" s="336"/>
      <c r="O960" s="334" t="s">
        <v>1247</v>
      </c>
      <c r="P960" s="334"/>
      <c r="Q960" s="301" t="b">
        <v>1</v>
      </c>
      <c r="R960" s="304" t="s">
        <v>1395</v>
      </c>
      <c r="S960" s="304" t="s">
        <v>52</v>
      </c>
      <c r="T960" s="304" t="s">
        <v>51</v>
      </c>
      <c r="U960" s="323" t="s">
        <v>51</v>
      </c>
      <c r="V960" s="313">
        <v>0.55000000000000004</v>
      </c>
      <c r="W960" s="313">
        <v>0.55000000000000004</v>
      </c>
      <c r="X960" s="306" t="s">
        <v>248</v>
      </c>
      <c r="Y960" s="334" t="s">
        <v>96</v>
      </c>
      <c r="Z960" s="314" t="s">
        <v>100</v>
      </c>
      <c r="AA960" s="334"/>
      <c r="AB960" s="334" t="s">
        <v>311</v>
      </c>
      <c r="AC960" s="334" t="s">
        <v>1702</v>
      </c>
      <c r="AD960" s="334"/>
      <c r="AE960" s="334"/>
      <c r="AF960" s="334"/>
      <c r="AG960" s="334"/>
      <c r="AH960" s="334"/>
      <c r="AI960" s="334"/>
      <c r="AJ960" s="334"/>
      <c r="AK960" s="334"/>
      <c r="AL960" s="334"/>
      <c r="AM960" s="334"/>
      <c r="AN960" s="334"/>
      <c r="AO960" s="334"/>
      <c r="AQ960" s="326">
        <v>3298</v>
      </c>
      <c r="AR960" t="s">
        <v>1463</v>
      </c>
      <c r="AV960" s="334"/>
    </row>
    <row r="961" spans="1:51">
      <c r="A961" s="277" t="s">
        <v>759</v>
      </c>
      <c r="B961" s="277" t="s">
        <v>1641</v>
      </c>
      <c r="C961" s="277">
        <f>'Schippers 2005&amp;2006 all'!B95</f>
        <v>340.84</v>
      </c>
      <c r="D961" s="301">
        <f>'Schippers 2005&amp;2006 all'!C95</f>
        <v>2279093.5828553829</v>
      </c>
      <c r="H961" s="336"/>
      <c r="M961" s="336"/>
      <c r="N961" s="336"/>
      <c r="O961" s="334"/>
      <c r="P961" s="334"/>
      <c r="R961" s="304" t="s">
        <v>1395</v>
      </c>
      <c r="S961" s="304" t="s">
        <v>52</v>
      </c>
      <c r="T961" s="304" t="s">
        <v>51</v>
      </c>
      <c r="U961" s="323" t="s">
        <v>51</v>
      </c>
      <c r="V961" s="313">
        <v>0.55000000000000004</v>
      </c>
      <c r="W961" s="313">
        <v>0.55000000000000004</v>
      </c>
      <c r="X961" s="306" t="s">
        <v>248</v>
      </c>
      <c r="Y961" s="334" t="s">
        <v>96</v>
      </c>
      <c r="Z961" s="314" t="s">
        <v>100</v>
      </c>
      <c r="AA961" s="334"/>
      <c r="AD961" s="334"/>
      <c r="AE961" s="334"/>
      <c r="AF961" s="334"/>
      <c r="AG961" s="334"/>
      <c r="AH961" s="334"/>
      <c r="AI961" s="334"/>
      <c r="AJ961" s="334"/>
      <c r="AK961" s="334"/>
      <c r="AL961" s="334"/>
      <c r="AM961" s="334"/>
      <c r="AN961" s="334"/>
      <c r="AO961" s="334"/>
      <c r="AQ961" s="326">
        <v>3298</v>
      </c>
      <c r="AR961" t="s">
        <v>1463</v>
      </c>
      <c r="AV961" s="334"/>
    </row>
    <row r="962" spans="1:51">
      <c r="A962" s="277" t="s">
        <v>759</v>
      </c>
      <c r="B962" s="277" t="s">
        <v>1641</v>
      </c>
      <c r="C962" s="277">
        <f>'Schippers 2005&amp;2006 all'!B96</f>
        <v>368.4</v>
      </c>
      <c r="D962" s="301">
        <f>'Schippers 2005&amp;2006 all'!C96</f>
        <v>2079598.397536705</v>
      </c>
      <c r="H962" s="336"/>
      <c r="M962" s="336"/>
      <c r="N962" s="336"/>
      <c r="O962" s="334"/>
      <c r="P962" s="334"/>
      <c r="R962" s="304" t="s">
        <v>1395</v>
      </c>
      <c r="S962" s="304" t="s">
        <v>52</v>
      </c>
      <c r="T962" s="304" t="s">
        <v>51</v>
      </c>
      <c r="U962" s="323" t="s">
        <v>51</v>
      </c>
      <c r="V962" s="313">
        <v>0.55000000000000004</v>
      </c>
      <c r="W962" s="313">
        <v>0.55000000000000004</v>
      </c>
      <c r="X962" s="306" t="s">
        <v>248</v>
      </c>
      <c r="Y962" s="323" t="s">
        <v>96</v>
      </c>
      <c r="Z962" s="314" t="s">
        <v>100</v>
      </c>
      <c r="AA962" s="334"/>
      <c r="AD962" s="334"/>
      <c r="AE962" s="334"/>
      <c r="AF962" s="334"/>
      <c r="AG962" s="334"/>
      <c r="AH962" s="334"/>
      <c r="AI962" s="334"/>
      <c r="AJ962" s="334"/>
      <c r="AK962" s="334"/>
      <c r="AL962" s="334"/>
      <c r="AM962" s="334"/>
      <c r="AN962" s="334"/>
      <c r="AO962" s="334"/>
      <c r="AQ962" s="326">
        <v>3298</v>
      </c>
      <c r="AR962" t="s">
        <v>1463</v>
      </c>
      <c r="AV962" s="334"/>
    </row>
    <row r="963" spans="1:51">
      <c r="A963" s="277" t="s">
        <v>759</v>
      </c>
      <c r="B963" s="277" t="s">
        <v>1641</v>
      </c>
      <c r="C963" s="277">
        <f>'Schippers 2005&amp;2006 all'!B97</f>
        <v>381</v>
      </c>
      <c r="D963" s="301">
        <f>'Schippers 2005&amp;2006 all'!C97</f>
        <v>2553413.7888139286</v>
      </c>
      <c r="H963" s="336"/>
      <c r="M963" s="336"/>
      <c r="N963" s="336"/>
      <c r="O963" s="334"/>
      <c r="P963" s="334"/>
      <c r="R963" s="304" t="s">
        <v>1395</v>
      </c>
      <c r="S963" s="304" t="s">
        <v>52</v>
      </c>
      <c r="T963" s="304" t="s">
        <v>51</v>
      </c>
      <c r="U963" s="323" t="s">
        <v>51</v>
      </c>
      <c r="V963" s="313">
        <v>0.55000000000000004</v>
      </c>
      <c r="W963" s="313">
        <v>0.55000000000000004</v>
      </c>
      <c r="X963" s="306" t="s">
        <v>248</v>
      </c>
      <c r="Y963" s="323" t="s">
        <v>96</v>
      </c>
      <c r="Z963" s="314" t="s">
        <v>100</v>
      </c>
      <c r="AA963" s="334"/>
      <c r="AD963" s="334"/>
      <c r="AE963" s="334"/>
      <c r="AF963" s="334"/>
      <c r="AG963" s="334"/>
      <c r="AH963" s="334"/>
      <c r="AI963" s="334"/>
      <c r="AJ963" s="334"/>
      <c r="AK963" s="334"/>
      <c r="AL963" s="334"/>
      <c r="AM963" s="334"/>
      <c r="AN963" s="334"/>
      <c r="AO963" s="334"/>
      <c r="AQ963" s="326">
        <v>3298</v>
      </c>
      <c r="AR963" t="s">
        <v>1463</v>
      </c>
      <c r="AV963" s="334"/>
    </row>
    <row r="964" spans="1:51">
      <c r="A964" s="277" t="s">
        <v>759</v>
      </c>
      <c r="B964" s="277" t="s">
        <v>1641</v>
      </c>
      <c r="C964" s="277">
        <f>'Schippers 2005&amp;2006 all'!B98</f>
        <v>401</v>
      </c>
      <c r="D964" s="301">
        <f>'Schippers 2005&amp;2006 all'!C98</f>
        <v>2525921.2696262728</v>
      </c>
      <c r="E964" s="301">
        <f>'Schippers 2005&amp;2006 all'!E98</f>
        <v>1535607.5083089177</v>
      </c>
      <c r="G964" s="301">
        <f>E964+F964</f>
        <v>1535607.5083089177</v>
      </c>
      <c r="H964" s="336">
        <f>G964/D964</f>
        <v>0.60793957704632706</v>
      </c>
      <c r="M964" s="336">
        <v>0</v>
      </c>
      <c r="N964" s="336"/>
      <c r="O964" s="334" t="s">
        <v>1247</v>
      </c>
      <c r="P964" s="334"/>
      <c r="Q964" s="301" t="b">
        <v>1</v>
      </c>
      <c r="R964" s="304" t="s">
        <v>1395</v>
      </c>
      <c r="S964" s="304" t="s">
        <v>52</v>
      </c>
      <c r="T964" s="304" t="s">
        <v>51</v>
      </c>
      <c r="U964" s="323" t="s">
        <v>51</v>
      </c>
      <c r="V964" s="313">
        <v>0.55000000000000004</v>
      </c>
      <c r="W964" s="313">
        <v>0.55000000000000004</v>
      </c>
      <c r="X964" s="306" t="s">
        <v>248</v>
      </c>
      <c r="Y964" s="334" t="s">
        <v>96</v>
      </c>
      <c r="Z964" s="314" t="s">
        <v>100</v>
      </c>
      <c r="AA964" s="334"/>
      <c r="AB964" s="334" t="s">
        <v>311</v>
      </c>
      <c r="AC964" s="334" t="s">
        <v>1702</v>
      </c>
      <c r="AD964" s="334"/>
      <c r="AE964" s="334"/>
      <c r="AF964" s="334"/>
      <c r="AG964" s="334"/>
      <c r="AH964" s="334"/>
      <c r="AI964" s="334"/>
      <c r="AJ964" s="334"/>
      <c r="AK964" s="334"/>
      <c r="AL964" s="334"/>
      <c r="AM964" s="334"/>
      <c r="AN964" s="334"/>
      <c r="AO964" s="334"/>
      <c r="AQ964" s="326">
        <v>3298</v>
      </c>
      <c r="AR964" t="s">
        <v>1463</v>
      </c>
      <c r="AV964" s="334"/>
    </row>
    <row r="965" spans="1:51">
      <c r="A965" s="277" t="s">
        <v>759</v>
      </c>
      <c r="B965" s="277" t="s">
        <v>1641</v>
      </c>
      <c r="C965" s="277">
        <f>'Schippers 2005&amp;2006 all'!B99</f>
        <v>401.7</v>
      </c>
      <c r="D965" s="301">
        <f>'Schippers 2005&amp;2006 all'!C99</f>
        <v>2525921.2696262728</v>
      </c>
      <c r="H965" s="336"/>
      <c r="M965" s="336"/>
      <c r="N965" s="336"/>
      <c r="O965" s="334"/>
      <c r="P965" s="334"/>
      <c r="R965" s="304" t="s">
        <v>1395</v>
      </c>
      <c r="S965" s="304" t="s">
        <v>52</v>
      </c>
      <c r="T965" s="304" t="s">
        <v>51</v>
      </c>
      <c r="U965" s="323" t="s">
        <v>51</v>
      </c>
      <c r="V965" s="313">
        <v>0.55000000000000004</v>
      </c>
      <c r="W965" s="313">
        <v>0.55000000000000004</v>
      </c>
      <c r="X965" s="306" t="s">
        <v>248</v>
      </c>
      <c r="Y965" s="328" t="s">
        <v>96</v>
      </c>
      <c r="Z965" s="314" t="s">
        <v>100</v>
      </c>
      <c r="AA965" s="334"/>
      <c r="AD965" s="334"/>
      <c r="AE965" s="334"/>
      <c r="AF965" s="334"/>
      <c r="AG965" s="334"/>
      <c r="AH965" s="334"/>
      <c r="AI965" s="334"/>
      <c r="AJ965" s="334"/>
      <c r="AK965" s="334"/>
      <c r="AL965" s="334"/>
      <c r="AM965" s="334"/>
      <c r="AN965" s="334"/>
      <c r="AO965" s="334"/>
      <c r="AQ965" s="326">
        <v>3298</v>
      </c>
      <c r="AR965" t="s">
        <v>1463</v>
      </c>
      <c r="AV965" s="334"/>
    </row>
    <row r="966" spans="1:51">
      <c r="A966" s="277" t="s">
        <v>759</v>
      </c>
      <c r="B966" s="277" t="s">
        <v>1641</v>
      </c>
      <c r="C966" s="277">
        <f>'Schippers 2005&amp;2006 all'!B100</f>
        <v>411</v>
      </c>
      <c r="D966" s="301">
        <f>'Schippers 2005&amp;2006 all'!C100</f>
        <v>1139203.6054832372</v>
      </c>
      <c r="E966" s="301">
        <f>'Schippers 2005&amp;2006 all'!E100</f>
        <v>950250.3718117472</v>
      </c>
      <c r="G966" s="301">
        <f>E966+F966</f>
        <v>950250.3718117472</v>
      </c>
      <c r="H966" s="336">
        <f>G966/D966</f>
        <v>0.83413567797537103</v>
      </c>
      <c r="M966" s="336">
        <v>0</v>
      </c>
      <c r="N966" s="336"/>
      <c r="O966" s="334" t="s">
        <v>1247</v>
      </c>
      <c r="P966" s="334"/>
      <c r="Q966" s="301" t="b">
        <v>1</v>
      </c>
      <c r="R966" s="304" t="s">
        <v>1395</v>
      </c>
      <c r="S966" s="304" t="s">
        <v>52</v>
      </c>
      <c r="T966" s="304" t="s">
        <v>51</v>
      </c>
      <c r="U966" s="323" t="s">
        <v>51</v>
      </c>
      <c r="V966" s="313">
        <v>0.55000000000000004</v>
      </c>
      <c r="W966" s="313">
        <v>0.55000000000000004</v>
      </c>
      <c r="X966" s="306" t="s">
        <v>248</v>
      </c>
      <c r="Y966" s="334" t="s">
        <v>96</v>
      </c>
      <c r="Z966" s="314" t="s">
        <v>100</v>
      </c>
      <c r="AA966" s="334"/>
      <c r="AB966" s="334" t="s">
        <v>311</v>
      </c>
      <c r="AC966" s="334" t="s">
        <v>1702</v>
      </c>
      <c r="AD966" s="334"/>
      <c r="AE966" s="334"/>
      <c r="AF966" s="334"/>
      <c r="AG966" s="334"/>
      <c r="AH966" s="334"/>
      <c r="AI966" s="334"/>
      <c r="AJ966" s="334"/>
      <c r="AK966" s="334"/>
      <c r="AL966" s="334"/>
      <c r="AM966" s="334"/>
      <c r="AN966" s="334"/>
      <c r="AO966" s="334"/>
      <c r="AQ966" s="326">
        <v>3298</v>
      </c>
      <c r="AR966" t="s">
        <v>1463</v>
      </c>
      <c r="AV966" s="334"/>
    </row>
    <row r="967" spans="1:51">
      <c r="A967" s="277" t="s">
        <v>759</v>
      </c>
      <c r="B967" s="277" t="s">
        <v>1641</v>
      </c>
      <c r="C967" s="277">
        <f>'Schippers 2005&amp;2006 all'!B101</f>
        <v>411.3</v>
      </c>
      <c r="D967" s="301">
        <f>'Schippers 2005&amp;2006 all'!C101</f>
        <v>1139203.6054832372</v>
      </c>
      <c r="H967" s="336"/>
      <c r="M967" s="336"/>
      <c r="N967" s="336"/>
      <c r="O967" s="334"/>
      <c r="P967" s="334"/>
      <c r="R967" s="304" t="s">
        <v>1395</v>
      </c>
      <c r="S967" s="304" t="s">
        <v>52</v>
      </c>
      <c r="T967" s="304" t="s">
        <v>51</v>
      </c>
      <c r="U967" s="323" t="s">
        <v>51</v>
      </c>
      <c r="V967" s="313">
        <v>0.55000000000000004</v>
      </c>
      <c r="W967" s="313">
        <v>0.55000000000000004</v>
      </c>
      <c r="X967" s="306" t="s">
        <v>248</v>
      </c>
      <c r="Y967" s="334" t="s">
        <v>96</v>
      </c>
      <c r="Z967" s="314" t="s">
        <v>100</v>
      </c>
      <c r="AA967" s="334"/>
      <c r="AD967" s="334"/>
      <c r="AE967" s="334"/>
      <c r="AF967" s="334"/>
      <c r="AG967" s="334"/>
      <c r="AH967" s="334"/>
      <c r="AI967" s="334"/>
      <c r="AJ967" s="334"/>
      <c r="AK967" s="334"/>
      <c r="AL967" s="334"/>
      <c r="AM967" s="334"/>
      <c r="AN967" s="334"/>
      <c r="AO967" s="334"/>
      <c r="AQ967" s="326">
        <v>3298</v>
      </c>
      <c r="AR967" t="s">
        <v>1463</v>
      </c>
      <c r="AV967" s="334"/>
    </row>
    <row r="968" spans="1:51">
      <c r="A968" s="277" t="s">
        <v>759</v>
      </c>
      <c r="B968" s="277" t="s">
        <v>1641</v>
      </c>
      <c r="C968" s="277">
        <f>'Schippers 2005&amp;2006 all'!B102</f>
        <v>419.4</v>
      </c>
      <c r="D968" s="301">
        <f>'Schippers 2005&amp;2006 all'!C102</f>
        <v>1448694.6759140373</v>
      </c>
      <c r="H968" s="336"/>
      <c r="M968" s="336"/>
      <c r="N968" s="336"/>
      <c r="O968" s="334"/>
      <c r="P968" s="334"/>
      <c r="R968" s="304" t="s">
        <v>1395</v>
      </c>
      <c r="S968" s="304" t="s">
        <v>52</v>
      </c>
      <c r="T968" s="304" t="s">
        <v>51</v>
      </c>
      <c r="U968" s="323" t="s">
        <v>51</v>
      </c>
      <c r="V968" s="313">
        <v>0.55000000000000004</v>
      </c>
      <c r="W968" s="313">
        <v>0.55000000000000004</v>
      </c>
      <c r="X968" s="306" t="s">
        <v>248</v>
      </c>
      <c r="Y968" s="328" t="s">
        <v>96</v>
      </c>
      <c r="Z968" s="314" t="s">
        <v>100</v>
      </c>
      <c r="AA968" s="334"/>
      <c r="AD968" s="334"/>
      <c r="AE968" s="334"/>
      <c r="AF968" s="334"/>
      <c r="AG968" s="334"/>
      <c r="AH968" s="334"/>
      <c r="AI968" s="334"/>
      <c r="AJ968" s="334"/>
      <c r="AK968" s="334"/>
      <c r="AL968" s="334"/>
      <c r="AM968" s="334"/>
      <c r="AN968" s="334"/>
      <c r="AO968" s="334"/>
      <c r="AQ968" s="326">
        <v>3298</v>
      </c>
      <c r="AR968" t="s">
        <v>1463</v>
      </c>
      <c r="AV968" s="334"/>
    </row>
    <row r="969" spans="1:51">
      <c r="A969" s="277" t="s">
        <v>759</v>
      </c>
      <c r="B969" s="277" t="s">
        <v>1641</v>
      </c>
      <c r="C969" s="277">
        <f>'Schippers 2005&amp;2006 all'!B103</f>
        <v>421</v>
      </c>
      <c r="D969" s="301">
        <f>'Schippers 2005&amp;2006 all'!C103</f>
        <v>1448694.6759140373</v>
      </c>
      <c r="E969" s="301">
        <f>'Schippers 2005&amp;2006 all'!E103</f>
        <v>268457.0153050645</v>
      </c>
      <c r="G969" s="301">
        <f>E969+F969</f>
        <v>268457.0153050645</v>
      </c>
      <c r="H969" s="336">
        <f>G969/D969</f>
        <v>0.18530958922430266</v>
      </c>
      <c r="M969" s="336">
        <v>0</v>
      </c>
      <c r="N969" s="336"/>
      <c r="O969" s="334" t="s">
        <v>1247</v>
      </c>
      <c r="P969" s="334"/>
      <c r="Q969" s="301" t="b">
        <v>1</v>
      </c>
      <c r="R969" s="304" t="s">
        <v>1395</v>
      </c>
      <c r="S969" s="304" t="s">
        <v>52</v>
      </c>
      <c r="T969" s="304" t="s">
        <v>51</v>
      </c>
      <c r="U969" s="323" t="s">
        <v>51</v>
      </c>
      <c r="V969" s="313">
        <v>0.55000000000000004</v>
      </c>
      <c r="W969" s="313">
        <v>0.55000000000000004</v>
      </c>
      <c r="X969" s="306" t="s">
        <v>248</v>
      </c>
      <c r="Y969" s="326" t="s">
        <v>96</v>
      </c>
      <c r="Z969" s="314" t="s">
        <v>100</v>
      </c>
      <c r="AA969" s="334"/>
      <c r="AB969" s="334" t="s">
        <v>311</v>
      </c>
      <c r="AC969" s="334" t="s">
        <v>1702</v>
      </c>
      <c r="AD969" s="334"/>
      <c r="AE969" s="334"/>
      <c r="AF969" s="334"/>
      <c r="AG969" s="334"/>
      <c r="AH969" s="334"/>
      <c r="AI969" s="334"/>
      <c r="AJ969" s="334"/>
      <c r="AK969" s="334"/>
      <c r="AL969" s="334"/>
      <c r="AM969" s="334"/>
      <c r="AN969" s="334"/>
      <c r="AO969" s="334"/>
      <c r="AQ969" s="326">
        <v>3298</v>
      </c>
      <c r="AR969" t="s">
        <v>1463</v>
      </c>
      <c r="AV969" s="334"/>
    </row>
    <row r="970" spans="1:51">
      <c r="A970" s="277" t="s">
        <v>759</v>
      </c>
      <c r="B970" s="334" t="s">
        <v>1665</v>
      </c>
      <c r="C970" s="277">
        <f>'Schippers 2005&amp;2006 all'!B104</f>
        <v>0.15</v>
      </c>
      <c r="D970" s="301">
        <f>'Schippers 2005&amp;2006 all'!C104</f>
        <v>48619392.164123654</v>
      </c>
      <c r="H970" s="336"/>
      <c r="M970" s="336"/>
      <c r="N970" s="336"/>
      <c r="O970" s="334"/>
      <c r="P970" s="334"/>
      <c r="R970" s="304" t="s">
        <v>1395</v>
      </c>
      <c r="S970" s="304" t="s">
        <v>52</v>
      </c>
      <c r="T970" s="304" t="s">
        <v>51</v>
      </c>
      <c r="U970" s="323" t="s">
        <v>51</v>
      </c>
      <c r="V970" s="313">
        <v>0.55000000000000004</v>
      </c>
      <c r="W970" s="313">
        <v>0.55000000000000004</v>
      </c>
      <c r="X970" s="306" t="s">
        <v>248</v>
      </c>
      <c r="Y970" s="326" t="s">
        <v>96</v>
      </c>
      <c r="Z970" s="314" t="s">
        <v>100</v>
      </c>
      <c r="AA970" s="334"/>
      <c r="AD970" s="334"/>
      <c r="AE970" s="334"/>
      <c r="AF970" s="334"/>
      <c r="AG970" s="334"/>
      <c r="AH970" s="334"/>
      <c r="AI970" s="334"/>
      <c r="AJ970" s="334"/>
      <c r="AK970" s="334"/>
      <c r="AL970" s="334"/>
      <c r="AM970" s="334"/>
      <c r="AN970" s="334"/>
      <c r="AO970" s="334"/>
      <c r="AQ970" s="326">
        <v>427</v>
      </c>
      <c r="AR970" t="s">
        <v>1463</v>
      </c>
      <c r="AV970" s="334"/>
    </row>
    <row r="971" spans="1:51">
      <c r="A971" s="277" t="s">
        <v>759</v>
      </c>
      <c r="B971" s="334" t="s">
        <v>1665</v>
      </c>
      <c r="C971" s="277">
        <f>'Schippers 2005&amp;2006 all'!B105</f>
        <v>0.35</v>
      </c>
      <c r="D971" s="301">
        <f>'Schippers 2005&amp;2006 all'!C105</f>
        <v>48619392.164123654</v>
      </c>
      <c r="H971" s="336"/>
      <c r="I971" s="301">
        <f>'Schippers 2005&amp;2006 all'!H105</f>
        <v>14296001.995665399</v>
      </c>
      <c r="J971" s="301">
        <f>'Schippers 2005&amp;2006 all'!I105</f>
        <v>13204190.0566124</v>
      </c>
      <c r="K971" s="301">
        <f>'Schippers 2005&amp;2006 all'!J105</f>
        <v>27500192.0522778</v>
      </c>
      <c r="M971" s="336"/>
      <c r="N971" s="336">
        <f>J971/K971</f>
        <v>0.48014901246912262</v>
      </c>
      <c r="O971" s="334"/>
      <c r="P971" s="334"/>
      <c r="R971" s="304" t="s">
        <v>1395</v>
      </c>
      <c r="S971" s="304" t="s">
        <v>52</v>
      </c>
      <c r="T971" s="304" t="s">
        <v>51</v>
      </c>
      <c r="U971" s="323" t="s">
        <v>51</v>
      </c>
      <c r="V971" s="313">
        <v>0.55000000000000004</v>
      </c>
      <c r="W971" s="313">
        <v>0.55000000000000004</v>
      </c>
      <c r="X971" s="306" t="s">
        <v>248</v>
      </c>
      <c r="Y971" s="328" t="s">
        <v>96</v>
      </c>
      <c r="Z971" s="314" t="s">
        <v>100</v>
      </c>
      <c r="AA971" s="334" t="s">
        <v>1495</v>
      </c>
      <c r="AD971" s="334" t="s">
        <v>1717</v>
      </c>
      <c r="AE971" s="334" t="s">
        <v>1725</v>
      </c>
      <c r="AF971" s="334" t="s">
        <v>1735</v>
      </c>
      <c r="AG971" s="334" t="s">
        <v>1707</v>
      </c>
      <c r="AH971" s="334" t="s">
        <v>1714</v>
      </c>
      <c r="AI971" s="334" t="s">
        <v>1496</v>
      </c>
      <c r="AJ971" s="334" t="s">
        <v>1487</v>
      </c>
      <c r="AK971" s="334" t="s">
        <v>1488</v>
      </c>
      <c r="AL971" s="334" t="s">
        <v>1497</v>
      </c>
      <c r="AM971" s="334"/>
      <c r="AN971" s="334"/>
      <c r="AO971" s="334" t="s">
        <v>1494</v>
      </c>
      <c r="AQ971" s="326">
        <v>427</v>
      </c>
      <c r="AR971" t="s">
        <v>1463</v>
      </c>
      <c r="AV971" s="334" t="b">
        <v>1</v>
      </c>
      <c r="AW971" t="b">
        <v>1</v>
      </c>
      <c r="AX971" t="b">
        <v>1</v>
      </c>
      <c r="AY971" t="b">
        <v>1</v>
      </c>
    </row>
    <row r="972" spans="1:51">
      <c r="A972" s="277" t="s">
        <v>759</v>
      </c>
      <c r="B972" s="334" t="s">
        <v>1665</v>
      </c>
      <c r="C972" s="277">
        <f>'Schippers 2005&amp;2006 all'!B106</f>
        <v>0.6</v>
      </c>
      <c r="I972" s="301">
        <f>'Schippers 2005&amp;2006 all'!H106</f>
        <v>47326010.7989375</v>
      </c>
      <c r="J972" s="301">
        <f>'Schippers 2005&amp;2006 all'!I106</f>
        <v>9653880.05233947</v>
      </c>
      <c r="K972" s="301">
        <f>'Schippers 2005&amp;2006 all'!J106</f>
        <v>56979890.851276971</v>
      </c>
      <c r="N972" s="27">
        <f>J972/K972</f>
        <v>0.16942608889050054</v>
      </c>
      <c r="P972" s="286"/>
      <c r="R972" s="304" t="s">
        <v>1395</v>
      </c>
      <c r="S972" s="304" t="s">
        <v>52</v>
      </c>
      <c r="T972" s="304" t="s">
        <v>51</v>
      </c>
      <c r="U972" s="323" t="s">
        <v>51</v>
      </c>
      <c r="V972" s="313">
        <v>0.55000000000000004</v>
      </c>
      <c r="W972" s="313">
        <v>0.55000000000000004</v>
      </c>
      <c r="X972" s="306" t="s">
        <v>248</v>
      </c>
      <c r="Y972" s="334" t="s">
        <v>96</v>
      </c>
      <c r="Z972" s="314" t="s">
        <v>100</v>
      </c>
      <c r="AA972" s="326" t="s">
        <v>1495</v>
      </c>
      <c r="AD972" s="326" t="s">
        <v>1717</v>
      </c>
      <c r="AE972" s="326" t="s">
        <v>1725</v>
      </c>
      <c r="AF972" s="326" t="s">
        <v>1735</v>
      </c>
      <c r="AG972" s="326" t="s">
        <v>1707</v>
      </c>
      <c r="AH972" s="326" t="s">
        <v>1714</v>
      </c>
      <c r="AI972" s="326" t="s">
        <v>1496</v>
      </c>
      <c r="AJ972" s="326" t="s">
        <v>1487</v>
      </c>
      <c r="AK972" s="326" t="s">
        <v>1488</v>
      </c>
      <c r="AL972" s="326" t="s">
        <v>1497</v>
      </c>
      <c r="AO972" s="326" t="s">
        <v>1494</v>
      </c>
      <c r="AQ972" s="326">
        <v>427</v>
      </c>
      <c r="AR972" s="322" t="s">
        <v>1463</v>
      </c>
      <c r="AV972" s="326" t="b">
        <v>1</v>
      </c>
      <c r="AW972" t="b">
        <v>1</v>
      </c>
      <c r="AX972" t="b">
        <v>1</v>
      </c>
      <c r="AY972" t="b">
        <v>1</v>
      </c>
    </row>
    <row r="973" spans="1:51">
      <c r="A973" s="277" t="s">
        <v>759</v>
      </c>
      <c r="B973" s="334" t="s">
        <v>1665</v>
      </c>
      <c r="C973" s="277">
        <f>'Schippers 2005&amp;2006 all'!B107</f>
        <v>1</v>
      </c>
      <c r="E973" s="301">
        <f>'Schippers 2005&amp;2006 all'!E107</f>
        <v>573420.36266276392</v>
      </c>
      <c r="G973" s="301">
        <f>E973+F973</f>
        <v>573420.36266276392</v>
      </c>
      <c r="H973" s="181"/>
      <c r="M973" s="27">
        <v>0</v>
      </c>
      <c r="O973" t="s">
        <v>1247</v>
      </c>
      <c r="P973" s="324"/>
      <c r="Q973" s="301" t="b">
        <v>1</v>
      </c>
      <c r="R973" s="304" t="s">
        <v>1395</v>
      </c>
      <c r="S973" s="304" t="s">
        <v>52</v>
      </c>
      <c r="T973" s="304" t="s">
        <v>51</v>
      </c>
      <c r="U973" s="326" t="s">
        <v>51</v>
      </c>
      <c r="V973" s="313">
        <v>0.55000000000000004</v>
      </c>
      <c r="W973" s="313">
        <v>0.55000000000000004</v>
      </c>
      <c r="X973" s="306" t="s">
        <v>248</v>
      </c>
      <c r="Y973" s="334" t="s">
        <v>96</v>
      </c>
      <c r="Z973" s="314" t="s">
        <v>100</v>
      </c>
      <c r="AB973" s="334" t="s">
        <v>311</v>
      </c>
      <c r="AC973" s="334" t="s">
        <v>1702</v>
      </c>
      <c r="AQ973" s="326">
        <v>427</v>
      </c>
      <c r="AR973" s="322" t="s">
        <v>1463</v>
      </c>
    </row>
    <row r="974" spans="1:51">
      <c r="A974" s="277" t="s">
        <v>759</v>
      </c>
      <c r="B974" s="334" t="s">
        <v>1665</v>
      </c>
      <c r="C974" s="277">
        <f>'Schippers 2005&amp;2006 all'!B108</f>
        <v>2</v>
      </c>
      <c r="E974" s="301">
        <f>'Schippers 2005&amp;2006 all'!E108</f>
        <v>223759.27729649353</v>
      </c>
      <c r="G974" s="301">
        <f>E974+F974</f>
        <v>223759.27729649353</v>
      </c>
      <c r="M974" s="27">
        <v>0</v>
      </c>
      <c r="O974" t="s">
        <v>1247</v>
      </c>
      <c r="P974" s="293"/>
      <c r="Q974" s="301" t="b">
        <v>1</v>
      </c>
      <c r="R974" s="304" t="s">
        <v>1395</v>
      </c>
      <c r="S974" s="304" t="s">
        <v>52</v>
      </c>
      <c r="T974" s="304" t="s">
        <v>51</v>
      </c>
      <c r="U974" s="326" t="s">
        <v>51</v>
      </c>
      <c r="V974" s="313">
        <v>0.55000000000000004</v>
      </c>
      <c r="W974" s="313">
        <v>0.55000000000000004</v>
      </c>
      <c r="X974" s="306" t="s">
        <v>248</v>
      </c>
      <c r="Y974" s="334" t="s">
        <v>96</v>
      </c>
      <c r="Z974" s="314" t="s">
        <v>100</v>
      </c>
      <c r="AB974" s="334" t="s">
        <v>311</v>
      </c>
      <c r="AC974" s="334" t="s">
        <v>1702</v>
      </c>
      <c r="AQ974" s="326">
        <v>427</v>
      </c>
      <c r="AR974" s="322" t="s">
        <v>1463</v>
      </c>
    </row>
    <row r="975" spans="1:51">
      <c r="A975" s="277" t="s">
        <v>759</v>
      </c>
      <c r="B975" s="334" t="s">
        <v>1665</v>
      </c>
      <c r="C975" s="277">
        <f>'Schippers 2005&amp;2006 all'!B109</f>
        <v>3.28</v>
      </c>
      <c r="D975" s="301">
        <f>'Schippers 2005&amp;2006 all'!C109</f>
        <v>93072464.529758841</v>
      </c>
      <c r="P975" s="286"/>
      <c r="R975" s="304" t="s">
        <v>1395</v>
      </c>
      <c r="S975" s="304" t="s">
        <v>52</v>
      </c>
      <c r="T975" s="304" t="s">
        <v>51</v>
      </c>
      <c r="U975" s="326" t="s">
        <v>51</v>
      </c>
      <c r="V975" s="313">
        <v>0.55000000000000004</v>
      </c>
      <c r="W975" s="313">
        <v>0.55000000000000004</v>
      </c>
      <c r="X975" s="306" t="s">
        <v>248</v>
      </c>
      <c r="Y975" s="334" t="s">
        <v>96</v>
      </c>
      <c r="Z975" s="314" t="s">
        <v>100</v>
      </c>
      <c r="AQ975" s="326">
        <v>427</v>
      </c>
      <c r="AR975" s="322" t="s">
        <v>1463</v>
      </c>
    </row>
    <row r="976" spans="1:51">
      <c r="A976" s="277" t="s">
        <v>759</v>
      </c>
      <c r="B976" s="334" t="s">
        <v>1665</v>
      </c>
      <c r="C976" s="277">
        <f>'Schippers 2005&amp;2006 all'!B110</f>
        <v>3.49</v>
      </c>
      <c r="D976" s="301">
        <f>'Schippers 2005&amp;2006 all'!C110</f>
        <v>93072464.529758841</v>
      </c>
      <c r="I976" s="301">
        <f>'Schippers 2005&amp;2006 all'!H110</f>
        <v>20398666.3368164</v>
      </c>
      <c r="J976" s="301">
        <f>'Schippers 2005&amp;2006 all'!I110</f>
        <v>8550091.7322941292</v>
      </c>
      <c r="K976" s="301">
        <f>'Schippers 2005&amp;2006 all'!J110</f>
        <v>28948758.069110528</v>
      </c>
      <c r="N976" s="27">
        <f>J976/K976</f>
        <v>0.29535262659220657</v>
      </c>
      <c r="P976" s="286"/>
      <c r="R976" s="304" t="s">
        <v>1395</v>
      </c>
      <c r="S976" s="304" t="s">
        <v>52</v>
      </c>
      <c r="T976" s="304" t="s">
        <v>51</v>
      </c>
      <c r="U976" s="326" t="s">
        <v>51</v>
      </c>
      <c r="V976" s="313">
        <v>0.55000000000000004</v>
      </c>
      <c r="W976" s="313">
        <v>0.55000000000000004</v>
      </c>
      <c r="X976" s="306" t="s">
        <v>248</v>
      </c>
      <c r="Y976" s="327" t="s">
        <v>96</v>
      </c>
      <c r="Z976" s="314" t="s">
        <v>100</v>
      </c>
      <c r="AA976" s="326" t="s">
        <v>1495</v>
      </c>
      <c r="AD976" s="326" t="s">
        <v>1717</v>
      </c>
      <c r="AE976" s="326" t="s">
        <v>1725</v>
      </c>
      <c r="AF976" s="326" t="s">
        <v>1735</v>
      </c>
      <c r="AG976" s="326" t="s">
        <v>1707</v>
      </c>
      <c r="AH976" s="326" t="s">
        <v>1714</v>
      </c>
      <c r="AI976" s="326" t="s">
        <v>1496</v>
      </c>
      <c r="AJ976" s="326" t="s">
        <v>1487</v>
      </c>
      <c r="AK976" s="326" t="s">
        <v>1488</v>
      </c>
      <c r="AL976" s="326" t="s">
        <v>1497</v>
      </c>
      <c r="AO976" s="326" t="s">
        <v>1494</v>
      </c>
      <c r="AQ976" s="326">
        <v>427</v>
      </c>
      <c r="AR976" s="322" t="s">
        <v>1463</v>
      </c>
      <c r="AV976" s="326" t="b">
        <v>1</v>
      </c>
      <c r="AW976" t="b">
        <v>1</v>
      </c>
      <c r="AX976" t="b">
        <v>1</v>
      </c>
      <c r="AY976" t="b">
        <v>1</v>
      </c>
    </row>
    <row r="977" spans="1:51">
      <c r="A977" s="277" t="s">
        <v>759</v>
      </c>
      <c r="B977" s="334" t="s">
        <v>1665</v>
      </c>
      <c r="C977" s="277">
        <f>'Schippers 2005&amp;2006 all'!B111</f>
        <v>3.6</v>
      </c>
      <c r="D977" s="301">
        <f>'Schippers 2005&amp;2006 all'!C111</f>
        <v>93072464.529758841</v>
      </c>
      <c r="I977" s="301">
        <f>'Schippers 2005&amp;2006 all'!H111</f>
        <v>72244518.098389298</v>
      </c>
      <c r="J977" s="301">
        <f>'Schippers 2005&amp;2006 all'!I111</f>
        <v>8078211.7295576204</v>
      </c>
      <c r="K977" s="301">
        <f>'Schippers 2005&amp;2006 all'!J111</f>
        <v>80322729.827946916</v>
      </c>
      <c r="N977" s="27">
        <f>J977/K977</f>
        <v>0.10057192711031274</v>
      </c>
      <c r="P977" s="286"/>
      <c r="R977" s="304" t="s">
        <v>1395</v>
      </c>
      <c r="S977" s="304" t="s">
        <v>52</v>
      </c>
      <c r="T977" s="304" t="s">
        <v>51</v>
      </c>
      <c r="U977" s="326" t="s">
        <v>51</v>
      </c>
      <c r="V977" s="313">
        <v>0.55000000000000004</v>
      </c>
      <c r="W977" s="313">
        <v>0.55000000000000004</v>
      </c>
      <c r="X977" s="306" t="s">
        <v>248</v>
      </c>
      <c r="Y977" s="334" t="s">
        <v>96</v>
      </c>
      <c r="Z977" s="314" t="s">
        <v>100</v>
      </c>
      <c r="AA977" s="326" t="s">
        <v>1495</v>
      </c>
      <c r="AD977" s="326" t="s">
        <v>1717</v>
      </c>
      <c r="AE977" s="326" t="s">
        <v>1725</v>
      </c>
      <c r="AF977" s="326" t="s">
        <v>1735</v>
      </c>
      <c r="AG977" s="326" t="s">
        <v>1707</v>
      </c>
      <c r="AH977" s="326" t="s">
        <v>1714</v>
      </c>
      <c r="AI977" s="326" t="s">
        <v>1496</v>
      </c>
      <c r="AJ977" s="326" t="s">
        <v>1487</v>
      </c>
      <c r="AK977" s="326" t="s">
        <v>1488</v>
      </c>
      <c r="AL977" s="326" t="s">
        <v>1497</v>
      </c>
      <c r="AO977" s="326" t="s">
        <v>1494</v>
      </c>
      <c r="AQ977" s="326">
        <v>427</v>
      </c>
      <c r="AR977" s="322" t="s">
        <v>1463</v>
      </c>
      <c r="AV977" s="326" t="b">
        <v>1</v>
      </c>
      <c r="AW977" t="b">
        <v>1</v>
      </c>
      <c r="AX977" t="b">
        <v>1</v>
      </c>
      <c r="AY977" t="b">
        <v>1</v>
      </c>
    </row>
    <row r="978" spans="1:51">
      <c r="A978" s="277" t="s">
        <v>759</v>
      </c>
      <c r="B978" s="334" t="s">
        <v>1665</v>
      </c>
      <c r="C978" s="277">
        <f>'Schippers 2005&amp;2006 all'!B112</f>
        <v>4</v>
      </c>
      <c r="D978" s="301">
        <f>'Schippers 2005&amp;2006 all'!C112</f>
        <v>93072464.529758841</v>
      </c>
      <c r="E978" s="301">
        <f>'Schippers 2005&amp;2006 all'!E112</f>
        <v>622893.7417816103</v>
      </c>
      <c r="G978" s="301">
        <f>E978+F978</f>
        <v>622893.7417816103</v>
      </c>
      <c r="H978" s="27">
        <f>G978/D978</f>
        <v>6.6925673981959215E-3</v>
      </c>
      <c r="M978" s="27">
        <v>0</v>
      </c>
      <c r="O978" t="s">
        <v>1247</v>
      </c>
      <c r="P978" s="286"/>
      <c r="Q978" s="301" t="b">
        <v>1</v>
      </c>
      <c r="R978" s="304" t="s">
        <v>1395</v>
      </c>
      <c r="S978" s="304" t="s">
        <v>52</v>
      </c>
      <c r="T978" s="304" t="s">
        <v>51</v>
      </c>
      <c r="U978" s="323" t="s">
        <v>51</v>
      </c>
      <c r="V978" s="313">
        <v>0.55000000000000004</v>
      </c>
      <c r="W978" s="313">
        <v>0.55000000000000004</v>
      </c>
      <c r="X978" s="306" t="s">
        <v>248</v>
      </c>
      <c r="Y978" s="334" t="s">
        <v>96</v>
      </c>
      <c r="Z978" s="314" t="s">
        <v>100</v>
      </c>
      <c r="AB978" s="334" t="s">
        <v>311</v>
      </c>
      <c r="AC978" s="334" t="s">
        <v>1702</v>
      </c>
      <c r="AQ978" s="326">
        <v>427</v>
      </c>
      <c r="AR978" s="322" t="s">
        <v>1463</v>
      </c>
    </row>
    <row r="979" spans="1:51">
      <c r="A979" s="277" t="s">
        <v>759</v>
      </c>
      <c r="B979" s="334" t="s">
        <v>1665</v>
      </c>
      <c r="C979" s="277">
        <f>'Schippers 2005&amp;2006 all'!B113</f>
        <v>6</v>
      </c>
      <c r="D979" s="301">
        <f>'Schippers 2005&amp;2006 all'!C113</f>
        <v>25876194.261187751</v>
      </c>
      <c r="E979" s="301">
        <f>'Schippers 2005&amp;2006 all'!E113</f>
        <v>207528.59956118526</v>
      </c>
      <c r="G979" s="301">
        <f>E979+F979</f>
        <v>207528.59956118526</v>
      </c>
      <c r="H979" s="27">
        <f>G979/D979</f>
        <v>8.0200588025597635E-3</v>
      </c>
      <c r="M979" s="27">
        <v>0</v>
      </c>
      <c r="O979" t="s">
        <v>1247</v>
      </c>
      <c r="P979" s="286"/>
      <c r="Q979" s="301" t="b">
        <v>1</v>
      </c>
      <c r="R979" s="304" t="s">
        <v>1395</v>
      </c>
      <c r="S979" s="304" t="s">
        <v>52</v>
      </c>
      <c r="T979" s="304" t="s">
        <v>51</v>
      </c>
      <c r="U979" s="304" t="s">
        <v>51</v>
      </c>
      <c r="V979" s="313">
        <v>0.55000000000000004</v>
      </c>
      <c r="W979" s="313">
        <v>0.55000000000000004</v>
      </c>
      <c r="X979" s="306" t="s">
        <v>248</v>
      </c>
      <c r="Y979" s="334" t="s">
        <v>96</v>
      </c>
      <c r="Z979" s="314" t="s">
        <v>100</v>
      </c>
      <c r="AB979" s="334" t="s">
        <v>311</v>
      </c>
      <c r="AC979" s="334" t="s">
        <v>1702</v>
      </c>
      <c r="AQ979" s="326">
        <v>427</v>
      </c>
      <c r="AR979" s="322" t="s">
        <v>1463</v>
      </c>
    </row>
    <row r="980" spans="1:51">
      <c r="A980" s="277" t="s">
        <v>759</v>
      </c>
      <c r="B980" s="334" t="s">
        <v>1665</v>
      </c>
      <c r="C980" s="277">
        <f>'Schippers 2005&amp;2006 all'!B114</f>
        <v>6.28</v>
      </c>
      <c r="D980" s="301">
        <f>'Schippers 2005&amp;2006 all'!C114</f>
        <v>25876194.261187751</v>
      </c>
      <c r="P980" s="286"/>
      <c r="R980" s="304" t="s">
        <v>1395</v>
      </c>
      <c r="S980" s="304" t="s">
        <v>52</v>
      </c>
      <c r="T980" s="304" t="s">
        <v>51</v>
      </c>
      <c r="U980" s="304" t="s">
        <v>51</v>
      </c>
      <c r="V980" s="313">
        <v>0.55000000000000004</v>
      </c>
      <c r="W980" s="313">
        <v>0.55000000000000004</v>
      </c>
      <c r="X980" s="306" t="s">
        <v>248</v>
      </c>
      <c r="Y980" s="334" t="s">
        <v>96</v>
      </c>
      <c r="Z980" s="314" t="s">
        <v>100</v>
      </c>
      <c r="AQ980" s="326">
        <v>427</v>
      </c>
      <c r="AR980" t="s">
        <v>1463</v>
      </c>
    </row>
    <row r="981" spans="1:51">
      <c r="A981" s="277" t="s">
        <v>759</v>
      </c>
      <c r="B981" s="334" t="s">
        <v>1665</v>
      </c>
      <c r="C981" s="277">
        <f>'Schippers 2005&amp;2006 all'!B115</f>
        <v>6.49</v>
      </c>
      <c r="D981" s="301">
        <f>'Schippers 2005&amp;2006 all'!C115</f>
        <v>25876194.261187751</v>
      </c>
      <c r="P981" s="293"/>
      <c r="R981" s="304" t="s">
        <v>1395</v>
      </c>
      <c r="S981" s="304" t="s">
        <v>52</v>
      </c>
      <c r="T981" s="304" t="s">
        <v>51</v>
      </c>
      <c r="U981" s="304" t="s">
        <v>51</v>
      </c>
      <c r="V981" s="313">
        <v>0.55000000000000004</v>
      </c>
      <c r="W981" s="313">
        <v>0.55000000000000004</v>
      </c>
      <c r="X981" s="306" t="s">
        <v>248</v>
      </c>
      <c r="Y981" s="334" t="s">
        <v>96</v>
      </c>
      <c r="Z981" s="314" t="s">
        <v>100</v>
      </c>
      <c r="AQ981" s="326">
        <v>427</v>
      </c>
      <c r="AR981" t="s">
        <v>1463</v>
      </c>
    </row>
    <row r="982" spans="1:51">
      <c r="A982" s="277" t="s">
        <v>759</v>
      </c>
      <c r="B982" s="334" t="s">
        <v>1665</v>
      </c>
      <c r="C982" s="277">
        <f>'Schippers 2005&amp;2006 all'!B116</f>
        <v>6.6</v>
      </c>
      <c r="D982" s="301">
        <f>'Schippers 2005&amp;2006 all'!C116</f>
        <v>25876194.261187751</v>
      </c>
      <c r="I982" s="301">
        <f>'Schippers 2005&amp;2006 all'!H116</f>
        <v>9570704.3038197309</v>
      </c>
      <c r="J982" s="301">
        <f>'Schippers 2005&amp;2006 all'!I116</f>
        <v>3598928.6095680702</v>
      </c>
      <c r="K982" s="301">
        <f>'Schippers 2005&amp;2006 all'!J116</f>
        <v>13169632.913387801</v>
      </c>
      <c r="N982" s="27">
        <f>J982/K982</f>
        <v>0.27327478550366591</v>
      </c>
      <c r="P982" s="286"/>
      <c r="R982" s="304" t="s">
        <v>1395</v>
      </c>
      <c r="S982" s="304" t="s">
        <v>52</v>
      </c>
      <c r="T982" s="304" t="s">
        <v>51</v>
      </c>
      <c r="U982" s="304" t="s">
        <v>51</v>
      </c>
      <c r="V982" s="313">
        <v>0.55000000000000004</v>
      </c>
      <c r="W982" s="313">
        <v>0.55000000000000004</v>
      </c>
      <c r="X982" s="306" t="s">
        <v>248</v>
      </c>
      <c r="Y982" s="334" t="s">
        <v>96</v>
      </c>
      <c r="Z982" s="314" t="s">
        <v>100</v>
      </c>
      <c r="AA982" s="326" t="s">
        <v>1495</v>
      </c>
      <c r="AD982" s="326" t="s">
        <v>1717</v>
      </c>
      <c r="AE982" s="326" t="s">
        <v>1725</v>
      </c>
      <c r="AF982" s="326" t="s">
        <v>1735</v>
      </c>
      <c r="AG982" s="326" t="s">
        <v>1707</v>
      </c>
      <c r="AH982" s="326" t="s">
        <v>1714</v>
      </c>
      <c r="AI982" s="326" t="s">
        <v>1496</v>
      </c>
      <c r="AJ982" s="326" t="s">
        <v>1487</v>
      </c>
      <c r="AK982" s="326" t="s">
        <v>1488</v>
      </c>
      <c r="AL982" s="326" t="s">
        <v>1497</v>
      </c>
      <c r="AO982" s="326" t="s">
        <v>1494</v>
      </c>
      <c r="AQ982" s="326">
        <v>427</v>
      </c>
      <c r="AR982" s="323" t="s">
        <v>1463</v>
      </c>
      <c r="AV982" s="326" t="b">
        <v>1</v>
      </c>
      <c r="AW982" t="b">
        <v>1</v>
      </c>
      <c r="AX982" t="b">
        <v>1</v>
      </c>
      <c r="AY982" t="b">
        <v>1</v>
      </c>
    </row>
    <row r="983" spans="1:51">
      <c r="A983" s="277" t="s">
        <v>759</v>
      </c>
      <c r="B983" s="334" t="s">
        <v>1665</v>
      </c>
      <c r="C983" s="277">
        <f>'Schippers 2005&amp;2006 all'!B117</f>
        <v>7.86</v>
      </c>
      <c r="D983" s="301">
        <f>'Schippers 2005&amp;2006 all'!C117</f>
        <v>14151391.816178009</v>
      </c>
      <c r="I983" s="301">
        <f>'Schippers 2005&amp;2006 all'!H117</f>
        <v>4606696.1684773397</v>
      </c>
      <c r="J983" s="301">
        <f>'Schippers 2005&amp;2006 all'!I117</f>
        <v>1176585.7104264901</v>
      </c>
      <c r="K983" s="301">
        <f>'Schippers 2005&amp;2006 all'!J117</f>
        <v>5783281.8789038295</v>
      </c>
      <c r="N983" s="27">
        <f>J983/K983</f>
        <v>0.20344602512259036</v>
      </c>
      <c r="P983" s="286"/>
      <c r="R983" s="304" t="s">
        <v>1395</v>
      </c>
      <c r="S983" s="304" t="s">
        <v>52</v>
      </c>
      <c r="T983" s="304" t="s">
        <v>51</v>
      </c>
      <c r="U983" s="304" t="s">
        <v>51</v>
      </c>
      <c r="V983" s="313">
        <v>0.55000000000000004</v>
      </c>
      <c r="W983" s="313">
        <v>0.55000000000000004</v>
      </c>
      <c r="X983" s="306" t="s">
        <v>248</v>
      </c>
      <c r="Y983" s="328" t="s">
        <v>96</v>
      </c>
      <c r="Z983" s="314" t="s">
        <v>100</v>
      </c>
      <c r="AA983" s="326" t="s">
        <v>1495</v>
      </c>
      <c r="AD983" s="326" t="s">
        <v>1717</v>
      </c>
      <c r="AE983" s="326" t="s">
        <v>1725</v>
      </c>
      <c r="AF983" s="326" t="s">
        <v>1735</v>
      </c>
      <c r="AG983" s="326" t="s">
        <v>1707</v>
      </c>
      <c r="AH983" s="326" t="s">
        <v>1714</v>
      </c>
      <c r="AI983" s="326" t="s">
        <v>1496</v>
      </c>
      <c r="AJ983" s="326" t="s">
        <v>1487</v>
      </c>
      <c r="AK983" s="326" t="s">
        <v>1488</v>
      </c>
      <c r="AL983" s="326" t="s">
        <v>1497</v>
      </c>
      <c r="AO983" s="326" t="s">
        <v>1494</v>
      </c>
      <c r="AQ983" s="326">
        <v>427</v>
      </c>
      <c r="AR983" s="323" t="s">
        <v>1463</v>
      </c>
      <c r="AV983" s="326" t="b">
        <v>1</v>
      </c>
      <c r="AW983" t="b">
        <v>1</v>
      </c>
      <c r="AX983" t="b">
        <v>1</v>
      </c>
      <c r="AY983" t="b">
        <v>1</v>
      </c>
    </row>
    <row r="984" spans="1:51">
      <c r="A984" s="277" t="s">
        <v>759</v>
      </c>
      <c r="B984" s="334" t="s">
        <v>1665</v>
      </c>
      <c r="C984" s="277">
        <f>'Schippers 2005&amp;2006 all'!B118</f>
        <v>8</v>
      </c>
      <c r="D984" s="301">
        <f>'Schippers 2005&amp;2006 all'!C118</f>
        <v>14151391.816178009</v>
      </c>
      <c r="E984" s="301">
        <f>'Schippers 2005&amp;2006 all'!E118</f>
        <v>588859.58538045944</v>
      </c>
      <c r="G984" s="301">
        <f>E984+F984</f>
        <v>588859.58538045944</v>
      </c>
      <c r="H984" s="27">
        <f>G984/D984</f>
        <v>4.1611425436420282E-2</v>
      </c>
      <c r="M984" s="27">
        <v>0</v>
      </c>
      <c r="O984" t="s">
        <v>1247</v>
      </c>
      <c r="P984" s="286"/>
      <c r="Q984" s="301" t="b">
        <v>1</v>
      </c>
      <c r="R984" s="304" t="s">
        <v>1395</v>
      </c>
      <c r="S984" s="304" t="s">
        <v>52</v>
      </c>
      <c r="T984" s="304" t="s">
        <v>51</v>
      </c>
      <c r="U984" s="304" t="s">
        <v>51</v>
      </c>
      <c r="V984" s="313">
        <v>0.55000000000000004</v>
      </c>
      <c r="W984" s="313">
        <v>0.55000000000000004</v>
      </c>
      <c r="X984" s="306" t="s">
        <v>248</v>
      </c>
      <c r="Y984" s="327" t="s">
        <v>96</v>
      </c>
      <c r="Z984" s="314" t="s">
        <v>100</v>
      </c>
      <c r="AB984" s="334" t="s">
        <v>311</v>
      </c>
      <c r="AC984" s="334" t="s">
        <v>1702</v>
      </c>
      <c r="AQ984" s="326">
        <v>427</v>
      </c>
      <c r="AR984" s="323" t="s">
        <v>1463</v>
      </c>
    </row>
    <row r="985" spans="1:51">
      <c r="A985" s="277" t="s">
        <v>759</v>
      </c>
      <c r="B985" s="334" t="s">
        <v>1665</v>
      </c>
      <c r="C985" s="277">
        <f>'Schippers 2005&amp;2006 all'!B119</f>
        <v>8.4</v>
      </c>
      <c r="D985" s="301">
        <f>'Schippers 2005&amp;2006 all'!C119</f>
        <v>14151391.816178009</v>
      </c>
      <c r="P985" s="286"/>
      <c r="R985" s="304" t="s">
        <v>1395</v>
      </c>
      <c r="S985" s="304" t="s">
        <v>52</v>
      </c>
      <c r="T985" s="304" t="s">
        <v>51</v>
      </c>
      <c r="U985" s="304" t="s">
        <v>51</v>
      </c>
      <c r="V985" s="313">
        <v>0.55000000000000004</v>
      </c>
      <c r="W985" s="313">
        <v>0.55000000000000004</v>
      </c>
      <c r="X985" s="306" t="s">
        <v>248</v>
      </c>
      <c r="Y985" s="328" t="s">
        <v>96</v>
      </c>
      <c r="Z985" s="314" t="s">
        <v>100</v>
      </c>
      <c r="AQ985" s="326">
        <v>427</v>
      </c>
      <c r="AR985" s="323" t="s">
        <v>1463</v>
      </c>
    </row>
    <row r="986" spans="1:51">
      <c r="A986" s="277" t="s">
        <v>759</v>
      </c>
      <c r="B986" s="334" t="s">
        <v>1665</v>
      </c>
      <c r="C986" s="277">
        <f>'Schippers 2005&amp;2006 all'!B120</f>
        <v>8.6000000000000014</v>
      </c>
      <c r="D986" s="301">
        <f>'Schippers 2005&amp;2006 all'!C120</f>
        <v>14151391.816178009</v>
      </c>
      <c r="I986" s="301">
        <f>'Schippers 2005&amp;2006 all'!H120</f>
        <v>5197720.2158884397</v>
      </c>
      <c r="J986" s="301">
        <f>'Schippers 2005&amp;2006 all'!I120</f>
        <v>373589.99054071668</v>
      </c>
      <c r="K986" s="301">
        <f>'Schippers 2005&amp;2006 all'!J120</f>
        <v>5571310.2064291565</v>
      </c>
      <c r="N986" s="27">
        <f>J986/K986</f>
        <v>6.7056038292321776E-2</v>
      </c>
      <c r="P986" s="286"/>
      <c r="R986" s="304" t="s">
        <v>1395</v>
      </c>
      <c r="S986" s="304" t="s">
        <v>52</v>
      </c>
      <c r="T986" s="304" t="s">
        <v>51</v>
      </c>
      <c r="U986" s="304" t="s">
        <v>51</v>
      </c>
      <c r="V986" s="313">
        <v>0.55000000000000004</v>
      </c>
      <c r="W986" s="313">
        <v>0.55000000000000004</v>
      </c>
      <c r="X986" s="306" t="s">
        <v>248</v>
      </c>
      <c r="Y986" s="328" t="s">
        <v>96</v>
      </c>
      <c r="Z986" s="314" t="s">
        <v>100</v>
      </c>
      <c r="AA986" s="326" t="s">
        <v>1495</v>
      </c>
      <c r="AD986" s="326" t="s">
        <v>1717</v>
      </c>
      <c r="AE986" s="326" t="s">
        <v>1725</v>
      </c>
      <c r="AF986" s="326" t="s">
        <v>1735</v>
      </c>
      <c r="AG986" s="326" t="s">
        <v>1707</v>
      </c>
      <c r="AH986" s="326" t="s">
        <v>1714</v>
      </c>
      <c r="AI986" s="326" t="s">
        <v>1496</v>
      </c>
      <c r="AJ986" s="326" t="s">
        <v>1487</v>
      </c>
      <c r="AK986" s="326" t="s">
        <v>1488</v>
      </c>
      <c r="AL986" s="326" t="s">
        <v>1497</v>
      </c>
      <c r="AO986" s="326" t="s">
        <v>1494</v>
      </c>
      <c r="AQ986" s="326">
        <v>427</v>
      </c>
      <c r="AR986" s="323" t="s">
        <v>1463</v>
      </c>
      <c r="AV986" s="326" t="b">
        <v>1</v>
      </c>
      <c r="AW986" t="b">
        <v>1</v>
      </c>
      <c r="AX986" t="b">
        <v>1</v>
      </c>
      <c r="AY986" t="b">
        <v>1</v>
      </c>
    </row>
    <row r="987" spans="1:51">
      <c r="A987" s="277" t="s">
        <v>759</v>
      </c>
      <c r="B987" s="334" t="s">
        <v>1665</v>
      </c>
      <c r="C987" s="277">
        <f>'Schippers 2005&amp;2006 all'!B121</f>
        <v>11.8</v>
      </c>
      <c r="I987" s="301">
        <f>'Schippers 2005&amp;2006 all'!H121</f>
        <v>479021.90485900582</v>
      </c>
      <c r="J987" s="301">
        <f>'Schippers 2005&amp;2006 all'!I121</f>
        <v>296291.85075000452</v>
      </c>
      <c r="K987" s="301">
        <f>'Schippers 2005&amp;2006 all'!J121</f>
        <v>775313.75560901035</v>
      </c>
      <c r="N987" s="27">
        <f>J987/K987</f>
        <v>0.38215735062931616</v>
      </c>
      <c r="P987" s="286"/>
      <c r="R987" s="304" t="s">
        <v>1395</v>
      </c>
      <c r="S987" s="304" t="s">
        <v>52</v>
      </c>
      <c r="T987" s="304" t="s">
        <v>51</v>
      </c>
      <c r="U987" s="304" t="s">
        <v>51</v>
      </c>
      <c r="V987" s="313">
        <v>0.55000000000000004</v>
      </c>
      <c r="W987" s="313">
        <v>0.55000000000000004</v>
      </c>
      <c r="X987" s="306" t="s">
        <v>248</v>
      </c>
      <c r="Y987" s="328" t="s">
        <v>96</v>
      </c>
      <c r="Z987" s="314" t="s">
        <v>100</v>
      </c>
      <c r="AA987" s="326" t="s">
        <v>1495</v>
      </c>
      <c r="AD987" s="326" t="s">
        <v>1717</v>
      </c>
      <c r="AE987" s="326" t="s">
        <v>1725</v>
      </c>
      <c r="AF987" s="326" t="s">
        <v>1735</v>
      </c>
      <c r="AG987" s="326" t="s">
        <v>1707</v>
      </c>
      <c r="AH987" s="326" t="s">
        <v>1714</v>
      </c>
      <c r="AI987" s="326" t="s">
        <v>1496</v>
      </c>
      <c r="AJ987" s="326" t="s">
        <v>1487</v>
      </c>
      <c r="AK987" s="326" t="s">
        <v>1488</v>
      </c>
      <c r="AL987" s="326" t="s">
        <v>1497</v>
      </c>
      <c r="AO987" s="326" t="s">
        <v>1494</v>
      </c>
      <c r="AQ987" s="326">
        <v>427</v>
      </c>
      <c r="AR987" s="323" t="s">
        <v>1463</v>
      </c>
      <c r="AV987" s="326" t="b">
        <v>1</v>
      </c>
      <c r="AW987" t="b">
        <v>1</v>
      </c>
      <c r="AX987" t="b">
        <v>1</v>
      </c>
      <c r="AY987" t="b">
        <v>1</v>
      </c>
    </row>
    <row r="988" spans="1:51">
      <c r="A988" s="277" t="s">
        <v>759</v>
      </c>
      <c r="B988" s="334" t="s">
        <v>1665</v>
      </c>
      <c r="C988" s="277">
        <f>'Schippers 2005&amp;2006 all'!B122</f>
        <v>11.9</v>
      </c>
      <c r="I988" s="301">
        <f>'Schippers 2005&amp;2006 all'!H122</f>
        <v>4088348.4016021099</v>
      </c>
      <c r="J988" s="301">
        <f>'Schippers 2005&amp;2006 all'!I122</f>
        <v>569776.97934035945</v>
      </c>
      <c r="K988" s="301">
        <f>'Schippers 2005&amp;2006 all'!J122</f>
        <v>4658125.3809424695</v>
      </c>
      <c r="N988" s="27">
        <f>J988/K988</f>
        <v>0.12231894437007997</v>
      </c>
      <c r="P988" s="327"/>
      <c r="R988" s="304" t="s">
        <v>1395</v>
      </c>
      <c r="S988" s="304" t="s">
        <v>52</v>
      </c>
      <c r="T988" s="304" t="s">
        <v>51</v>
      </c>
      <c r="U988" s="304" t="s">
        <v>51</v>
      </c>
      <c r="V988" s="313">
        <v>0.55000000000000004</v>
      </c>
      <c r="W988" s="313">
        <v>0.55000000000000004</v>
      </c>
      <c r="X988" s="306" t="s">
        <v>248</v>
      </c>
      <c r="Y988" s="334" t="s">
        <v>96</v>
      </c>
      <c r="Z988" s="314" t="s">
        <v>100</v>
      </c>
      <c r="AA988" s="326" t="s">
        <v>1495</v>
      </c>
      <c r="AD988" s="326" t="s">
        <v>1717</v>
      </c>
      <c r="AE988" s="326" t="s">
        <v>1725</v>
      </c>
      <c r="AF988" s="326" t="s">
        <v>1735</v>
      </c>
      <c r="AG988" s="326" t="s">
        <v>1707</v>
      </c>
      <c r="AH988" s="326" t="s">
        <v>1714</v>
      </c>
      <c r="AI988" s="326" t="s">
        <v>1496</v>
      </c>
      <c r="AJ988" s="326" t="s">
        <v>1487</v>
      </c>
      <c r="AK988" s="326" t="s">
        <v>1488</v>
      </c>
      <c r="AL988" s="326" t="s">
        <v>1497</v>
      </c>
      <c r="AO988" s="326" t="s">
        <v>1494</v>
      </c>
      <c r="AQ988" s="326">
        <v>427</v>
      </c>
      <c r="AR988" s="323" t="s">
        <v>1463</v>
      </c>
      <c r="AV988" s="326" t="b">
        <v>1</v>
      </c>
      <c r="AW988" t="b">
        <v>1</v>
      </c>
      <c r="AX988" t="b">
        <v>1</v>
      </c>
      <c r="AY988" t="b">
        <v>1</v>
      </c>
    </row>
    <row r="989" spans="1:51">
      <c r="A989" s="277" t="s">
        <v>759</v>
      </c>
      <c r="B989" s="334" t="s">
        <v>1665</v>
      </c>
      <c r="C989" s="277">
        <f>'Schippers 2005&amp;2006 all'!B123</f>
        <v>16.8</v>
      </c>
      <c r="D989" s="301">
        <f>'Schippers 2005&amp;2006 all'!C123</f>
        <v>3530691.020348622</v>
      </c>
      <c r="I989" s="301">
        <f>'Schippers 2005&amp;2006 all'!H123</f>
        <v>1142502.3107423901</v>
      </c>
      <c r="J989" s="301">
        <f>'Schippers 2005&amp;2006 all'!I123</f>
        <v>165853.6704244414</v>
      </c>
      <c r="K989" s="301">
        <f>'Schippers 2005&amp;2006 all'!J123</f>
        <v>1308355.9811668315</v>
      </c>
      <c r="N989" s="27">
        <f>J989/K989</f>
        <v>0.12676494227246018</v>
      </c>
      <c r="R989" s="304" t="s">
        <v>1395</v>
      </c>
      <c r="S989" s="304" t="s">
        <v>52</v>
      </c>
      <c r="T989" s="304" t="s">
        <v>51</v>
      </c>
      <c r="U989" s="304" t="s">
        <v>51</v>
      </c>
      <c r="V989" s="313">
        <v>0.55000000000000004</v>
      </c>
      <c r="W989" s="313">
        <v>0.55000000000000004</v>
      </c>
      <c r="X989" s="306" t="s">
        <v>248</v>
      </c>
      <c r="Y989" s="334" t="s">
        <v>96</v>
      </c>
      <c r="Z989" s="314" t="s">
        <v>100</v>
      </c>
      <c r="AA989" s="326" t="s">
        <v>1495</v>
      </c>
      <c r="AD989" s="326" t="s">
        <v>1717</v>
      </c>
      <c r="AE989" s="326" t="s">
        <v>1725</v>
      </c>
      <c r="AF989" s="326" t="s">
        <v>1735</v>
      </c>
      <c r="AG989" s="326" t="s">
        <v>1707</v>
      </c>
      <c r="AH989" s="326" t="s">
        <v>1714</v>
      </c>
      <c r="AI989" s="326" t="s">
        <v>1496</v>
      </c>
      <c r="AJ989" s="326" t="s">
        <v>1487</v>
      </c>
      <c r="AK989" s="326" t="s">
        <v>1488</v>
      </c>
      <c r="AL989" s="326" t="s">
        <v>1497</v>
      </c>
      <c r="AO989" s="326" t="s">
        <v>1494</v>
      </c>
      <c r="AQ989" s="326">
        <v>427</v>
      </c>
      <c r="AR989" s="323" t="s">
        <v>1463</v>
      </c>
      <c r="AV989" s="326" t="b">
        <v>1</v>
      </c>
      <c r="AW989" t="b">
        <v>1</v>
      </c>
      <c r="AX989" t="b">
        <v>1</v>
      </c>
      <c r="AY989" t="b">
        <v>1</v>
      </c>
    </row>
    <row r="990" spans="1:51">
      <c r="A990" s="277" t="s">
        <v>759</v>
      </c>
      <c r="B990" s="334" t="s">
        <v>1665</v>
      </c>
      <c r="C990" s="277">
        <f>'Schippers 2005&amp;2006 all'!B124</f>
        <v>16.899999999999999</v>
      </c>
      <c r="D990" s="301">
        <f>'Schippers 2005&amp;2006 all'!C124</f>
        <v>3530691.020348622</v>
      </c>
      <c r="I990" s="301">
        <f>'Schippers 2005&amp;2006 all'!H124</f>
        <v>988313.88863863703</v>
      </c>
      <c r="J990" s="301">
        <f>'Schippers 2005&amp;2006 all'!I124</f>
        <v>46655.827703561656</v>
      </c>
      <c r="K990" s="301">
        <f>'Schippers 2005&amp;2006 all'!J124</f>
        <v>1034969.7163421987</v>
      </c>
      <c r="N990" s="27">
        <f>J990/K990</f>
        <v>4.5079413403952724E-2</v>
      </c>
      <c r="R990" s="304" t="s">
        <v>1395</v>
      </c>
      <c r="S990" s="304" t="s">
        <v>52</v>
      </c>
      <c r="T990" s="304" t="s">
        <v>51</v>
      </c>
      <c r="U990" s="304" t="s">
        <v>51</v>
      </c>
      <c r="V990" s="313">
        <v>0.55000000000000004</v>
      </c>
      <c r="W990" s="313">
        <v>0.55000000000000004</v>
      </c>
      <c r="X990" s="306" t="s">
        <v>248</v>
      </c>
      <c r="Y990" s="334" t="s">
        <v>96</v>
      </c>
      <c r="Z990" s="314" t="s">
        <v>100</v>
      </c>
      <c r="AA990" s="326" t="s">
        <v>1495</v>
      </c>
      <c r="AD990" s="326" t="s">
        <v>1717</v>
      </c>
      <c r="AE990" s="326" t="s">
        <v>1725</v>
      </c>
      <c r="AF990" s="326" t="s">
        <v>1735</v>
      </c>
      <c r="AG990" s="326" t="s">
        <v>1707</v>
      </c>
      <c r="AH990" s="326" t="s">
        <v>1714</v>
      </c>
      <c r="AI990" s="326" t="s">
        <v>1496</v>
      </c>
      <c r="AJ990" s="326" t="s">
        <v>1487</v>
      </c>
      <c r="AK990" s="326" t="s">
        <v>1488</v>
      </c>
      <c r="AL990" s="326" t="s">
        <v>1497</v>
      </c>
      <c r="AO990" s="326" t="s">
        <v>1494</v>
      </c>
      <c r="AQ990" s="326">
        <v>427</v>
      </c>
      <c r="AR990" s="323" t="s">
        <v>1463</v>
      </c>
      <c r="AV990" s="326" t="b">
        <v>1</v>
      </c>
      <c r="AW990" t="b">
        <v>1</v>
      </c>
      <c r="AX990" t="b">
        <v>1</v>
      </c>
      <c r="AY990" t="b">
        <v>1</v>
      </c>
    </row>
    <row r="991" spans="1:51">
      <c r="A991" s="277" t="s">
        <v>759</v>
      </c>
      <c r="B991" s="334" t="s">
        <v>1665</v>
      </c>
      <c r="C991" s="277">
        <f>'Schippers 2005&amp;2006 all'!B125</f>
        <v>17</v>
      </c>
      <c r="D991" s="301">
        <f>'Schippers 2005&amp;2006 all'!C125</f>
        <v>3530691.020348622</v>
      </c>
      <c r="E991" s="301">
        <f>'Schippers 2005&amp;2006 all'!E125</f>
        <v>589085.86679350014</v>
      </c>
      <c r="G991" s="301">
        <f>E991+F991</f>
        <v>589085.86679350014</v>
      </c>
      <c r="H991" s="27">
        <f>G991/D991</f>
        <v>0.16684718753308908</v>
      </c>
      <c r="M991" s="27">
        <v>0</v>
      </c>
      <c r="O991" t="s">
        <v>1247</v>
      </c>
      <c r="Q991" s="301" t="b">
        <v>1</v>
      </c>
      <c r="R991" s="304" t="s">
        <v>1395</v>
      </c>
      <c r="S991" s="304" t="s">
        <v>52</v>
      </c>
      <c r="T991" s="304" t="s">
        <v>51</v>
      </c>
      <c r="U991" s="317" t="s">
        <v>51</v>
      </c>
      <c r="V991" s="313">
        <v>0.55000000000000004</v>
      </c>
      <c r="W991" s="313">
        <v>0.55000000000000004</v>
      </c>
      <c r="X991" s="306" t="s">
        <v>248</v>
      </c>
      <c r="Y991" s="327" t="s">
        <v>96</v>
      </c>
      <c r="Z991" s="314" t="s">
        <v>100</v>
      </c>
      <c r="AB991" s="334" t="s">
        <v>311</v>
      </c>
      <c r="AC991" s="334" t="s">
        <v>1702</v>
      </c>
      <c r="AQ991" s="326">
        <v>427</v>
      </c>
      <c r="AR991" s="323" t="s">
        <v>1463</v>
      </c>
    </row>
    <row r="992" spans="1:51">
      <c r="A992" s="277" t="s">
        <v>759</v>
      </c>
      <c r="B992" s="334" t="s">
        <v>1665</v>
      </c>
      <c r="C992" s="277">
        <f>'Schippers 2005&amp;2006 all'!B126</f>
        <v>17.899999999999999</v>
      </c>
      <c r="D992" s="301">
        <f>'Schippers 2005&amp;2006 all'!C126</f>
        <v>3530691.020348622</v>
      </c>
      <c r="P992" s="293"/>
      <c r="R992" s="304" t="s">
        <v>1395</v>
      </c>
      <c r="S992" s="304" t="s">
        <v>52</v>
      </c>
      <c r="T992" s="304" t="s">
        <v>51</v>
      </c>
      <c r="U992" s="317" t="s">
        <v>51</v>
      </c>
      <c r="V992" s="313">
        <v>0.55000000000000004</v>
      </c>
      <c r="W992" s="313">
        <v>0.55000000000000004</v>
      </c>
      <c r="X992" s="306" t="s">
        <v>248</v>
      </c>
      <c r="Y992" s="327" t="s">
        <v>96</v>
      </c>
      <c r="Z992" s="314" t="s">
        <v>100</v>
      </c>
      <c r="AQ992" s="326">
        <v>427</v>
      </c>
      <c r="AR992" s="323" t="s">
        <v>1463</v>
      </c>
    </row>
    <row r="993" spans="1:51">
      <c r="A993" s="277" t="s">
        <v>759</v>
      </c>
      <c r="B993" s="334" t="s">
        <v>1665</v>
      </c>
      <c r="C993" s="277">
        <f>'Schippers 2005&amp;2006 all'!B127</f>
        <v>17.899999999999999</v>
      </c>
      <c r="D993" s="301">
        <f>'Schippers 2005&amp;2006 all'!C127</f>
        <v>3765217.8198272204</v>
      </c>
      <c r="R993" s="304" t="s">
        <v>1395</v>
      </c>
      <c r="S993" s="304" t="s">
        <v>52</v>
      </c>
      <c r="T993" s="304" t="s">
        <v>51</v>
      </c>
      <c r="U993" s="317" t="s">
        <v>51</v>
      </c>
      <c r="V993" s="313">
        <v>0.55000000000000004</v>
      </c>
      <c r="W993" s="313">
        <v>0.55000000000000004</v>
      </c>
      <c r="X993" s="306" t="s">
        <v>248</v>
      </c>
      <c r="Y993" s="334" t="s">
        <v>96</v>
      </c>
      <c r="Z993" s="314" t="s">
        <v>100</v>
      </c>
      <c r="AQ993" s="326">
        <v>427</v>
      </c>
      <c r="AR993" s="323" t="s">
        <v>1463</v>
      </c>
    </row>
    <row r="994" spans="1:51">
      <c r="A994" s="277" t="s">
        <v>759</v>
      </c>
      <c r="B994" s="334" t="s">
        <v>1665</v>
      </c>
      <c r="C994" s="277">
        <f>'Schippers 2005&amp;2006 all'!B128</f>
        <v>21.3</v>
      </c>
      <c r="I994" s="301">
        <f>'Schippers 2005&amp;2006 all'!H128</f>
        <v>887765.87170827331</v>
      </c>
      <c r="J994" s="301">
        <f>'Schippers 2005&amp;2006 all'!I128</f>
        <v>86516.135498179749</v>
      </c>
      <c r="K994" s="301">
        <f>'Schippers 2005&amp;2006 all'!J128</f>
        <v>974282.00720645301</v>
      </c>
      <c r="N994" s="27">
        <f>J994/K994</f>
        <v>8.8799890440598828E-2</v>
      </c>
      <c r="R994" s="304" t="s">
        <v>1395</v>
      </c>
      <c r="S994" s="304" t="s">
        <v>52</v>
      </c>
      <c r="T994" s="304" t="s">
        <v>51</v>
      </c>
      <c r="U994" s="317" t="s">
        <v>51</v>
      </c>
      <c r="V994" s="313">
        <v>0.55000000000000004</v>
      </c>
      <c r="W994" s="313">
        <v>0.55000000000000004</v>
      </c>
      <c r="X994" s="306" t="s">
        <v>248</v>
      </c>
      <c r="Y994" s="327" t="s">
        <v>96</v>
      </c>
      <c r="Z994" s="314" t="s">
        <v>100</v>
      </c>
      <c r="AA994" s="326" t="s">
        <v>1495</v>
      </c>
      <c r="AD994" s="326" t="s">
        <v>1717</v>
      </c>
      <c r="AE994" s="326" t="s">
        <v>1725</v>
      </c>
      <c r="AF994" s="326" t="s">
        <v>1735</v>
      </c>
      <c r="AG994" s="326" t="s">
        <v>1707</v>
      </c>
      <c r="AH994" s="326" t="s">
        <v>1714</v>
      </c>
      <c r="AI994" s="326" t="s">
        <v>1496</v>
      </c>
      <c r="AJ994" s="326" t="s">
        <v>1487</v>
      </c>
      <c r="AK994" s="326" t="s">
        <v>1488</v>
      </c>
      <c r="AL994" s="326" t="s">
        <v>1497</v>
      </c>
      <c r="AO994" s="326" t="s">
        <v>1494</v>
      </c>
      <c r="AQ994" s="326">
        <v>427</v>
      </c>
      <c r="AR994" s="323" t="s">
        <v>1463</v>
      </c>
      <c r="AV994" s="326" t="b">
        <v>1</v>
      </c>
      <c r="AW994" t="b">
        <v>1</v>
      </c>
      <c r="AX994" t="b">
        <v>1</v>
      </c>
      <c r="AY994" t="b">
        <v>1</v>
      </c>
    </row>
    <row r="995" spans="1:51">
      <c r="A995" s="277" t="s">
        <v>759</v>
      </c>
      <c r="B995" s="334" t="s">
        <v>1665</v>
      </c>
      <c r="C995" s="277">
        <f>'Schippers 2005&amp;2006 all'!B129</f>
        <v>21.4</v>
      </c>
      <c r="I995" s="301">
        <f>'Schippers 2005&amp;2006 all'!H129</f>
        <v>824988.50718493864</v>
      </c>
      <c r="J995" s="301">
        <f>'Schippers 2005&amp;2006 all'!I129</f>
        <v>97737.351246595295</v>
      </c>
      <c r="K995" s="301">
        <f>'Schippers 2005&amp;2006 all'!J129</f>
        <v>922725.85843153391</v>
      </c>
      <c r="N995" s="27">
        <f>J995/K995</f>
        <v>0.10592241493343539</v>
      </c>
      <c r="P995" s="293"/>
      <c r="R995" s="304" t="s">
        <v>1395</v>
      </c>
      <c r="S995" s="304" t="s">
        <v>52</v>
      </c>
      <c r="T995" s="304" t="s">
        <v>51</v>
      </c>
      <c r="U995" s="317" t="s">
        <v>51</v>
      </c>
      <c r="V995" s="313">
        <v>0.55000000000000004</v>
      </c>
      <c r="W995" s="313">
        <v>0.55000000000000004</v>
      </c>
      <c r="X995" s="306" t="s">
        <v>248</v>
      </c>
      <c r="Y995" s="327" t="s">
        <v>96</v>
      </c>
      <c r="Z995" s="314" t="s">
        <v>100</v>
      </c>
      <c r="AA995" s="326" t="s">
        <v>1495</v>
      </c>
      <c r="AD995" s="326" t="s">
        <v>1717</v>
      </c>
      <c r="AE995" s="326" t="s">
        <v>1725</v>
      </c>
      <c r="AF995" s="326" t="s">
        <v>1735</v>
      </c>
      <c r="AG995" s="326" t="s">
        <v>1707</v>
      </c>
      <c r="AH995" s="326" t="s">
        <v>1714</v>
      </c>
      <c r="AI995" s="326" t="s">
        <v>1496</v>
      </c>
      <c r="AJ995" s="326" t="s">
        <v>1487</v>
      </c>
      <c r="AK995" s="326" t="s">
        <v>1488</v>
      </c>
      <c r="AL995" s="326" t="s">
        <v>1497</v>
      </c>
      <c r="AO995" s="326" t="s">
        <v>1494</v>
      </c>
      <c r="AQ995" s="326">
        <v>427</v>
      </c>
      <c r="AR995" s="323" t="s">
        <v>1463</v>
      </c>
      <c r="AV995" s="326" t="b">
        <v>1</v>
      </c>
      <c r="AW995" t="b">
        <v>1</v>
      </c>
      <c r="AX995" t="b">
        <v>1</v>
      </c>
      <c r="AY995" t="b">
        <v>1</v>
      </c>
    </row>
    <row r="996" spans="1:51">
      <c r="A996" s="277" t="s">
        <v>759</v>
      </c>
      <c r="B996" s="334" t="s">
        <v>1665</v>
      </c>
      <c r="C996" s="277">
        <f>'Schippers 2005&amp;2006 all'!B130</f>
        <v>22</v>
      </c>
      <c r="E996" s="301">
        <f>'Schippers 2005&amp;2006 all'!E130</f>
        <v>444994.07009511208</v>
      </c>
      <c r="G996" s="301">
        <f>E996+F996</f>
        <v>444994.07009511208</v>
      </c>
      <c r="M996" s="27">
        <v>0</v>
      </c>
      <c r="O996" t="s">
        <v>1247</v>
      </c>
      <c r="P996" s="293"/>
      <c r="Q996" s="301" t="b">
        <v>1</v>
      </c>
      <c r="R996" s="304" t="s">
        <v>1395</v>
      </c>
      <c r="S996" s="304" t="s">
        <v>52</v>
      </c>
      <c r="T996" s="304" t="s">
        <v>51</v>
      </c>
      <c r="U996" s="317" t="s">
        <v>51</v>
      </c>
      <c r="V996" s="313">
        <v>0.55000000000000004</v>
      </c>
      <c r="W996" s="313">
        <v>0.55000000000000004</v>
      </c>
      <c r="X996" s="306" t="s">
        <v>248</v>
      </c>
      <c r="Y996" s="327" t="s">
        <v>96</v>
      </c>
      <c r="Z996" s="314" t="s">
        <v>100</v>
      </c>
      <c r="AB996" s="334" t="s">
        <v>311</v>
      </c>
      <c r="AC996" s="334" t="s">
        <v>1702</v>
      </c>
      <c r="AQ996" s="326">
        <v>427</v>
      </c>
      <c r="AR996" s="323" t="s">
        <v>1463</v>
      </c>
    </row>
    <row r="997" spans="1:51">
      <c r="A997" s="277" t="s">
        <v>759</v>
      </c>
      <c r="B997" s="334" t="s">
        <v>1665</v>
      </c>
      <c r="C997" s="277">
        <f>'Schippers 2005&amp;2006 all'!B131</f>
        <v>25.95</v>
      </c>
      <c r="D997" s="301">
        <f>'Schippers 2005&amp;2006 all'!C131</f>
        <v>5544398.8669525469</v>
      </c>
      <c r="P997" s="293"/>
      <c r="R997" s="304" t="s">
        <v>1395</v>
      </c>
      <c r="S997" s="304" t="s">
        <v>52</v>
      </c>
      <c r="T997" s="304" t="s">
        <v>51</v>
      </c>
      <c r="U997" s="317" t="s">
        <v>51</v>
      </c>
      <c r="V997" s="313">
        <v>0.55000000000000004</v>
      </c>
      <c r="W997" s="313">
        <v>0.55000000000000004</v>
      </c>
      <c r="X997" s="306" t="s">
        <v>248</v>
      </c>
      <c r="Y997" s="334" t="s">
        <v>96</v>
      </c>
      <c r="Z997" s="314" t="s">
        <v>100</v>
      </c>
      <c r="AQ997" s="326">
        <v>427</v>
      </c>
      <c r="AR997" s="323" t="s">
        <v>1463</v>
      </c>
    </row>
    <row r="998" spans="1:51">
      <c r="A998" s="277" t="s">
        <v>759</v>
      </c>
      <c r="B998" s="334" t="s">
        <v>1665</v>
      </c>
      <c r="C998" s="277">
        <f>'Schippers 2005&amp;2006 all'!B132</f>
        <v>29.35</v>
      </c>
      <c r="D998" s="301">
        <f>'Schippers 2005&amp;2006 all'!C132</f>
        <v>10050455.059383195</v>
      </c>
      <c r="I998" s="301">
        <f>'Schippers 2005&amp;2006 all'!H132</f>
        <v>260026.09196084607</v>
      </c>
      <c r="J998" s="301">
        <f>'Schippers 2005&amp;2006 all'!I132</f>
        <v>8492.9766260049801</v>
      </c>
      <c r="K998" s="301">
        <f>'Schippers 2005&amp;2006 all'!J132</f>
        <v>268519.06858685106</v>
      </c>
      <c r="N998" s="27">
        <f>J998/K998</f>
        <v>3.1628951607427361E-2</v>
      </c>
      <c r="R998" s="304" t="s">
        <v>1395</v>
      </c>
      <c r="S998" s="304" t="s">
        <v>52</v>
      </c>
      <c r="T998" s="304" t="s">
        <v>51</v>
      </c>
      <c r="U998" s="317" t="s">
        <v>51</v>
      </c>
      <c r="V998" s="313">
        <v>0.55000000000000004</v>
      </c>
      <c r="W998" s="313">
        <v>0.55000000000000004</v>
      </c>
      <c r="X998" s="306" t="s">
        <v>248</v>
      </c>
      <c r="Y998" s="334" t="s">
        <v>96</v>
      </c>
      <c r="Z998" s="314" t="s">
        <v>100</v>
      </c>
      <c r="AA998" s="326" t="s">
        <v>1495</v>
      </c>
      <c r="AD998" s="326" t="s">
        <v>1717</v>
      </c>
      <c r="AE998" s="326" t="s">
        <v>1725</v>
      </c>
      <c r="AF998" s="326" t="s">
        <v>1735</v>
      </c>
      <c r="AG998" s="326" t="s">
        <v>1707</v>
      </c>
      <c r="AH998" s="326" t="s">
        <v>1714</v>
      </c>
      <c r="AI998" s="326" t="s">
        <v>1496</v>
      </c>
      <c r="AJ998" s="326" t="s">
        <v>1487</v>
      </c>
      <c r="AK998" s="326" t="s">
        <v>1488</v>
      </c>
      <c r="AL998" s="326" t="s">
        <v>1497</v>
      </c>
      <c r="AO998" s="326" t="s">
        <v>1494</v>
      </c>
      <c r="AQ998" s="326">
        <v>427</v>
      </c>
      <c r="AR998" s="323" t="s">
        <v>1463</v>
      </c>
      <c r="AV998" s="326" t="b">
        <v>1</v>
      </c>
      <c r="AW998" t="b">
        <v>1</v>
      </c>
      <c r="AX998" t="b">
        <v>1</v>
      </c>
      <c r="AY998" t="b">
        <v>1</v>
      </c>
    </row>
    <row r="999" spans="1:51">
      <c r="A999" s="277" t="s">
        <v>759</v>
      </c>
      <c r="B999" s="334" t="s">
        <v>1665</v>
      </c>
      <c r="C999" s="277">
        <f>'Schippers 2005&amp;2006 all'!B133</f>
        <v>31.2</v>
      </c>
      <c r="D999" s="301">
        <f>'Schippers 2005&amp;2006 all'!C133</f>
        <v>10050455.059383195</v>
      </c>
      <c r="H999" s="336"/>
      <c r="P999" s="324"/>
      <c r="R999" s="304" t="s">
        <v>1395</v>
      </c>
      <c r="S999" s="304" t="s">
        <v>52</v>
      </c>
      <c r="T999" s="304" t="s">
        <v>51</v>
      </c>
      <c r="U999" s="317" t="s">
        <v>51</v>
      </c>
      <c r="V999" s="313">
        <v>0.55000000000000004</v>
      </c>
      <c r="W999" s="313">
        <v>0.55000000000000004</v>
      </c>
      <c r="X999" s="306" t="s">
        <v>248</v>
      </c>
      <c r="Y999" s="321" t="s">
        <v>96</v>
      </c>
      <c r="Z999" s="314" t="s">
        <v>100</v>
      </c>
      <c r="AQ999" s="326">
        <v>427</v>
      </c>
      <c r="AR999" s="323" t="s">
        <v>1463</v>
      </c>
    </row>
    <row r="1000" spans="1:51">
      <c r="A1000" s="277" t="s">
        <v>759</v>
      </c>
      <c r="B1000" s="334" t="s">
        <v>1665</v>
      </c>
      <c r="C1000" s="277">
        <f>'Schippers 2005&amp;2006 all'!B134</f>
        <v>31.3</v>
      </c>
      <c r="D1000" s="301">
        <f>'Schippers 2005&amp;2006 all'!C134</f>
        <v>10050455.059383195</v>
      </c>
      <c r="H1000" s="336"/>
      <c r="I1000" s="301">
        <f>'Schippers 2005&amp;2006 all'!H134</f>
        <v>325309.61410861841</v>
      </c>
      <c r="J1000" s="301">
        <f>'Schippers 2005&amp;2006 all'!I134</f>
        <v>20282.58159689208</v>
      </c>
      <c r="K1000" s="301">
        <f>'Schippers 2005&amp;2006 all'!J134</f>
        <v>345592.1957055105</v>
      </c>
      <c r="N1000" s="27">
        <f>J1000/K1000</f>
        <v>5.868935076929653E-2</v>
      </c>
      <c r="P1000" s="324"/>
      <c r="R1000" s="304" t="s">
        <v>1395</v>
      </c>
      <c r="S1000" s="304" t="s">
        <v>52</v>
      </c>
      <c r="T1000" s="304" t="s">
        <v>51</v>
      </c>
      <c r="U1000" s="304" t="s">
        <v>51</v>
      </c>
      <c r="V1000" s="313">
        <v>0.55000000000000004</v>
      </c>
      <c r="W1000" s="313">
        <v>0.55000000000000004</v>
      </c>
      <c r="X1000" s="306" t="s">
        <v>248</v>
      </c>
      <c r="Y1000" s="321" t="s">
        <v>96</v>
      </c>
      <c r="Z1000" s="314" t="s">
        <v>100</v>
      </c>
      <c r="AA1000" s="326" t="s">
        <v>1495</v>
      </c>
      <c r="AD1000" s="326" t="s">
        <v>1717</v>
      </c>
      <c r="AE1000" s="326" t="s">
        <v>1725</v>
      </c>
      <c r="AF1000" s="326" t="s">
        <v>1735</v>
      </c>
      <c r="AG1000" s="326" t="s">
        <v>1707</v>
      </c>
      <c r="AH1000" s="326" t="s">
        <v>1714</v>
      </c>
      <c r="AI1000" s="326" t="s">
        <v>1496</v>
      </c>
      <c r="AJ1000" s="326" t="s">
        <v>1487</v>
      </c>
      <c r="AK1000" s="326" t="s">
        <v>1488</v>
      </c>
      <c r="AL1000" s="326" t="s">
        <v>1497</v>
      </c>
      <c r="AO1000" s="326" t="s">
        <v>1494</v>
      </c>
      <c r="AQ1000" s="326">
        <v>427</v>
      </c>
      <c r="AR1000" s="323" t="s">
        <v>1463</v>
      </c>
      <c r="AV1000" s="326" t="b">
        <v>1</v>
      </c>
      <c r="AW1000" t="b">
        <v>1</v>
      </c>
      <c r="AX1000" t="b">
        <v>1</v>
      </c>
      <c r="AY1000" t="b">
        <v>1</v>
      </c>
    </row>
    <row r="1001" spans="1:51">
      <c r="A1001" s="277" t="s">
        <v>759</v>
      </c>
      <c r="B1001" s="334" t="s">
        <v>1665</v>
      </c>
      <c r="C1001" s="277">
        <f>'Schippers 2005&amp;2006 all'!B135</f>
        <v>31.31</v>
      </c>
      <c r="D1001" s="301">
        <f>'Schippers 2005&amp;2006 all'!C135</f>
        <v>10050455.059383195</v>
      </c>
      <c r="H1001" s="336"/>
      <c r="P1001" s="293"/>
      <c r="R1001" s="304" t="s">
        <v>1395</v>
      </c>
      <c r="S1001" s="304" t="s">
        <v>52</v>
      </c>
      <c r="T1001" s="304" t="s">
        <v>51</v>
      </c>
      <c r="U1001" s="304" t="s">
        <v>51</v>
      </c>
      <c r="V1001" s="313">
        <v>0.55000000000000004</v>
      </c>
      <c r="W1001" s="313">
        <v>0.55000000000000004</v>
      </c>
      <c r="X1001" s="306" t="s">
        <v>248</v>
      </c>
      <c r="Y1001" s="317" t="s">
        <v>96</v>
      </c>
      <c r="Z1001" s="314" t="s">
        <v>100</v>
      </c>
      <c r="AQ1001" s="326">
        <v>427</v>
      </c>
      <c r="AR1001" s="323" t="s">
        <v>1463</v>
      </c>
    </row>
    <row r="1002" spans="1:51">
      <c r="A1002" s="277" t="s">
        <v>759</v>
      </c>
      <c r="B1002" s="334" t="s">
        <v>1665</v>
      </c>
      <c r="C1002" s="277">
        <f>'Schippers 2005&amp;2006 all'!B136</f>
        <v>32</v>
      </c>
      <c r="D1002" s="301">
        <f>'Schippers 2005&amp;2006 all'!C136</f>
        <v>13026199.203323534</v>
      </c>
      <c r="E1002" s="301">
        <f>'Schippers 2005&amp;2006 all'!E136</f>
        <v>385514.14262093254</v>
      </c>
      <c r="G1002" s="301">
        <f>E1002+F1002</f>
        <v>385514.14262093254</v>
      </c>
      <c r="H1002" s="27">
        <f>G1002/D1002</f>
        <v>2.9595289969354347E-2</v>
      </c>
      <c r="M1002" s="27">
        <v>0</v>
      </c>
      <c r="O1002" t="s">
        <v>1247</v>
      </c>
      <c r="Q1002" s="301" t="b">
        <v>1</v>
      </c>
      <c r="R1002" s="304" t="s">
        <v>1395</v>
      </c>
      <c r="S1002" s="304" t="s">
        <v>52</v>
      </c>
      <c r="T1002" s="304" t="s">
        <v>51</v>
      </c>
      <c r="U1002" s="304" t="s">
        <v>51</v>
      </c>
      <c r="V1002" s="313">
        <v>0.55000000000000004</v>
      </c>
      <c r="W1002" s="313">
        <v>0.55000000000000004</v>
      </c>
      <c r="X1002" s="306" t="s">
        <v>248</v>
      </c>
      <c r="Y1002" s="328" t="s">
        <v>96</v>
      </c>
      <c r="Z1002" s="314" t="s">
        <v>100</v>
      </c>
      <c r="AB1002" s="334" t="s">
        <v>311</v>
      </c>
      <c r="AC1002" s="334" t="s">
        <v>1702</v>
      </c>
      <c r="AQ1002" s="326">
        <v>427</v>
      </c>
      <c r="AR1002" s="323" t="s">
        <v>1463</v>
      </c>
    </row>
    <row r="1003" spans="1:51">
      <c r="A1003" s="277" t="s">
        <v>759</v>
      </c>
      <c r="B1003" s="334" t="s">
        <v>1665</v>
      </c>
      <c r="C1003" s="277">
        <f>'Schippers 2005&amp;2006 all'!B137</f>
        <v>32.49</v>
      </c>
      <c r="D1003" s="301">
        <f>'Schippers 2005&amp;2006 all'!C137</f>
        <v>13026199.203323534</v>
      </c>
      <c r="H1003" s="336"/>
      <c r="R1003" s="304" t="s">
        <v>1395</v>
      </c>
      <c r="S1003" s="304" t="s">
        <v>52</v>
      </c>
      <c r="T1003" s="304" t="s">
        <v>51</v>
      </c>
      <c r="U1003" s="304" t="s">
        <v>51</v>
      </c>
      <c r="V1003" s="313">
        <v>0.55000000000000004</v>
      </c>
      <c r="W1003" s="313">
        <v>0.55000000000000004</v>
      </c>
      <c r="X1003" s="306" t="s">
        <v>248</v>
      </c>
      <c r="Y1003" s="327" t="s">
        <v>96</v>
      </c>
      <c r="Z1003" s="314" t="s">
        <v>100</v>
      </c>
      <c r="AQ1003" s="326">
        <v>427</v>
      </c>
      <c r="AR1003" s="323" t="s">
        <v>1463</v>
      </c>
    </row>
    <row r="1004" spans="1:51">
      <c r="A1004" s="277" t="s">
        <v>759</v>
      </c>
      <c r="B1004" s="334" t="s">
        <v>1665</v>
      </c>
      <c r="C1004" s="277">
        <f>'Schippers 2005&amp;2006 all'!B138</f>
        <v>34.22</v>
      </c>
      <c r="D1004" s="301">
        <f>'Schippers 2005&amp;2006 all'!C138</f>
        <v>6728715.3965597898</v>
      </c>
      <c r="H1004" s="336"/>
      <c r="I1004" s="301">
        <f>'Schippers 2005&amp;2006 all'!H138</f>
        <v>850401.4837357254</v>
      </c>
      <c r="J1004" s="301">
        <f>'Schippers 2005&amp;2006 all'!I138</f>
        <v>38221.026137833884</v>
      </c>
      <c r="K1004" s="301">
        <f>'Schippers 2005&amp;2006 all'!J138</f>
        <v>888622.50987355923</v>
      </c>
      <c r="N1004" s="27">
        <f>J1004/K1004</f>
        <v>4.301154394937879E-2</v>
      </c>
      <c r="R1004" s="304" t="s">
        <v>1395</v>
      </c>
      <c r="S1004" s="304" t="s">
        <v>52</v>
      </c>
      <c r="T1004" s="304" t="s">
        <v>51</v>
      </c>
      <c r="U1004" s="304" t="s">
        <v>51</v>
      </c>
      <c r="V1004" s="313">
        <v>0.55000000000000004</v>
      </c>
      <c r="W1004" s="313">
        <v>0.55000000000000004</v>
      </c>
      <c r="X1004" s="306" t="s">
        <v>248</v>
      </c>
      <c r="Y1004" s="327" t="s">
        <v>96</v>
      </c>
      <c r="Z1004" s="314" t="s">
        <v>100</v>
      </c>
      <c r="AA1004" s="326" t="s">
        <v>1495</v>
      </c>
      <c r="AD1004" s="326" t="s">
        <v>1717</v>
      </c>
      <c r="AE1004" s="326" t="s">
        <v>1725</v>
      </c>
      <c r="AF1004" s="326" t="s">
        <v>1735</v>
      </c>
      <c r="AG1004" s="326" t="s">
        <v>1707</v>
      </c>
      <c r="AH1004" s="326" t="s">
        <v>1714</v>
      </c>
      <c r="AI1004" s="326" t="s">
        <v>1496</v>
      </c>
      <c r="AJ1004" s="326" t="s">
        <v>1487</v>
      </c>
      <c r="AK1004" s="326" t="s">
        <v>1488</v>
      </c>
      <c r="AL1004" s="326" t="s">
        <v>1497</v>
      </c>
      <c r="AO1004" s="326" t="s">
        <v>1494</v>
      </c>
      <c r="AQ1004" s="326">
        <v>427</v>
      </c>
      <c r="AR1004" s="323" t="s">
        <v>1463</v>
      </c>
      <c r="AV1004" s="326" t="b">
        <v>1</v>
      </c>
      <c r="AW1004" t="b">
        <v>1</v>
      </c>
      <c r="AX1004" t="b">
        <v>1</v>
      </c>
      <c r="AY1004" t="b">
        <v>1</v>
      </c>
    </row>
    <row r="1005" spans="1:51">
      <c r="A1005" s="277" t="s">
        <v>759</v>
      </c>
      <c r="B1005" s="334" t="s">
        <v>1665</v>
      </c>
      <c r="C1005" s="277">
        <f>'Schippers 2005&amp;2006 all'!B139</f>
        <v>34.300000000000004</v>
      </c>
      <c r="D1005" s="301">
        <f>'Schippers 2005&amp;2006 all'!C139</f>
        <v>6728715.3965597898</v>
      </c>
      <c r="H1005" s="336"/>
      <c r="I1005" s="301">
        <f>'Schippers 2005&amp;2006 all'!H139</f>
        <v>462614.13515675225</v>
      </c>
      <c r="J1005" s="301">
        <f>'Schippers 2005&amp;2006 all'!I139</f>
        <v>50214.356145489495</v>
      </c>
      <c r="K1005" s="301">
        <f>'Schippers 2005&amp;2006 all'!J139</f>
        <v>512828.49130224175</v>
      </c>
      <c r="N1005" s="27">
        <f>J1005/K1005</f>
        <v>9.7916471095392102E-2</v>
      </c>
      <c r="R1005" s="304" t="s">
        <v>1395</v>
      </c>
      <c r="S1005" s="304" t="s">
        <v>52</v>
      </c>
      <c r="T1005" s="304" t="s">
        <v>51</v>
      </c>
      <c r="U1005" s="304" t="s">
        <v>51</v>
      </c>
      <c r="V1005" s="313">
        <v>0.55000000000000004</v>
      </c>
      <c r="W1005" s="313">
        <v>0.55000000000000004</v>
      </c>
      <c r="X1005" s="306" t="s">
        <v>248</v>
      </c>
      <c r="Y1005" s="334" t="s">
        <v>96</v>
      </c>
      <c r="Z1005" s="314" t="s">
        <v>100</v>
      </c>
      <c r="AA1005" s="326" t="s">
        <v>1495</v>
      </c>
      <c r="AD1005" s="326" t="s">
        <v>1717</v>
      </c>
      <c r="AE1005" s="326" t="s">
        <v>1725</v>
      </c>
      <c r="AF1005" s="326" t="s">
        <v>1735</v>
      </c>
      <c r="AG1005" s="326" t="s">
        <v>1707</v>
      </c>
      <c r="AH1005" s="326" t="s">
        <v>1714</v>
      </c>
      <c r="AI1005" s="326" t="s">
        <v>1496</v>
      </c>
      <c r="AJ1005" s="326" t="s">
        <v>1487</v>
      </c>
      <c r="AK1005" s="326" t="s">
        <v>1488</v>
      </c>
      <c r="AL1005" s="326" t="s">
        <v>1497</v>
      </c>
      <c r="AO1005" s="326" t="s">
        <v>1494</v>
      </c>
      <c r="AQ1005" s="326">
        <v>427</v>
      </c>
      <c r="AR1005" s="323" t="s">
        <v>1463</v>
      </c>
      <c r="AV1005" s="326" t="b">
        <v>1</v>
      </c>
      <c r="AW1005" t="b">
        <v>1</v>
      </c>
      <c r="AX1005" t="b">
        <v>1</v>
      </c>
      <c r="AY1005" t="b">
        <v>1</v>
      </c>
    </row>
    <row r="1006" spans="1:51">
      <c r="A1006" s="277" t="s">
        <v>759</v>
      </c>
      <c r="B1006" s="334" t="s">
        <v>1665</v>
      </c>
      <c r="C1006" s="277">
        <f>'Schippers 2005&amp;2006 all'!B140</f>
        <v>35</v>
      </c>
      <c r="D1006" s="301">
        <f>'Schippers 2005&amp;2006 all'!C140</f>
        <v>6728715.3965597898</v>
      </c>
      <c r="E1006" s="301">
        <f>'Schippers 2005&amp;2006 all'!E140</f>
        <v>257221.81816003393</v>
      </c>
      <c r="G1006" s="301">
        <f>E1006+F1006</f>
        <v>257221.81816003393</v>
      </c>
      <c r="H1006" s="336">
        <f>G1006/D1006</f>
        <v>3.8227477757722443E-2</v>
      </c>
      <c r="M1006" s="27">
        <v>0</v>
      </c>
      <c r="O1006" t="s">
        <v>1247</v>
      </c>
      <c r="Q1006" s="301" t="b">
        <v>1</v>
      </c>
      <c r="R1006" s="304" t="s">
        <v>1395</v>
      </c>
      <c r="S1006" s="304" t="s">
        <v>52</v>
      </c>
      <c r="T1006" s="304" t="s">
        <v>51</v>
      </c>
      <c r="U1006" s="304" t="s">
        <v>51</v>
      </c>
      <c r="V1006" s="313">
        <v>0.55000000000000004</v>
      </c>
      <c r="W1006" s="313">
        <v>0.55000000000000004</v>
      </c>
      <c r="X1006" s="306" t="s">
        <v>248</v>
      </c>
      <c r="Y1006" s="327" t="s">
        <v>96</v>
      </c>
      <c r="Z1006" s="314" t="s">
        <v>100</v>
      </c>
      <c r="AB1006" s="334" t="s">
        <v>311</v>
      </c>
      <c r="AC1006" s="334" t="s">
        <v>1702</v>
      </c>
      <c r="AQ1006" s="326">
        <v>427</v>
      </c>
      <c r="AR1006" s="323" t="s">
        <v>1463</v>
      </c>
    </row>
    <row r="1007" spans="1:51">
      <c r="A1007" s="277" t="s">
        <v>759</v>
      </c>
      <c r="B1007" s="334" t="s">
        <v>1665</v>
      </c>
      <c r="C1007" s="277">
        <f>'Schippers 2005&amp;2006 all'!B141</f>
        <v>35.51</v>
      </c>
      <c r="D1007" s="301">
        <f>'Schippers 2005&amp;2006 all'!C141</f>
        <v>6728715.3965597898</v>
      </c>
      <c r="H1007" s="336"/>
      <c r="R1007" s="304" t="s">
        <v>1395</v>
      </c>
      <c r="S1007" s="304" t="s">
        <v>52</v>
      </c>
      <c r="T1007" s="304" t="s">
        <v>51</v>
      </c>
      <c r="U1007" s="304" t="s">
        <v>51</v>
      </c>
      <c r="V1007" s="313">
        <v>0.55000000000000004</v>
      </c>
      <c r="W1007" s="313">
        <v>0.55000000000000004</v>
      </c>
      <c r="X1007" s="306" t="s">
        <v>248</v>
      </c>
      <c r="Y1007" s="323" t="s">
        <v>96</v>
      </c>
      <c r="Z1007" s="314" t="s">
        <v>100</v>
      </c>
      <c r="AA1007" s="328"/>
      <c r="AE1007" s="328"/>
      <c r="AQ1007" s="326">
        <v>427</v>
      </c>
      <c r="AR1007" s="323" t="s">
        <v>1463</v>
      </c>
    </row>
    <row r="1008" spans="1:51">
      <c r="A1008" s="277" t="s">
        <v>759</v>
      </c>
      <c r="B1008" s="334" t="s">
        <v>1665</v>
      </c>
      <c r="C1008" s="277">
        <f>'Schippers 2005&amp;2006 all'!B142</f>
        <v>37.300000000000004</v>
      </c>
      <c r="D1008" s="301">
        <f>'Schippers 2005&amp;2006 all'!C142</f>
        <v>3096294.4431956285</v>
      </c>
      <c r="H1008" s="336"/>
      <c r="I1008" s="301">
        <f>'Schippers 2005&amp;2006 all'!H142</f>
        <v>545433.88228819182</v>
      </c>
      <c r="J1008" s="301">
        <f>'Schippers 2005&amp;2006 all'!I142</f>
        <v>48755.106873058139</v>
      </c>
      <c r="K1008" s="301">
        <f>'Schippers 2005&amp;2006 all'!J142</f>
        <v>594188.98916124995</v>
      </c>
      <c r="N1008" s="27">
        <f>J1008/K1008</f>
        <v>8.2053198161548338E-2</v>
      </c>
      <c r="P1008" s="323"/>
      <c r="R1008" s="304" t="s">
        <v>1395</v>
      </c>
      <c r="S1008" s="304" t="s">
        <v>52</v>
      </c>
      <c r="T1008" s="304" t="s">
        <v>51</v>
      </c>
      <c r="U1008" s="304" t="s">
        <v>51</v>
      </c>
      <c r="V1008" s="313">
        <v>0.55000000000000004</v>
      </c>
      <c r="W1008" s="313">
        <v>0.55000000000000004</v>
      </c>
      <c r="X1008" s="306" t="s">
        <v>248</v>
      </c>
      <c r="Y1008" s="334" t="s">
        <v>96</v>
      </c>
      <c r="Z1008" s="314" t="s">
        <v>100</v>
      </c>
      <c r="AA1008" s="326" t="s">
        <v>1495</v>
      </c>
      <c r="AD1008" s="326" t="s">
        <v>1717</v>
      </c>
      <c r="AE1008" s="326" t="s">
        <v>1725</v>
      </c>
      <c r="AF1008" s="326" t="s">
        <v>1735</v>
      </c>
      <c r="AG1008" s="326" t="s">
        <v>1707</v>
      </c>
      <c r="AH1008" s="326" t="s">
        <v>1714</v>
      </c>
      <c r="AI1008" s="326" t="s">
        <v>1496</v>
      </c>
      <c r="AJ1008" s="326" t="s">
        <v>1487</v>
      </c>
      <c r="AK1008" s="326" t="s">
        <v>1488</v>
      </c>
      <c r="AL1008" s="326" t="s">
        <v>1497</v>
      </c>
      <c r="AO1008" s="326" t="s">
        <v>1494</v>
      </c>
      <c r="AQ1008" s="326">
        <v>427</v>
      </c>
      <c r="AR1008" s="323" t="s">
        <v>1463</v>
      </c>
      <c r="AV1008" s="326" t="b">
        <v>1</v>
      </c>
      <c r="AW1008" t="b">
        <v>1</v>
      </c>
      <c r="AX1008" t="b">
        <v>1</v>
      </c>
      <c r="AY1008" t="b">
        <v>1</v>
      </c>
    </row>
    <row r="1009" spans="1:51">
      <c r="A1009" s="277" t="s">
        <v>759</v>
      </c>
      <c r="B1009" s="334" t="s">
        <v>1665</v>
      </c>
      <c r="C1009" s="277">
        <f>'Schippers 2005&amp;2006 all'!B143</f>
        <v>37.35</v>
      </c>
      <c r="D1009" s="301">
        <f>'Schippers 2005&amp;2006 all'!C143</f>
        <v>3096294.4431956285</v>
      </c>
      <c r="H1009" s="336"/>
      <c r="R1009" s="304" t="s">
        <v>1395</v>
      </c>
      <c r="S1009" s="304" t="s">
        <v>52</v>
      </c>
      <c r="T1009" s="304" t="s">
        <v>51</v>
      </c>
      <c r="U1009" s="304" t="s">
        <v>51</v>
      </c>
      <c r="V1009" s="313">
        <v>0.55000000000000004</v>
      </c>
      <c r="W1009" s="313">
        <v>0.55000000000000004</v>
      </c>
      <c r="X1009" s="306" t="s">
        <v>248</v>
      </c>
      <c r="Y1009" s="323" t="s">
        <v>96</v>
      </c>
      <c r="Z1009" s="314" t="s">
        <v>100</v>
      </c>
      <c r="AQ1009" s="326">
        <v>427</v>
      </c>
      <c r="AR1009" s="323" t="s">
        <v>1463</v>
      </c>
    </row>
    <row r="1010" spans="1:51">
      <c r="A1010" s="277" t="s">
        <v>759</v>
      </c>
      <c r="B1010" s="334" t="s">
        <v>1665</v>
      </c>
      <c r="C1010" s="277">
        <f>'Schippers 2005&amp;2006 all'!B144</f>
        <v>37.4</v>
      </c>
      <c r="D1010" s="301">
        <f>'Schippers 2005&amp;2006 all'!C144</f>
        <v>3096294.4431956285</v>
      </c>
      <c r="H1010" s="336"/>
      <c r="I1010" s="301">
        <f>'Schippers 2005&amp;2006 all'!H144</f>
        <v>838298.90425066638</v>
      </c>
      <c r="J1010" s="301">
        <f>'Schippers 2005&amp;2006 all'!I144</f>
        <v>29817.546039056189</v>
      </c>
      <c r="K1010" s="301">
        <f>'Schippers 2005&amp;2006 all'!J144</f>
        <v>868116.45028972253</v>
      </c>
      <c r="N1010" s="27">
        <f>J1010/K1010</f>
        <v>3.4347403541431537E-2</v>
      </c>
      <c r="R1010" s="304" t="s">
        <v>1395</v>
      </c>
      <c r="S1010" s="304" t="s">
        <v>52</v>
      </c>
      <c r="T1010" s="304" t="s">
        <v>51</v>
      </c>
      <c r="U1010" s="304" t="s">
        <v>51</v>
      </c>
      <c r="V1010" s="313">
        <v>0.55000000000000004</v>
      </c>
      <c r="W1010" s="313">
        <v>0.55000000000000004</v>
      </c>
      <c r="X1010" s="306" t="s">
        <v>248</v>
      </c>
      <c r="Y1010" s="327" t="s">
        <v>96</v>
      </c>
      <c r="Z1010" s="314" t="s">
        <v>100</v>
      </c>
      <c r="AA1010" s="326" t="s">
        <v>1495</v>
      </c>
      <c r="AD1010" s="326" t="s">
        <v>1717</v>
      </c>
      <c r="AE1010" s="326" t="s">
        <v>1725</v>
      </c>
      <c r="AF1010" s="326" t="s">
        <v>1735</v>
      </c>
      <c r="AG1010" s="326" t="s">
        <v>1707</v>
      </c>
      <c r="AH1010" s="326" t="s">
        <v>1714</v>
      </c>
      <c r="AI1010" s="326" t="s">
        <v>1496</v>
      </c>
      <c r="AJ1010" s="326" t="s">
        <v>1487</v>
      </c>
      <c r="AK1010" s="326" t="s">
        <v>1488</v>
      </c>
      <c r="AL1010" s="326" t="s">
        <v>1497</v>
      </c>
      <c r="AO1010" s="326" t="s">
        <v>1494</v>
      </c>
      <c r="AQ1010" s="326">
        <v>427</v>
      </c>
      <c r="AR1010" s="323" t="s">
        <v>1463</v>
      </c>
      <c r="AV1010" s="326" t="b">
        <v>1</v>
      </c>
      <c r="AW1010" t="b">
        <v>1</v>
      </c>
      <c r="AX1010" t="b">
        <v>1</v>
      </c>
      <c r="AY1010" t="b">
        <v>1</v>
      </c>
    </row>
    <row r="1011" spans="1:51">
      <c r="A1011" s="277" t="s">
        <v>759</v>
      </c>
      <c r="B1011" s="334" t="s">
        <v>1665</v>
      </c>
      <c r="C1011" s="277">
        <f>'Schippers 2005&amp;2006 all'!B145</f>
        <v>37.700000000000003</v>
      </c>
      <c r="D1011" s="301">
        <f>'Schippers 2005&amp;2006 all'!C145</f>
        <v>3096294.4431956285</v>
      </c>
      <c r="H1011" s="336"/>
      <c r="I1011" s="301">
        <f>'Schippers 2005&amp;2006 all'!H145</f>
        <v>6334868.9859134601</v>
      </c>
      <c r="J1011" s="301">
        <f>'Schippers 2005&amp;2006 all'!I145</f>
        <v>29004.16079651863</v>
      </c>
      <c r="K1011" s="301">
        <f>'Schippers 2005&amp;2006 all'!J145</f>
        <v>6363873.1467099786</v>
      </c>
      <c r="N1011" s="27">
        <f>J1011/K1011</f>
        <v>4.5576271129026706E-3</v>
      </c>
      <c r="P1011" s="323"/>
      <c r="R1011" s="304" t="s">
        <v>1395</v>
      </c>
      <c r="S1011" s="304" t="s">
        <v>52</v>
      </c>
      <c r="T1011" s="304" t="s">
        <v>51</v>
      </c>
      <c r="U1011" s="304" t="s">
        <v>51</v>
      </c>
      <c r="V1011" s="313">
        <v>0.55000000000000004</v>
      </c>
      <c r="W1011" s="313">
        <v>0.55000000000000004</v>
      </c>
      <c r="X1011" s="306" t="s">
        <v>248</v>
      </c>
      <c r="Y1011" s="334" t="s">
        <v>96</v>
      </c>
      <c r="Z1011" s="314" t="s">
        <v>100</v>
      </c>
      <c r="AA1011" s="326" t="s">
        <v>1495</v>
      </c>
      <c r="AD1011" s="326" t="s">
        <v>1717</v>
      </c>
      <c r="AE1011" s="326" t="s">
        <v>1725</v>
      </c>
      <c r="AF1011" s="326" t="s">
        <v>1735</v>
      </c>
      <c r="AG1011" s="326" t="s">
        <v>1707</v>
      </c>
      <c r="AH1011" s="326" t="s">
        <v>1714</v>
      </c>
      <c r="AI1011" s="326" t="s">
        <v>1496</v>
      </c>
      <c r="AJ1011" s="326" t="s">
        <v>1487</v>
      </c>
      <c r="AK1011" s="326" t="s">
        <v>1488</v>
      </c>
      <c r="AL1011" s="326" t="s">
        <v>1497</v>
      </c>
      <c r="AO1011" s="326" t="s">
        <v>1494</v>
      </c>
      <c r="AQ1011" s="326">
        <v>427</v>
      </c>
      <c r="AR1011" s="323" t="s">
        <v>1463</v>
      </c>
      <c r="AV1011" s="326" t="b">
        <v>1</v>
      </c>
      <c r="AW1011" t="b">
        <v>1</v>
      </c>
      <c r="AX1011" t="b">
        <v>1</v>
      </c>
      <c r="AY1011" t="b">
        <v>1</v>
      </c>
    </row>
    <row r="1012" spans="1:51">
      <c r="A1012" s="277" t="s">
        <v>759</v>
      </c>
      <c r="B1012" s="334" t="s">
        <v>1665</v>
      </c>
      <c r="C1012" s="277">
        <f>'Schippers 2005&amp;2006 all'!B146</f>
        <v>37.800000000000004</v>
      </c>
      <c r="D1012" s="301">
        <f>'Schippers 2005&amp;2006 all'!C146</f>
        <v>3096294.4431956285</v>
      </c>
      <c r="H1012" s="336"/>
      <c r="I1012" s="301">
        <f>'Schippers 2005&amp;2006 all'!H146</f>
        <v>546648.16990111931</v>
      </c>
      <c r="J1012" s="301">
        <f>'Schippers 2005&amp;2006 all'!I146</f>
        <v>28837.784924510601</v>
      </c>
      <c r="K1012" s="301">
        <f>'Schippers 2005&amp;2006 all'!J146</f>
        <v>575485.95482562995</v>
      </c>
      <c r="N1012" s="27">
        <f>J1012/K1012</f>
        <v>5.0110319257484465E-2</v>
      </c>
      <c r="R1012" s="304" t="s">
        <v>1395</v>
      </c>
      <c r="S1012" s="304" t="s">
        <v>52</v>
      </c>
      <c r="T1012" s="304" t="s">
        <v>51</v>
      </c>
      <c r="U1012" s="304" t="s">
        <v>51</v>
      </c>
      <c r="V1012" s="313">
        <v>0.55000000000000004</v>
      </c>
      <c r="W1012" s="313">
        <v>0.55000000000000004</v>
      </c>
      <c r="X1012" s="306" t="s">
        <v>248</v>
      </c>
      <c r="Y1012" s="326" t="s">
        <v>96</v>
      </c>
      <c r="Z1012" s="314" t="s">
        <v>100</v>
      </c>
      <c r="AA1012" s="326" t="s">
        <v>1495</v>
      </c>
      <c r="AD1012" s="326" t="s">
        <v>1717</v>
      </c>
      <c r="AE1012" s="326" t="s">
        <v>1725</v>
      </c>
      <c r="AF1012" s="326" t="s">
        <v>1735</v>
      </c>
      <c r="AG1012" s="326" t="s">
        <v>1707</v>
      </c>
      <c r="AH1012" s="326" t="s">
        <v>1714</v>
      </c>
      <c r="AI1012" s="326" t="s">
        <v>1496</v>
      </c>
      <c r="AJ1012" s="326" t="s">
        <v>1487</v>
      </c>
      <c r="AK1012" s="326" t="s">
        <v>1488</v>
      </c>
      <c r="AL1012" s="326" t="s">
        <v>1497</v>
      </c>
      <c r="AO1012" s="326" t="s">
        <v>1494</v>
      </c>
      <c r="AQ1012" s="326">
        <v>427</v>
      </c>
      <c r="AR1012" s="323" t="s">
        <v>1463</v>
      </c>
      <c r="AV1012" s="326" t="b">
        <v>1</v>
      </c>
      <c r="AW1012" t="b">
        <v>1</v>
      </c>
      <c r="AX1012" t="b">
        <v>1</v>
      </c>
      <c r="AY1012" t="b">
        <v>1</v>
      </c>
    </row>
    <row r="1013" spans="1:51">
      <c r="A1013" s="277" t="s">
        <v>759</v>
      </c>
      <c r="B1013" s="334" t="s">
        <v>1665</v>
      </c>
      <c r="C1013" s="277">
        <f>'Schippers 2005&amp;2006 all'!B147</f>
        <v>38</v>
      </c>
      <c r="D1013" s="301">
        <f>'Schippers 2005&amp;2006 all'!C147</f>
        <v>4975755.5049001593</v>
      </c>
      <c r="E1013" s="301">
        <f>'Schippers 2005&amp;2006 all'!E147</f>
        <v>673766.58990829263</v>
      </c>
      <c r="G1013" s="301">
        <f>E1013+F1013</f>
        <v>673766.58990829263</v>
      </c>
      <c r="H1013" s="336">
        <f>G1013/D1013</f>
        <v>0.13540990694674659</v>
      </c>
      <c r="M1013" s="27">
        <v>0</v>
      </c>
      <c r="O1013" t="s">
        <v>1247</v>
      </c>
      <c r="Q1013" s="301" t="b">
        <v>1</v>
      </c>
      <c r="R1013" s="304" t="s">
        <v>1395</v>
      </c>
      <c r="S1013" s="304" t="s">
        <v>52</v>
      </c>
      <c r="T1013" s="304" t="s">
        <v>51</v>
      </c>
      <c r="U1013" s="304" t="s">
        <v>51</v>
      </c>
      <c r="V1013" s="313">
        <v>0.55000000000000004</v>
      </c>
      <c r="W1013" s="313">
        <v>0.55000000000000004</v>
      </c>
      <c r="X1013" s="306" t="s">
        <v>248</v>
      </c>
      <c r="Y1013" s="327" t="s">
        <v>96</v>
      </c>
      <c r="Z1013" s="314" t="s">
        <v>100</v>
      </c>
      <c r="AB1013" s="334" t="s">
        <v>311</v>
      </c>
      <c r="AC1013" s="334" t="s">
        <v>1702</v>
      </c>
      <c r="AQ1013" s="326">
        <v>427</v>
      </c>
      <c r="AR1013" s="323" t="s">
        <v>1463</v>
      </c>
    </row>
    <row r="1014" spans="1:51">
      <c r="A1014" s="277" t="s">
        <v>759</v>
      </c>
      <c r="B1014" s="334" t="s">
        <v>1665</v>
      </c>
      <c r="C1014" s="277">
        <f>'Schippers 2005&amp;2006 all'!B148</f>
        <v>38.4</v>
      </c>
      <c r="D1014" s="301">
        <f>'Schippers 2005&amp;2006 all'!C148</f>
        <v>4975755.5049001593</v>
      </c>
      <c r="H1014" s="336"/>
      <c r="P1014" s="293"/>
      <c r="R1014" s="304" t="s">
        <v>1395</v>
      </c>
      <c r="S1014" s="304" t="s">
        <v>52</v>
      </c>
      <c r="T1014" s="304" t="s">
        <v>51</v>
      </c>
      <c r="U1014" s="304" t="s">
        <v>51</v>
      </c>
      <c r="V1014" s="313">
        <v>0.55000000000000004</v>
      </c>
      <c r="W1014" s="313">
        <v>0.55000000000000004</v>
      </c>
      <c r="X1014" s="306" t="s">
        <v>248</v>
      </c>
      <c r="Y1014" s="327" t="s">
        <v>96</v>
      </c>
      <c r="Z1014" s="314" t="s">
        <v>100</v>
      </c>
      <c r="AQ1014" s="326">
        <v>427</v>
      </c>
      <c r="AR1014" s="323" t="s">
        <v>1463</v>
      </c>
    </row>
    <row r="1015" spans="1:51">
      <c r="A1015" s="277" t="s">
        <v>759</v>
      </c>
      <c r="B1015" s="334" t="s">
        <v>1665</v>
      </c>
      <c r="C1015" s="277">
        <f>'Schippers 2005&amp;2006 all'!B149</f>
        <v>40.300000000000004</v>
      </c>
      <c r="D1015" s="301">
        <f>'Schippers 2005&amp;2006 all'!C149</f>
        <v>2928753.0418893769</v>
      </c>
      <c r="H1015" s="336"/>
      <c r="I1015" s="301">
        <f>'Schippers 2005&amp;2006 all'!H149</f>
        <v>411614.04085497197</v>
      </c>
      <c r="J1015" s="301">
        <f>'Schippers 2005&amp;2006 all'!I149</f>
        <v>31261.742452808099</v>
      </c>
      <c r="K1015" s="301">
        <f>'Schippers 2005&amp;2006 all'!J149</f>
        <v>442875.78330778005</v>
      </c>
      <c r="N1015" s="27">
        <f>J1015/K1015</f>
        <v>7.0588060198998284E-2</v>
      </c>
      <c r="R1015" s="304" t="s">
        <v>1395</v>
      </c>
      <c r="S1015" s="304" t="s">
        <v>52</v>
      </c>
      <c r="T1015" s="304" t="s">
        <v>51</v>
      </c>
      <c r="U1015" s="304" t="s">
        <v>51</v>
      </c>
      <c r="V1015" s="313">
        <v>0.55000000000000004</v>
      </c>
      <c r="W1015" s="313">
        <v>0.55000000000000004</v>
      </c>
      <c r="X1015" s="306" t="s">
        <v>248</v>
      </c>
      <c r="Y1015" s="327" t="s">
        <v>96</v>
      </c>
      <c r="Z1015" s="314" t="s">
        <v>100</v>
      </c>
      <c r="AA1015" s="326" t="s">
        <v>1495</v>
      </c>
      <c r="AD1015" s="326" t="s">
        <v>1717</v>
      </c>
      <c r="AE1015" s="326" t="s">
        <v>1725</v>
      </c>
      <c r="AF1015" s="326" t="s">
        <v>1735</v>
      </c>
      <c r="AG1015" s="326" t="s">
        <v>1707</v>
      </c>
      <c r="AH1015" s="326" t="s">
        <v>1714</v>
      </c>
      <c r="AI1015" s="326" t="s">
        <v>1496</v>
      </c>
      <c r="AJ1015" s="326" t="s">
        <v>1487</v>
      </c>
      <c r="AK1015" s="326" t="s">
        <v>1488</v>
      </c>
      <c r="AL1015" s="326" t="s">
        <v>1497</v>
      </c>
      <c r="AO1015" s="326" t="s">
        <v>1494</v>
      </c>
      <c r="AQ1015" s="326">
        <v>427</v>
      </c>
      <c r="AR1015" s="323" t="s">
        <v>1463</v>
      </c>
      <c r="AV1015" s="326" t="b">
        <v>1</v>
      </c>
      <c r="AW1015" t="b">
        <v>1</v>
      </c>
      <c r="AX1015" t="b">
        <v>1</v>
      </c>
      <c r="AY1015" t="b">
        <v>1</v>
      </c>
    </row>
    <row r="1016" spans="1:51">
      <c r="A1016" s="277" t="s">
        <v>759</v>
      </c>
      <c r="B1016" s="334" t="s">
        <v>1665</v>
      </c>
      <c r="C1016" s="277">
        <f>'Schippers 2005&amp;2006 all'!B150</f>
        <v>40.4</v>
      </c>
      <c r="D1016" s="301">
        <f>'Schippers 2005&amp;2006 all'!C150</f>
        <v>2928753.0418893769</v>
      </c>
      <c r="H1016" s="336"/>
      <c r="I1016" s="301">
        <f>'Schippers 2005&amp;2006 all'!H150</f>
        <v>6127860.9008945199</v>
      </c>
      <c r="J1016" s="301">
        <f>'Schippers 2005&amp;2006 all'!I150</f>
        <v>1489735.7223147601</v>
      </c>
      <c r="K1016" s="301">
        <f>'Schippers 2005&amp;2006 all'!J150</f>
        <v>7617596.62320928</v>
      </c>
      <c r="N1016" s="27">
        <f>J1016/K1016</f>
        <v>0.19556505758992751</v>
      </c>
      <c r="R1016" s="304" t="s">
        <v>1395</v>
      </c>
      <c r="S1016" s="304" t="s">
        <v>52</v>
      </c>
      <c r="T1016" s="304" t="s">
        <v>51</v>
      </c>
      <c r="U1016" s="304" t="s">
        <v>51</v>
      </c>
      <c r="V1016" s="313">
        <v>0.55000000000000004</v>
      </c>
      <c r="W1016" s="313">
        <v>0.55000000000000004</v>
      </c>
      <c r="X1016" s="306" t="s">
        <v>248</v>
      </c>
      <c r="Y1016" s="327" t="s">
        <v>96</v>
      </c>
      <c r="Z1016" s="314" t="s">
        <v>100</v>
      </c>
      <c r="AA1016" s="326" t="s">
        <v>1495</v>
      </c>
      <c r="AD1016" s="326" t="s">
        <v>1717</v>
      </c>
      <c r="AE1016" s="326" t="s">
        <v>1725</v>
      </c>
      <c r="AF1016" s="326" t="s">
        <v>1735</v>
      </c>
      <c r="AG1016" s="326" t="s">
        <v>1707</v>
      </c>
      <c r="AH1016" s="326" t="s">
        <v>1714</v>
      </c>
      <c r="AI1016" s="326" t="s">
        <v>1496</v>
      </c>
      <c r="AJ1016" s="326" t="s">
        <v>1487</v>
      </c>
      <c r="AK1016" s="326" t="s">
        <v>1488</v>
      </c>
      <c r="AL1016" s="326" t="s">
        <v>1497</v>
      </c>
      <c r="AO1016" s="326" t="s">
        <v>1494</v>
      </c>
      <c r="AQ1016" s="326">
        <v>427</v>
      </c>
      <c r="AR1016" s="323" t="s">
        <v>1463</v>
      </c>
      <c r="AV1016" s="326" t="b">
        <v>1</v>
      </c>
      <c r="AW1016" t="b">
        <v>1</v>
      </c>
      <c r="AX1016" t="b">
        <v>1</v>
      </c>
      <c r="AY1016" t="b">
        <v>1</v>
      </c>
    </row>
    <row r="1017" spans="1:51">
      <c r="A1017" s="277" t="s">
        <v>759</v>
      </c>
      <c r="B1017" s="334" t="s">
        <v>1665</v>
      </c>
      <c r="C1017" s="277">
        <f>'Schippers 2005&amp;2006 all'!B151</f>
        <v>41</v>
      </c>
      <c r="D1017" s="301">
        <f>'Schippers 2005&amp;2006 all'!C151</f>
        <v>2928753.0418893769</v>
      </c>
      <c r="E1017" s="301">
        <f>'Schippers 2005&amp;2006 all'!E151</f>
        <v>375009.64209142159</v>
      </c>
      <c r="G1017" s="301">
        <f>E1017+F1017</f>
        <v>375009.64209142159</v>
      </c>
      <c r="H1017" s="336">
        <f>G1017/D1017</f>
        <v>0.1280441323415572</v>
      </c>
      <c r="M1017" s="27">
        <v>0</v>
      </c>
      <c r="O1017" t="s">
        <v>1247</v>
      </c>
      <c r="P1017" s="303"/>
      <c r="Q1017" s="301" t="b">
        <v>1</v>
      </c>
      <c r="R1017" s="304" t="s">
        <v>1395</v>
      </c>
      <c r="S1017" s="304" t="s">
        <v>52</v>
      </c>
      <c r="T1017" s="304" t="s">
        <v>51</v>
      </c>
      <c r="U1017" s="304" t="s">
        <v>51</v>
      </c>
      <c r="V1017" s="313">
        <v>0.55000000000000004</v>
      </c>
      <c r="W1017" s="313">
        <v>0.55000000000000004</v>
      </c>
      <c r="X1017" s="306" t="s">
        <v>248</v>
      </c>
      <c r="Y1017" s="327" t="s">
        <v>96</v>
      </c>
      <c r="Z1017" s="314" t="s">
        <v>100</v>
      </c>
      <c r="AB1017" s="334" t="s">
        <v>311</v>
      </c>
      <c r="AC1017" s="334" t="s">
        <v>1702</v>
      </c>
      <c r="AQ1017" s="326">
        <v>427</v>
      </c>
      <c r="AR1017" s="323" t="s">
        <v>1463</v>
      </c>
    </row>
    <row r="1018" spans="1:51">
      <c r="A1018" s="277" t="s">
        <v>759</v>
      </c>
      <c r="B1018" s="334" t="s">
        <v>1665</v>
      </c>
      <c r="C1018" s="277">
        <f>'Schippers 2005&amp;2006 all'!B152</f>
        <v>41.4</v>
      </c>
      <c r="D1018" s="301">
        <f>'Schippers 2005&amp;2006 all'!C152</f>
        <v>2928753.0418893769</v>
      </c>
      <c r="H1018" s="336"/>
      <c r="P1018" s="326"/>
      <c r="R1018" s="304" t="s">
        <v>1395</v>
      </c>
      <c r="S1018" s="304" t="s">
        <v>52</v>
      </c>
      <c r="T1018" s="304" t="s">
        <v>51</v>
      </c>
      <c r="U1018" s="304" t="s">
        <v>51</v>
      </c>
      <c r="V1018" s="313">
        <v>0.55000000000000004</v>
      </c>
      <c r="W1018" s="313">
        <v>0.55000000000000004</v>
      </c>
      <c r="X1018" s="306" t="s">
        <v>248</v>
      </c>
      <c r="Y1018" s="328" t="s">
        <v>96</v>
      </c>
      <c r="Z1018" s="314" t="s">
        <v>100</v>
      </c>
      <c r="AQ1018" s="326">
        <v>427</v>
      </c>
      <c r="AR1018" s="323" t="s">
        <v>1463</v>
      </c>
    </row>
    <row r="1019" spans="1:51">
      <c r="A1019" s="277" t="s">
        <v>759</v>
      </c>
      <c r="B1019" s="334" t="s">
        <v>1665</v>
      </c>
      <c r="C1019" s="277">
        <f>'Schippers 2005&amp;2006 all'!B153</f>
        <v>42.2</v>
      </c>
      <c r="D1019" s="301">
        <f>'Schippers 2005&amp;2006 all'!C153</f>
        <v>2928753.0418893769</v>
      </c>
      <c r="H1019" s="336"/>
      <c r="I1019" s="301">
        <f>'Schippers 2005&amp;2006 all'!H153</f>
        <v>395095.33191748371</v>
      </c>
      <c r="J1019" s="301">
        <f>'Schippers 2005&amp;2006 all'!I153</f>
        <v>176.48314392542153</v>
      </c>
      <c r="K1019" s="301">
        <f>'Schippers 2005&amp;2006 all'!J153</f>
        <v>395271.81506140914</v>
      </c>
      <c r="N1019" s="27">
        <f>J1019/K1019</f>
        <v>4.4648552515185846E-4</v>
      </c>
      <c r="P1019" s="293"/>
      <c r="R1019" s="304" t="s">
        <v>1395</v>
      </c>
      <c r="S1019" s="304" t="s">
        <v>52</v>
      </c>
      <c r="T1019" s="304" t="s">
        <v>51</v>
      </c>
      <c r="U1019" s="304" t="s">
        <v>51</v>
      </c>
      <c r="V1019" s="313">
        <v>0.55000000000000004</v>
      </c>
      <c r="W1019" s="313">
        <v>0.55000000000000004</v>
      </c>
      <c r="X1019" s="306" t="s">
        <v>248</v>
      </c>
      <c r="Y1019" s="334" t="s">
        <v>96</v>
      </c>
      <c r="Z1019" s="314" t="s">
        <v>100</v>
      </c>
      <c r="AA1019" s="326" t="s">
        <v>1495</v>
      </c>
      <c r="AD1019" s="326" t="s">
        <v>1717</v>
      </c>
      <c r="AE1019" s="326" t="s">
        <v>1725</v>
      </c>
      <c r="AF1019" s="326" t="s">
        <v>1735</v>
      </c>
      <c r="AG1019" s="326" t="s">
        <v>1707</v>
      </c>
      <c r="AH1019" s="326" t="s">
        <v>1714</v>
      </c>
      <c r="AI1019" s="326" t="s">
        <v>1496</v>
      </c>
      <c r="AJ1019" s="326" t="s">
        <v>1487</v>
      </c>
      <c r="AK1019" s="326" t="s">
        <v>1488</v>
      </c>
      <c r="AL1019" s="326" t="s">
        <v>1497</v>
      </c>
      <c r="AO1019" s="326" t="s">
        <v>1494</v>
      </c>
      <c r="AQ1019" s="326">
        <v>427</v>
      </c>
      <c r="AR1019" s="323" t="s">
        <v>1463</v>
      </c>
      <c r="AV1019" s="326" t="b">
        <v>1</v>
      </c>
      <c r="AW1019" t="b">
        <v>1</v>
      </c>
      <c r="AX1019" t="b">
        <v>1</v>
      </c>
      <c r="AY1019" t="b">
        <v>1</v>
      </c>
    </row>
    <row r="1020" spans="1:51">
      <c r="A1020" s="277" t="s">
        <v>759</v>
      </c>
      <c r="B1020" s="334" t="s">
        <v>1665</v>
      </c>
      <c r="C1020" s="277">
        <f>'Schippers 2005&amp;2006 all'!B154</f>
        <v>42.2</v>
      </c>
      <c r="D1020" s="301">
        <f>'Schippers 2005&amp;2006 all'!C154</f>
        <v>2928753.0418893769</v>
      </c>
      <c r="H1020" s="336"/>
      <c r="I1020" s="301">
        <f>'Schippers 2005&amp;2006 all'!H154</f>
        <v>578145.56334653869</v>
      </c>
      <c r="J1020" s="301">
        <f>'Schippers 2005&amp;2006 all'!I154</f>
        <v>35541.099900298403</v>
      </c>
      <c r="K1020" s="301">
        <f>'Schippers 2005&amp;2006 all'!J154</f>
        <v>613686.6632468371</v>
      </c>
      <c r="N1020" s="27">
        <f>J1020/K1020</f>
        <v>5.7914082265142948E-2</v>
      </c>
      <c r="P1020" s="293"/>
      <c r="R1020" s="304" t="s">
        <v>1395</v>
      </c>
      <c r="S1020" s="304" t="s">
        <v>52</v>
      </c>
      <c r="T1020" s="304" t="s">
        <v>51</v>
      </c>
      <c r="U1020" s="304" t="s">
        <v>51</v>
      </c>
      <c r="V1020" s="313">
        <v>0.55000000000000004</v>
      </c>
      <c r="W1020" s="313">
        <v>0.55000000000000004</v>
      </c>
      <c r="X1020" s="306" t="s">
        <v>248</v>
      </c>
      <c r="Y1020" s="326" t="s">
        <v>96</v>
      </c>
      <c r="Z1020" s="314" t="s">
        <v>100</v>
      </c>
      <c r="AA1020" s="326" t="s">
        <v>1495</v>
      </c>
      <c r="AD1020" s="326" t="s">
        <v>1717</v>
      </c>
      <c r="AE1020" s="326" t="s">
        <v>1725</v>
      </c>
      <c r="AF1020" s="326" t="s">
        <v>1735</v>
      </c>
      <c r="AG1020" s="326" t="s">
        <v>1707</v>
      </c>
      <c r="AH1020" s="326" t="s">
        <v>1714</v>
      </c>
      <c r="AI1020" s="326" t="s">
        <v>1496</v>
      </c>
      <c r="AJ1020" s="326" t="s">
        <v>1487</v>
      </c>
      <c r="AK1020" s="326" t="s">
        <v>1488</v>
      </c>
      <c r="AL1020" s="326" t="s">
        <v>1497</v>
      </c>
      <c r="AO1020" s="326" t="s">
        <v>1494</v>
      </c>
      <c r="AQ1020" s="326">
        <v>427</v>
      </c>
      <c r="AR1020" s="323" t="s">
        <v>1463</v>
      </c>
      <c r="AV1020" s="326" t="b">
        <v>1</v>
      </c>
      <c r="AW1020" t="b">
        <v>1</v>
      </c>
      <c r="AX1020" t="b">
        <v>1</v>
      </c>
      <c r="AY1020" t="b">
        <v>1</v>
      </c>
    </row>
    <row r="1021" spans="1:51">
      <c r="A1021" s="277" t="s">
        <v>759</v>
      </c>
      <c r="B1021" s="334" t="s">
        <v>1665</v>
      </c>
      <c r="C1021" s="277">
        <f>'Schippers 2005&amp;2006 all'!B155</f>
        <v>43</v>
      </c>
      <c r="D1021" s="301">
        <f>'Schippers 2005&amp;2006 all'!C155</f>
        <v>2928753.0418893769</v>
      </c>
      <c r="E1021" s="301">
        <f>'Schippers 2005&amp;2006 all'!E155</f>
        <v>332768.67823168129</v>
      </c>
      <c r="G1021" s="301">
        <f>E1021+F1021</f>
        <v>332768.67823168129</v>
      </c>
      <c r="H1021" s="336">
        <f>G1021/D1021</f>
        <v>0.11362128300753138</v>
      </c>
      <c r="M1021" s="27">
        <v>0</v>
      </c>
      <c r="O1021" t="s">
        <v>1247</v>
      </c>
      <c r="Q1021" s="301" t="b">
        <v>1</v>
      </c>
      <c r="R1021" s="304" t="s">
        <v>1395</v>
      </c>
      <c r="S1021" s="304" t="s">
        <v>52</v>
      </c>
      <c r="T1021" s="304" t="s">
        <v>51</v>
      </c>
      <c r="U1021" s="304" t="s">
        <v>51</v>
      </c>
      <c r="V1021" s="313">
        <v>0.55000000000000004</v>
      </c>
      <c r="W1021" s="313">
        <v>0.55000000000000004</v>
      </c>
      <c r="X1021" s="306" t="s">
        <v>248</v>
      </c>
      <c r="Y1021" s="326" t="s">
        <v>96</v>
      </c>
      <c r="Z1021" s="314" t="s">
        <v>100</v>
      </c>
      <c r="AB1021" s="334" t="s">
        <v>311</v>
      </c>
      <c r="AC1021" s="334" t="s">
        <v>1702</v>
      </c>
      <c r="AQ1021" s="326">
        <v>427</v>
      </c>
      <c r="AR1021" s="323" t="s">
        <v>1463</v>
      </c>
    </row>
    <row r="1022" spans="1:51">
      <c r="A1022" s="277" t="s">
        <v>759</v>
      </c>
      <c r="B1022" s="334" t="s">
        <v>1665</v>
      </c>
      <c r="C1022" s="277">
        <f>'Schippers 2005&amp;2006 all'!B156</f>
        <v>45.300000000000004</v>
      </c>
      <c r="D1022" s="301">
        <f>'Schippers 2005&amp;2006 all'!C156</f>
        <v>2928753.0418893769</v>
      </c>
      <c r="H1022" s="336"/>
      <c r="R1022" s="304" t="s">
        <v>1395</v>
      </c>
      <c r="S1022" s="304" t="s">
        <v>52</v>
      </c>
      <c r="T1022" s="304" t="s">
        <v>51</v>
      </c>
      <c r="U1022" s="304" t="s">
        <v>51</v>
      </c>
      <c r="V1022" s="313">
        <v>0.55000000000000004</v>
      </c>
      <c r="W1022" s="313">
        <v>0.55000000000000004</v>
      </c>
      <c r="X1022" s="306" t="s">
        <v>248</v>
      </c>
      <c r="Y1022" s="326" t="s">
        <v>96</v>
      </c>
      <c r="Z1022" s="314" t="s">
        <v>100</v>
      </c>
      <c r="AQ1022" s="326">
        <v>427</v>
      </c>
      <c r="AR1022" s="323" t="s">
        <v>1463</v>
      </c>
    </row>
    <row r="1023" spans="1:51">
      <c r="A1023" s="277" t="s">
        <v>759</v>
      </c>
      <c r="B1023" s="334" t="s">
        <v>1665</v>
      </c>
      <c r="C1023" s="277">
        <f>'Schippers 2005&amp;2006 all'!B157</f>
        <v>45.4</v>
      </c>
      <c r="D1023" s="301">
        <f>'Schippers 2005&amp;2006 all'!C157</f>
        <v>2928753.0418893769</v>
      </c>
      <c r="H1023" s="336"/>
      <c r="I1023" s="301">
        <f>'Schippers 2005&amp;2006 all'!H157</f>
        <v>1065770.9993290601</v>
      </c>
      <c r="J1023" s="301">
        <f>'Schippers 2005&amp;2006 all'!I157</f>
        <v>148565.93202041881</v>
      </c>
      <c r="K1023" s="301">
        <f>'Schippers 2005&amp;2006 all'!J157</f>
        <v>1214336.9313494789</v>
      </c>
      <c r="N1023" s="27">
        <f>J1023/K1023</f>
        <v>0.12234325431848571</v>
      </c>
      <c r="P1023" s="293"/>
      <c r="R1023" s="304" t="s">
        <v>1395</v>
      </c>
      <c r="S1023" s="304" t="s">
        <v>52</v>
      </c>
      <c r="T1023" s="304" t="s">
        <v>51</v>
      </c>
      <c r="U1023" s="304" t="s">
        <v>51</v>
      </c>
      <c r="V1023" s="313">
        <v>0.55000000000000004</v>
      </c>
      <c r="W1023" s="313">
        <v>0.55000000000000004</v>
      </c>
      <c r="X1023" s="306" t="s">
        <v>248</v>
      </c>
      <c r="Y1023" s="334" t="s">
        <v>96</v>
      </c>
      <c r="Z1023" s="314" t="s">
        <v>100</v>
      </c>
      <c r="AA1023" s="326" t="s">
        <v>1495</v>
      </c>
      <c r="AD1023" s="326" t="s">
        <v>1717</v>
      </c>
      <c r="AE1023" s="326" t="s">
        <v>1725</v>
      </c>
      <c r="AF1023" s="326" t="s">
        <v>1735</v>
      </c>
      <c r="AG1023" s="326" t="s">
        <v>1707</v>
      </c>
      <c r="AH1023" s="326" t="s">
        <v>1714</v>
      </c>
      <c r="AI1023" s="326" t="s">
        <v>1496</v>
      </c>
      <c r="AJ1023" s="326" t="s">
        <v>1487</v>
      </c>
      <c r="AK1023" s="326" t="s">
        <v>1488</v>
      </c>
      <c r="AL1023" s="326" t="s">
        <v>1497</v>
      </c>
      <c r="AO1023" s="326" t="s">
        <v>1494</v>
      </c>
      <c r="AQ1023" s="326">
        <v>427</v>
      </c>
      <c r="AR1023" s="323" t="s">
        <v>1463</v>
      </c>
      <c r="AV1023" s="326" t="b">
        <v>1</v>
      </c>
      <c r="AW1023" t="b">
        <v>1</v>
      </c>
      <c r="AX1023" t="b">
        <v>1</v>
      </c>
      <c r="AY1023" t="b">
        <v>1</v>
      </c>
    </row>
    <row r="1024" spans="1:51">
      <c r="A1024" s="277" t="s">
        <v>759</v>
      </c>
      <c r="B1024" s="334" t="s">
        <v>1665</v>
      </c>
      <c r="C1024" s="277">
        <f>'Schippers 2005&amp;2006 all'!B158</f>
        <v>46</v>
      </c>
      <c r="D1024" s="301">
        <f>'Schippers 2005&amp;2006 all'!C158</f>
        <v>2928753.0418893769</v>
      </c>
      <c r="E1024" s="301">
        <f>'Schippers 2005&amp;2006 all'!E158</f>
        <v>500462.29441329965</v>
      </c>
      <c r="G1024" s="301">
        <f>E1024+F1024</f>
        <v>500462.29441329965</v>
      </c>
      <c r="H1024" s="27">
        <f>G1024/D1024</f>
        <v>0.17087896700585067</v>
      </c>
      <c r="M1024" s="27">
        <v>0</v>
      </c>
      <c r="O1024" t="s">
        <v>1247</v>
      </c>
      <c r="Q1024" s="301" t="b">
        <v>1</v>
      </c>
      <c r="R1024" s="304" t="s">
        <v>1395</v>
      </c>
      <c r="S1024" s="304" t="s">
        <v>52</v>
      </c>
      <c r="T1024" s="304" t="s">
        <v>51</v>
      </c>
      <c r="U1024" s="304" t="s">
        <v>51</v>
      </c>
      <c r="V1024" s="313">
        <v>0.55000000000000004</v>
      </c>
      <c r="W1024" s="313">
        <v>0.55000000000000004</v>
      </c>
      <c r="X1024" s="306" t="s">
        <v>248</v>
      </c>
      <c r="Y1024" s="311" t="s">
        <v>96</v>
      </c>
      <c r="Z1024" s="314" t="s">
        <v>100</v>
      </c>
      <c r="AB1024" s="334" t="s">
        <v>311</v>
      </c>
      <c r="AC1024" s="334" t="s">
        <v>1702</v>
      </c>
      <c r="AQ1024" s="326">
        <v>427</v>
      </c>
      <c r="AR1024" s="323" t="s">
        <v>1463</v>
      </c>
    </row>
    <row r="1025" spans="1:51">
      <c r="A1025" s="277" t="s">
        <v>759</v>
      </c>
      <c r="B1025" s="334" t="s">
        <v>1665</v>
      </c>
      <c r="C1025" s="277">
        <f>'Schippers 2005&amp;2006 all'!B159</f>
        <v>48.4</v>
      </c>
      <c r="H1025" s="336"/>
      <c r="I1025" s="301">
        <f>'Schippers 2005&amp;2006 all'!H159</f>
        <v>118953.41058973648</v>
      </c>
      <c r="J1025" s="301">
        <f>'Schippers 2005&amp;2006 all'!I159</f>
        <v>94525.844301500169</v>
      </c>
      <c r="K1025" s="301">
        <f>'Schippers 2005&amp;2006 all'!J159</f>
        <v>213479.25489123666</v>
      </c>
      <c r="N1025" s="27">
        <f>J1025/K1025</f>
        <v>0.44278702560424038</v>
      </c>
      <c r="R1025" s="304" t="s">
        <v>1395</v>
      </c>
      <c r="S1025" s="304" t="s">
        <v>52</v>
      </c>
      <c r="T1025" s="304" t="s">
        <v>51</v>
      </c>
      <c r="U1025" s="304" t="s">
        <v>51</v>
      </c>
      <c r="V1025" s="313">
        <v>0.55000000000000004</v>
      </c>
      <c r="W1025" s="313">
        <v>0.55000000000000004</v>
      </c>
      <c r="X1025" s="306" t="s">
        <v>248</v>
      </c>
      <c r="Y1025" s="311" t="s">
        <v>96</v>
      </c>
      <c r="Z1025" s="314" t="s">
        <v>100</v>
      </c>
      <c r="AA1025" s="326" t="s">
        <v>1495</v>
      </c>
      <c r="AD1025" s="326" t="s">
        <v>1717</v>
      </c>
      <c r="AE1025" s="326" t="s">
        <v>1725</v>
      </c>
      <c r="AF1025" s="326" t="s">
        <v>1735</v>
      </c>
      <c r="AG1025" s="326" t="s">
        <v>1707</v>
      </c>
      <c r="AH1025" s="326" t="s">
        <v>1714</v>
      </c>
      <c r="AI1025" s="326" t="s">
        <v>1496</v>
      </c>
      <c r="AJ1025" s="326" t="s">
        <v>1487</v>
      </c>
      <c r="AK1025" s="326" t="s">
        <v>1488</v>
      </c>
      <c r="AL1025" s="326" t="s">
        <v>1497</v>
      </c>
      <c r="AO1025" s="326" t="s">
        <v>1494</v>
      </c>
      <c r="AQ1025" s="326">
        <v>427</v>
      </c>
      <c r="AR1025" s="323" t="s">
        <v>1463</v>
      </c>
      <c r="AV1025" s="326" t="b">
        <v>1</v>
      </c>
      <c r="AW1025" t="b">
        <v>1</v>
      </c>
      <c r="AX1025" t="b">
        <v>1</v>
      </c>
      <c r="AY1025" t="b">
        <v>1</v>
      </c>
    </row>
    <row r="1026" spans="1:51" s="334" customFormat="1">
      <c r="A1026" s="277" t="s">
        <v>759</v>
      </c>
      <c r="B1026" s="334" t="s">
        <v>1665</v>
      </c>
      <c r="C1026" s="277">
        <f>'Schippers 2005&amp;2006 all'!B160</f>
        <v>50</v>
      </c>
      <c r="D1026" s="301"/>
      <c r="E1026" s="301"/>
      <c r="F1026" s="301"/>
      <c r="G1026" s="301"/>
      <c r="H1026" s="336"/>
      <c r="I1026" s="301">
        <f>'Schippers 2005&amp;2006 all'!H160</f>
        <v>193593.624741309</v>
      </c>
      <c r="J1026" s="301">
        <f>'Schippers 2005&amp;2006 all'!I160</f>
        <v>620.85290573872976</v>
      </c>
      <c r="K1026" s="301">
        <f>'Schippers 2005&amp;2006 all'!J160</f>
        <v>194214.47764704772</v>
      </c>
      <c r="L1026" s="301"/>
      <c r="M1026" s="336"/>
      <c r="N1026" s="336">
        <f>J1026/K1026</f>
        <v>3.1967385400949659E-3</v>
      </c>
      <c r="Q1026" s="301"/>
      <c r="R1026" s="334" t="s">
        <v>1395</v>
      </c>
      <c r="S1026" s="334" t="s">
        <v>52</v>
      </c>
      <c r="T1026" s="334" t="s">
        <v>51</v>
      </c>
      <c r="U1026" s="334" t="s">
        <v>51</v>
      </c>
      <c r="V1026" s="313">
        <v>0.55000000000000004</v>
      </c>
      <c r="W1026" s="313">
        <v>0.55000000000000004</v>
      </c>
      <c r="X1026" s="306" t="s">
        <v>248</v>
      </c>
      <c r="Y1026" s="334" t="s">
        <v>96</v>
      </c>
      <c r="Z1026" s="314" t="s">
        <v>100</v>
      </c>
      <c r="AA1026" s="334" t="s">
        <v>1495</v>
      </c>
      <c r="AD1026" s="334" t="s">
        <v>1717</v>
      </c>
      <c r="AE1026" s="334" t="s">
        <v>1725</v>
      </c>
      <c r="AF1026" s="334" t="s">
        <v>1735</v>
      </c>
      <c r="AG1026" s="334" t="s">
        <v>1707</v>
      </c>
      <c r="AH1026" s="334" t="s">
        <v>1714</v>
      </c>
      <c r="AI1026" s="334" t="s">
        <v>1496</v>
      </c>
      <c r="AJ1026" s="334" t="s">
        <v>1487</v>
      </c>
      <c r="AK1026" s="334" t="s">
        <v>1488</v>
      </c>
      <c r="AL1026" s="334" t="s">
        <v>1497</v>
      </c>
      <c r="AO1026" s="334" t="s">
        <v>1494</v>
      </c>
      <c r="AQ1026" s="334">
        <v>427</v>
      </c>
      <c r="AR1026" s="334" t="s">
        <v>1463</v>
      </c>
      <c r="AV1026" s="334" t="b">
        <v>1</v>
      </c>
      <c r="AW1026" s="334" t="b">
        <v>1</v>
      </c>
      <c r="AX1026" s="334" t="b">
        <v>1</v>
      </c>
      <c r="AY1026" s="334" t="b">
        <v>1</v>
      </c>
    </row>
    <row r="1027" spans="1:51">
      <c r="A1027" s="277" t="s">
        <v>759</v>
      </c>
      <c r="B1027" s="334" t="s">
        <v>1665</v>
      </c>
      <c r="C1027" s="277">
        <f>'Schippers 2005&amp;2006 all'!B161</f>
        <v>54.800000000000004</v>
      </c>
      <c r="I1027" s="301">
        <f>'Schippers 2005&amp;2006 all'!H161</f>
        <v>35181626.987897903</v>
      </c>
      <c r="J1027" s="301">
        <f>'Schippers 2005&amp;2006 all'!I161</f>
        <v>4823.1961001259133</v>
      </c>
      <c r="K1027" s="301">
        <f>'Schippers 2005&amp;2006 all'!J161</f>
        <v>35186450.183998026</v>
      </c>
      <c r="N1027" s="27">
        <f>J1027/K1027</f>
        <v>1.3707538199802236E-4</v>
      </c>
      <c r="R1027" s="304" t="s">
        <v>1395</v>
      </c>
      <c r="S1027" s="304" t="s">
        <v>52</v>
      </c>
      <c r="T1027" s="304" t="s">
        <v>51</v>
      </c>
      <c r="U1027" s="304" t="s">
        <v>51</v>
      </c>
      <c r="V1027" s="313">
        <v>0.55000000000000004</v>
      </c>
      <c r="W1027" s="313">
        <v>0.55000000000000004</v>
      </c>
      <c r="X1027" s="306" t="s">
        <v>248</v>
      </c>
      <c r="Y1027" s="327" t="s">
        <v>96</v>
      </c>
      <c r="Z1027" s="314" t="s">
        <v>100</v>
      </c>
      <c r="AA1027" s="326" t="s">
        <v>1495</v>
      </c>
      <c r="AD1027" s="326" t="s">
        <v>1717</v>
      </c>
      <c r="AE1027" s="326" t="s">
        <v>1725</v>
      </c>
      <c r="AF1027" s="326" t="s">
        <v>1735</v>
      </c>
      <c r="AG1027" s="326" t="s">
        <v>1707</v>
      </c>
      <c r="AH1027" s="326" t="s">
        <v>1714</v>
      </c>
      <c r="AI1027" s="326" t="s">
        <v>1496</v>
      </c>
      <c r="AJ1027" s="326" t="s">
        <v>1487</v>
      </c>
      <c r="AK1027" s="326" t="s">
        <v>1488</v>
      </c>
      <c r="AL1027" s="326" t="s">
        <v>1497</v>
      </c>
      <c r="AO1027" s="326" t="s">
        <v>1494</v>
      </c>
      <c r="AQ1027" s="326">
        <v>427</v>
      </c>
      <c r="AR1027" s="323" t="s">
        <v>1463</v>
      </c>
      <c r="AV1027" s="326" t="b">
        <v>1</v>
      </c>
      <c r="AW1027" t="b">
        <v>1</v>
      </c>
      <c r="AX1027" t="b">
        <v>1</v>
      </c>
      <c r="AY1027" t="b">
        <v>1</v>
      </c>
    </row>
    <row r="1028" spans="1:51">
      <c r="A1028" s="277" t="s">
        <v>759</v>
      </c>
      <c r="B1028" s="334" t="s">
        <v>1665</v>
      </c>
      <c r="C1028" s="277">
        <f>'Schippers 2005&amp;2006 all'!B162</f>
        <v>54.9</v>
      </c>
      <c r="I1028" s="301">
        <f>'Schippers 2005&amp;2006 all'!H162</f>
        <v>198522.11732411615</v>
      </c>
      <c r="J1028" s="301">
        <f>'Schippers 2005&amp;2006 all'!I162</f>
        <v>135.99571723470419</v>
      </c>
      <c r="K1028" s="301">
        <f>'Schippers 2005&amp;2006 all'!J162</f>
        <v>198658.11304135085</v>
      </c>
      <c r="N1028" s="27">
        <f>J1028/K1028</f>
        <v>6.8457167518950796E-4</v>
      </c>
      <c r="R1028" s="304" t="s">
        <v>1395</v>
      </c>
      <c r="S1028" s="304" t="s">
        <v>52</v>
      </c>
      <c r="T1028" s="304" t="s">
        <v>51</v>
      </c>
      <c r="U1028" s="304" t="s">
        <v>51</v>
      </c>
      <c r="V1028" s="313">
        <v>0.55000000000000004</v>
      </c>
      <c r="W1028" s="313">
        <v>0.55000000000000004</v>
      </c>
      <c r="X1028" s="306" t="s">
        <v>248</v>
      </c>
      <c r="Y1028" s="327" t="s">
        <v>96</v>
      </c>
      <c r="Z1028" s="314" t="s">
        <v>100</v>
      </c>
      <c r="AA1028" s="326" t="s">
        <v>1495</v>
      </c>
      <c r="AD1028" s="326" t="s">
        <v>1717</v>
      </c>
      <c r="AE1028" s="326" t="s">
        <v>1725</v>
      </c>
      <c r="AF1028" s="326" t="s">
        <v>1735</v>
      </c>
      <c r="AG1028" s="326" t="s">
        <v>1707</v>
      </c>
      <c r="AH1028" s="326" t="s">
        <v>1714</v>
      </c>
      <c r="AI1028" s="326" t="s">
        <v>1496</v>
      </c>
      <c r="AJ1028" s="326" t="s">
        <v>1487</v>
      </c>
      <c r="AK1028" s="326" t="s">
        <v>1488</v>
      </c>
      <c r="AL1028" s="326" t="s">
        <v>1497</v>
      </c>
      <c r="AO1028" s="326" t="s">
        <v>1494</v>
      </c>
      <c r="AQ1028" s="326">
        <v>427</v>
      </c>
      <c r="AR1028" s="323" t="s">
        <v>1463</v>
      </c>
      <c r="AV1028" s="326" t="b">
        <v>1</v>
      </c>
      <c r="AW1028" t="b">
        <v>1</v>
      </c>
      <c r="AX1028" t="b">
        <v>1</v>
      </c>
      <c r="AY1028" t="b">
        <v>1</v>
      </c>
    </row>
    <row r="1029" spans="1:51" s="334" customFormat="1">
      <c r="A1029" s="277" t="s">
        <v>759</v>
      </c>
      <c r="B1029" s="334" t="s">
        <v>1665</v>
      </c>
      <c r="C1029" s="277">
        <f>'Schippers 2005&amp;2006 all'!B163</f>
        <v>55</v>
      </c>
      <c r="D1029" s="301"/>
      <c r="E1029" s="301">
        <f>'Schippers 2005&amp;2006 all'!E163</f>
        <v>1356114.8005212585</v>
      </c>
      <c r="F1029" s="301"/>
      <c r="G1029" s="301">
        <f>E1029+F1029</f>
        <v>1356114.8005212585</v>
      </c>
      <c r="H1029" s="336"/>
      <c r="I1029" s="301"/>
      <c r="J1029" s="301"/>
      <c r="K1029" s="301"/>
      <c r="L1029" s="301"/>
      <c r="M1029" s="336">
        <v>0</v>
      </c>
      <c r="N1029" s="336"/>
      <c r="O1029" s="334" t="s">
        <v>1247</v>
      </c>
      <c r="Q1029" s="301" t="b">
        <v>1</v>
      </c>
      <c r="R1029" s="334" t="s">
        <v>1395</v>
      </c>
      <c r="S1029" s="334" t="s">
        <v>52</v>
      </c>
      <c r="T1029" s="334" t="s">
        <v>51</v>
      </c>
      <c r="U1029" s="334" t="s">
        <v>51</v>
      </c>
      <c r="V1029" s="313">
        <v>0.55000000000000004</v>
      </c>
      <c r="W1029" s="313">
        <v>0.55000000000000004</v>
      </c>
      <c r="X1029" s="306" t="s">
        <v>248</v>
      </c>
      <c r="Y1029" s="334" t="s">
        <v>96</v>
      </c>
      <c r="Z1029" s="314" t="s">
        <v>100</v>
      </c>
      <c r="AB1029" s="334" t="s">
        <v>311</v>
      </c>
      <c r="AC1029" s="334" t="s">
        <v>1702</v>
      </c>
      <c r="AQ1029" s="334">
        <v>427</v>
      </c>
      <c r="AR1029" s="334" t="s">
        <v>1463</v>
      </c>
    </row>
    <row r="1030" spans="1:51" s="334" customFormat="1">
      <c r="A1030" s="277" t="s">
        <v>759</v>
      </c>
      <c r="B1030" s="334" t="s">
        <v>1665</v>
      </c>
      <c r="C1030" s="277">
        <f>'Schippers 2005&amp;2006 all'!B164</f>
        <v>65</v>
      </c>
      <c r="D1030" s="301"/>
      <c r="E1030" s="301">
        <f>'Schippers 2005&amp;2006 all'!E164</f>
        <v>539981.96741825878</v>
      </c>
      <c r="F1030" s="301"/>
      <c r="G1030" s="301">
        <f>E1030+F1030</f>
        <v>539981.96741825878</v>
      </c>
      <c r="H1030" s="336"/>
      <c r="I1030" s="301"/>
      <c r="J1030" s="301"/>
      <c r="K1030" s="301"/>
      <c r="L1030" s="301"/>
      <c r="M1030" s="336">
        <v>0</v>
      </c>
      <c r="N1030" s="336"/>
      <c r="O1030" s="334" t="s">
        <v>1247</v>
      </c>
      <c r="Q1030" s="301" t="b">
        <v>1</v>
      </c>
      <c r="R1030" s="334" t="s">
        <v>1395</v>
      </c>
      <c r="S1030" s="334" t="s">
        <v>52</v>
      </c>
      <c r="T1030" s="334" t="s">
        <v>51</v>
      </c>
      <c r="U1030" s="334" t="s">
        <v>51</v>
      </c>
      <c r="V1030" s="313">
        <v>0.55000000000000004</v>
      </c>
      <c r="W1030" s="313">
        <v>0.55000000000000004</v>
      </c>
      <c r="X1030" s="306" t="s">
        <v>248</v>
      </c>
      <c r="Y1030" s="334" t="s">
        <v>96</v>
      </c>
      <c r="Z1030" s="314" t="s">
        <v>100</v>
      </c>
      <c r="AB1030" s="334" t="s">
        <v>311</v>
      </c>
      <c r="AC1030" s="334" t="s">
        <v>1702</v>
      </c>
      <c r="AQ1030" s="334">
        <v>427</v>
      </c>
      <c r="AR1030" s="334" t="s">
        <v>1463</v>
      </c>
    </row>
    <row r="1031" spans="1:51">
      <c r="A1031" s="277" t="s">
        <v>759</v>
      </c>
      <c r="B1031" s="327" t="s">
        <v>1665</v>
      </c>
      <c r="C1031" s="277">
        <f>'Schippers 2005&amp;2006 all'!B165</f>
        <v>65.3</v>
      </c>
      <c r="I1031" s="301">
        <f>'Schippers 2005&amp;2006 all'!H165</f>
        <v>160861.79053884378</v>
      </c>
      <c r="J1031" s="301">
        <f>'Schippers 2005&amp;2006 all'!I165</f>
        <v>1057.8868819794509</v>
      </c>
      <c r="K1031" s="301">
        <f>'Schippers 2005&amp;2006 all'!J165</f>
        <v>161919.67742082322</v>
      </c>
      <c r="N1031" s="27">
        <f>J1031/K1031</f>
        <v>6.533405320651932E-3</v>
      </c>
      <c r="P1031" s="326"/>
      <c r="R1031" s="304" t="s">
        <v>1395</v>
      </c>
      <c r="S1031" s="304" t="s">
        <v>52</v>
      </c>
      <c r="T1031" s="304" t="s">
        <v>51</v>
      </c>
      <c r="U1031" s="304" t="s">
        <v>51</v>
      </c>
      <c r="V1031" s="313">
        <v>0.55000000000000004</v>
      </c>
      <c r="W1031" s="313">
        <v>0.55000000000000004</v>
      </c>
      <c r="X1031" s="306" t="s">
        <v>248</v>
      </c>
      <c r="Y1031" s="334" t="s">
        <v>96</v>
      </c>
      <c r="Z1031" s="314" t="s">
        <v>100</v>
      </c>
      <c r="AA1031" s="326" t="s">
        <v>1495</v>
      </c>
      <c r="AD1031" s="326" t="s">
        <v>1717</v>
      </c>
      <c r="AE1031" s="326" t="s">
        <v>1725</v>
      </c>
      <c r="AF1031" s="326" t="s">
        <v>1735</v>
      </c>
      <c r="AG1031" s="326" t="s">
        <v>1707</v>
      </c>
      <c r="AH1031" s="326" t="s">
        <v>1714</v>
      </c>
      <c r="AI1031" s="326" t="s">
        <v>1496</v>
      </c>
      <c r="AJ1031" s="326" t="s">
        <v>1487</v>
      </c>
      <c r="AK1031" s="326" t="s">
        <v>1488</v>
      </c>
      <c r="AL1031" s="326" t="s">
        <v>1497</v>
      </c>
      <c r="AO1031" s="326" t="s">
        <v>1494</v>
      </c>
      <c r="AQ1031" s="326">
        <v>427</v>
      </c>
      <c r="AR1031" s="323" t="s">
        <v>1463</v>
      </c>
      <c r="AV1031" s="326" t="b">
        <v>1</v>
      </c>
      <c r="AW1031" t="b">
        <v>1</v>
      </c>
      <c r="AX1031" t="b">
        <v>1</v>
      </c>
      <c r="AY1031" t="b">
        <v>1</v>
      </c>
    </row>
    <row r="1032" spans="1:51">
      <c r="A1032" s="277" t="s">
        <v>759</v>
      </c>
      <c r="B1032" s="327" t="s">
        <v>1665</v>
      </c>
      <c r="C1032" s="277">
        <f>'Schippers 2005&amp;2006 all'!B166</f>
        <v>75.3</v>
      </c>
      <c r="I1032" s="301">
        <f>'Schippers 2005&amp;2006 all'!H166</f>
        <v>24368017.672047801</v>
      </c>
      <c r="J1032" s="301">
        <f>'Schippers 2005&amp;2006 all'!I166</f>
        <v>15512.490705079981</v>
      </c>
      <c r="K1032" s="301">
        <f>'Schippers 2005&amp;2006 all'!J166</f>
        <v>24383530.162752882</v>
      </c>
      <c r="N1032" s="27">
        <f>J1032/K1032</f>
        <v>6.3618723792406898E-4</v>
      </c>
      <c r="P1032" s="289"/>
      <c r="R1032" s="304" t="s">
        <v>1395</v>
      </c>
      <c r="S1032" s="304" t="s">
        <v>52</v>
      </c>
      <c r="T1032" s="304" t="s">
        <v>51</v>
      </c>
      <c r="U1032" s="304" t="s">
        <v>51</v>
      </c>
      <c r="V1032" s="313">
        <v>0.55000000000000004</v>
      </c>
      <c r="W1032" s="313">
        <v>0.55000000000000004</v>
      </c>
      <c r="X1032" s="306" t="s">
        <v>248</v>
      </c>
      <c r="Y1032" s="327" t="s">
        <v>96</v>
      </c>
      <c r="Z1032" s="314" t="s">
        <v>100</v>
      </c>
      <c r="AA1032" s="326" t="s">
        <v>1495</v>
      </c>
      <c r="AD1032" s="326" t="s">
        <v>1717</v>
      </c>
      <c r="AE1032" s="326" t="s">
        <v>1725</v>
      </c>
      <c r="AF1032" s="326" t="s">
        <v>1735</v>
      </c>
      <c r="AG1032" s="326" t="s">
        <v>1707</v>
      </c>
      <c r="AH1032" s="326" t="s">
        <v>1714</v>
      </c>
      <c r="AI1032" s="326" t="s">
        <v>1496</v>
      </c>
      <c r="AJ1032" s="326" t="s">
        <v>1487</v>
      </c>
      <c r="AK1032" s="326" t="s">
        <v>1488</v>
      </c>
      <c r="AL1032" s="326" t="s">
        <v>1497</v>
      </c>
      <c r="AO1032" s="326" t="s">
        <v>1494</v>
      </c>
      <c r="AQ1032" s="326">
        <v>427</v>
      </c>
      <c r="AR1032" s="323" t="s">
        <v>1463</v>
      </c>
      <c r="AV1032" s="326" t="b">
        <v>1</v>
      </c>
      <c r="AW1032" t="b">
        <v>1</v>
      </c>
      <c r="AX1032" t="b">
        <v>1</v>
      </c>
      <c r="AY1032" t="b">
        <v>1</v>
      </c>
    </row>
    <row r="1033" spans="1:51" s="334" customFormat="1">
      <c r="A1033" s="277" t="s">
        <v>759</v>
      </c>
      <c r="B1033" s="334" t="s">
        <v>1665</v>
      </c>
      <c r="C1033" s="277">
        <f>'Schippers 2005&amp;2006 all'!B167</f>
        <v>75.400000000000006</v>
      </c>
      <c r="D1033" s="301"/>
      <c r="E1033" s="301"/>
      <c r="F1033" s="301"/>
      <c r="G1033" s="301"/>
      <c r="H1033" s="336"/>
      <c r="I1033" s="301">
        <f>'Schippers 2005&amp;2006 all'!H167</f>
        <v>82697.027335431456</v>
      </c>
      <c r="J1033" s="301">
        <f>'Schippers 2005&amp;2006 all'!I167</f>
        <v>822.48988398448989</v>
      </c>
      <c r="K1033" s="301">
        <f>'Schippers 2005&amp;2006 all'!J167</f>
        <v>83519.517219415939</v>
      </c>
      <c r="L1033" s="301"/>
      <c r="M1033" s="336"/>
      <c r="N1033" s="336">
        <f>J1033/K1033</f>
        <v>9.8478764170021344E-3</v>
      </c>
      <c r="Q1033" s="301"/>
      <c r="R1033" s="334" t="s">
        <v>1395</v>
      </c>
      <c r="S1033" s="334" t="s">
        <v>52</v>
      </c>
      <c r="T1033" s="334" t="s">
        <v>51</v>
      </c>
      <c r="U1033" s="334" t="s">
        <v>51</v>
      </c>
      <c r="V1033" s="313">
        <v>0.55000000000000004</v>
      </c>
      <c r="W1033" s="313">
        <v>0.55000000000000004</v>
      </c>
      <c r="X1033" s="306" t="s">
        <v>248</v>
      </c>
      <c r="Y1033" s="334" t="s">
        <v>96</v>
      </c>
      <c r="Z1033" s="314" t="s">
        <v>100</v>
      </c>
      <c r="AA1033" s="334" t="s">
        <v>1495</v>
      </c>
      <c r="AD1033" s="334" t="s">
        <v>1717</v>
      </c>
      <c r="AE1033" s="334" t="s">
        <v>1725</v>
      </c>
      <c r="AF1033" s="334" t="s">
        <v>1735</v>
      </c>
      <c r="AG1033" s="334" t="s">
        <v>1707</v>
      </c>
      <c r="AH1033" s="334" t="s">
        <v>1714</v>
      </c>
      <c r="AI1033" s="334" t="s">
        <v>1496</v>
      </c>
      <c r="AJ1033" s="334" t="s">
        <v>1487</v>
      </c>
      <c r="AK1033" s="334" t="s">
        <v>1488</v>
      </c>
      <c r="AL1033" s="334" t="s">
        <v>1497</v>
      </c>
      <c r="AO1033" s="334" t="s">
        <v>1494</v>
      </c>
      <c r="AQ1033" s="334">
        <v>427</v>
      </c>
      <c r="AR1033" s="334" t="s">
        <v>1463</v>
      </c>
      <c r="AV1033" s="334" t="b">
        <v>1</v>
      </c>
      <c r="AW1033" s="334" t="b">
        <v>1</v>
      </c>
      <c r="AX1033" s="334" t="b">
        <v>1</v>
      </c>
      <c r="AY1033" s="334" t="b">
        <v>1</v>
      </c>
    </row>
    <row r="1034" spans="1:51">
      <c r="A1034" s="277" t="s">
        <v>759</v>
      </c>
      <c r="B1034" s="327" t="s">
        <v>1665</v>
      </c>
      <c r="C1034" s="277">
        <f>'Schippers 2005&amp;2006 all'!B168</f>
        <v>76</v>
      </c>
      <c r="E1034" s="301">
        <f>'Schippers 2005&amp;2006 all'!E168</f>
        <v>876158.25392738276</v>
      </c>
      <c r="G1034" s="301">
        <f>E1034+F1034</f>
        <v>876158.25392738276</v>
      </c>
      <c r="H1034" s="336"/>
      <c r="M1034" s="27">
        <v>0</v>
      </c>
      <c r="O1034" t="s">
        <v>1247</v>
      </c>
      <c r="P1034" s="289"/>
      <c r="Q1034" s="301" t="b">
        <v>1</v>
      </c>
      <c r="R1034" s="304" t="s">
        <v>1395</v>
      </c>
      <c r="S1034" s="304" t="s">
        <v>52</v>
      </c>
      <c r="T1034" s="304" t="s">
        <v>51</v>
      </c>
      <c r="U1034" s="304" t="s">
        <v>51</v>
      </c>
      <c r="V1034" s="313">
        <v>0.55000000000000004</v>
      </c>
      <c r="W1034" s="313">
        <v>0.55000000000000004</v>
      </c>
      <c r="X1034" s="306" t="s">
        <v>248</v>
      </c>
      <c r="Y1034" s="328" t="s">
        <v>96</v>
      </c>
      <c r="Z1034" s="314" t="s">
        <v>100</v>
      </c>
      <c r="AB1034" s="334" t="s">
        <v>311</v>
      </c>
      <c r="AC1034" s="334" t="s">
        <v>1702</v>
      </c>
      <c r="AQ1034" s="326">
        <v>427</v>
      </c>
      <c r="AR1034" s="323" t="s">
        <v>1463</v>
      </c>
    </row>
    <row r="1035" spans="1:51" s="334" customFormat="1">
      <c r="A1035" s="277" t="s">
        <v>759</v>
      </c>
      <c r="B1035" s="334" t="s">
        <v>1665</v>
      </c>
      <c r="C1035" s="277">
        <f>'Schippers 2005&amp;2006 all'!B169</f>
        <v>83.3</v>
      </c>
      <c r="D1035" s="301">
        <f>'Schippers 2005&amp;2006 all'!C169</f>
        <v>2082705.7414706196</v>
      </c>
      <c r="E1035" s="301"/>
      <c r="F1035" s="301"/>
      <c r="G1035" s="301"/>
      <c r="H1035" s="336"/>
      <c r="I1035" s="301">
        <f>'Schippers 2005&amp;2006 all'!H169</f>
        <v>81181.483106502768</v>
      </c>
      <c r="J1035" s="301">
        <f>'Schippers 2005&amp;2006 all'!I169</f>
        <v>1689.6003125451648</v>
      </c>
      <c r="K1035" s="301">
        <f>'Schippers 2005&amp;2006 all'!J169</f>
        <v>82871.083419047936</v>
      </c>
      <c r="L1035" s="301"/>
      <c r="M1035" s="336"/>
      <c r="N1035" s="336">
        <f>J1035/K1035</f>
        <v>2.0388297616449527E-2</v>
      </c>
      <c r="Q1035" s="301"/>
      <c r="R1035" s="334" t="s">
        <v>1395</v>
      </c>
      <c r="S1035" s="334" t="s">
        <v>52</v>
      </c>
      <c r="T1035" s="334" t="s">
        <v>51</v>
      </c>
      <c r="U1035" s="334" t="s">
        <v>51</v>
      </c>
      <c r="V1035" s="313">
        <v>0.55000000000000004</v>
      </c>
      <c r="W1035" s="313">
        <v>0.55000000000000004</v>
      </c>
      <c r="X1035" s="306" t="s">
        <v>248</v>
      </c>
      <c r="Y1035" s="334" t="s">
        <v>96</v>
      </c>
      <c r="Z1035" s="314" t="s">
        <v>100</v>
      </c>
      <c r="AA1035" s="334" t="s">
        <v>1495</v>
      </c>
      <c r="AD1035" s="334" t="s">
        <v>1717</v>
      </c>
      <c r="AE1035" s="334" t="s">
        <v>1725</v>
      </c>
      <c r="AF1035" s="334" t="s">
        <v>1735</v>
      </c>
      <c r="AG1035" s="334" t="s">
        <v>1707</v>
      </c>
      <c r="AH1035" s="334" t="s">
        <v>1714</v>
      </c>
      <c r="AI1035" s="334" t="s">
        <v>1496</v>
      </c>
      <c r="AJ1035" s="334" t="s">
        <v>1487</v>
      </c>
      <c r="AK1035" s="334" t="s">
        <v>1488</v>
      </c>
      <c r="AL1035" s="334" t="s">
        <v>1497</v>
      </c>
      <c r="AO1035" s="334" t="s">
        <v>1494</v>
      </c>
      <c r="AQ1035" s="334">
        <v>427</v>
      </c>
      <c r="AR1035" s="334" t="s">
        <v>1463</v>
      </c>
      <c r="AV1035" s="334" t="b">
        <v>1</v>
      </c>
      <c r="AW1035" s="334" t="b">
        <v>1</v>
      </c>
      <c r="AX1035" s="334" t="b">
        <v>1</v>
      </c>
      <c r="AY1035" s="334" t="b">
        <v>1</v>
      </c>
    </row>
    <row r="1036" spans="1:51">
      <c r="A1036" s="277" t="s">
        <v>759</v>
      </c>
      <c r="B1036" s="328" t="s">
        <v>1665</v>
      </c>
      <c r="C1036" s="277">
        <f>'Schippers 2005&amp;2006 all'!B170</f>
        <v>83.4</v>
      </c>
      <c r="D1036" s="301">
        <f>'Schippers 2005&amp;2006 all'!C170</f>
        <v>2082705.7414706196</v>
      </c>
      <c r="I1036" s="301">
        <f>'Schippers 2005&amp;2006 all'!H170</f>
        <v>114157.09234556937</v>
      </c>
      <c r="J1036" s="301">
        <f>'Schippers 2005&amp;2006 all'!I170</f>
        <v>58.336257657416603</v>
      </c>
      <c r="K1036" s="301">
        <f>'Schippers 2005&amp;2006 all'!J170</f>
        <v>114215.42860322678</v>
      </c>
      <c r="N1036" s="27">
        <f>J1036/K1036</f>
        <v>5.1075636952754475E-4</v>
      </c>
      <c r="P1036" s="289"/>
      <c r="R1036" s="304" t="s">
        <v>1395</v>
      </c>
      <c r="S1036" s="304" t="s">
        <v>52</v>
      </c>
      <c r="T1036" s="304" t="s">
        <v>51</v>
      </c>
      <c r="U1036" s="304" t="s">
        <v>51</v>
      </c>
      <c r="V1036" s="313">
        <v>0.55000000000000004</v>
      </c>
      <c r="W1036" s="313">
        <v>0.55000000000000004</v>
      </c>
      <c r="X1036" s="306" t="s">
        <v>248</v>
      </c>
      <c r="Y1036" s="328" t="s">
        <v>96</v>
      </c>
      <c r="Z1036" s="314" t="s">
        <v>100</v>
      </c>
      <c r="AA1036" s="326" t="s">
        <v>1495</v>
      </c>
      <c r="AD1036" s="326" t="s">
        <v>1717</v>
      </c>
      <c r="AE1036" s="326" t="s">
        <v>1725</v>
      </c>
      <c r="AF1036" s="326" t="s">
        <v>1735</v>
      </c>
      <c r="AG1036" s="326" t="s">
        <v>1707</v>
      </c>
      <c r="AH1036" s="326" t="s">
        <v>1714</v>
      </c>
      <c r="AI1036" s="326" t="s">
        <v>1496</v>
      </c>
      <c r="AJ1036" s="326" t="s">
        <v>1487</v>
      </c>
      <c r="AK1036" s="326" t="s">
        <v>1488</v>
      </c>
      <c r="AL1036" s="326" t="s">
        <v>1497</v>
      </c>
      <c r="AO1036" s="326" t="s">
        <v>1494</v>
      </c>
      <c r="AQ1036" s="326">
        <v>427</v>
      </c>
      <c r="AR1036" s="323" t="s">
        <v>1463</v>
      </c>
      <c r="AV1036" s="326" t="b">
        <v>1</v>
      </c>
      <c r="AW1036" t="b">
        <v>1</v>
      </c>
      <c r="AX1036" t="b">
        <v>1</v>
      </c>
      <c r="AY1036" t="b">
        <v>1</v>
      </c>
    </row>
    <row r="1037" spans="1:51">
      <c r="A1037" s="277" t="s">
        <v>759</v>
      </c>
      <c r="B1037" s="327" t="s">
        <v>1665</v>
      </c>
      <c r="C1037" s="277">
        <f>'Schippers 2005&amp;2006 all'!B171</f>
        <v>84</v>
      </c>
      <c r="D1037" s="301">
        <f>'Schippers 2005&amp;2006 all'!C171</f>
        <v>2082705.7414706196</v>
      </c>
      <c r="E1037" s="301">
        <f>'Schippers 2005&amp;2006 all'!E171</f>
        <v>323821.98639052652</v>
      </c>
      <c r="G1037" s="301">
        <f>E1037+F1037</f>
        <v>323821.98639052652</v>
      </c>
      <c r="H1037" s="27">
        <f>G1037/D1037</f>
        <v>0.15548139131833025</v>
      </c>
      <c r="M1037" s="27">
        <v>0</v>
      </c>
      <c r="O1037" t="s">
        <v>1247</v>
      </c>
      <c r="P1037" s="289"/>
      <c r="Q1037" s="301" t="b">
        <v>1</v>
      </c>
      <c r="R1037" s="304" t="s">
        <v>1395</v>
      </c>
      <c r="S1037" s="304" t="s">
        <v>52</v>
      </c>
      <c r="T1037" s="304" t="s">
        <v>51</v>
      </c>
      <c r="U1037" s="304" t="s">
        <v>51</v>
      </c>
      <c r="V1037" s="313">
        <v>0.55000000000000004</v>
      </c>
      <c r="W1037" s="313">
        <v>0.55000000000000004</v>
      </c>
      <c r="X1037" s="306" t="s">
        <v>248</v>
      </c>
      <c r="Y1037" s="328" t="s">
        <v>96</v>
      </c>
      <c r="Z1037" s="314" t="s">
        <v>100</v>
      </c>
      <c r="AB1037" s="334" t="s">
        <v>311</v>
      </c>
      <c r="AC1037" s="334" t="s">
        <v>1702</v>
      </c>
      <c r="AQ1037" s="326">
        <v>427</v>
      </c>
      <c r="AR1037" s="323" t="s">
        <v>1463</v>
      </c>
    </row>
    <row r="1038" spans="1:51" s="334" customFormat="1">
      <c r="A1038" s="277" t="s">
        <v>759</v>
      </c>
      <c r="B1038" s="334" t="s">
        <v>1665</v>
      </c>
      <c r="C1038" s="277">
        <f>'Schippers 2005&amp;2006 all'!B172</f>
        <v>84.4</v>
      </c>
      <c r="D1038" s="301">
        <f>'Schippers 2005&amp;2006 all'!C172</f>
        <v>2082705.7414706196</v>
      </c>
      <c r="E1038" s="301"/>
      <c r="F1038" s="301"/>
      <c r="G1038" s="301"/>
      <c r="H1038" s="336"/>
      <c r="I1038" s="301"/>
      <c r="J1038" s="301"/>
      <c r="K1038" s="301"/>
      <c r="L1038" s="301"/>
      <c r="M1038" s="336"/>
      <c r="N1038" s="336"/>
      <c r="Q1038" s="301"/>
      <c r="R1038" s="334" t="s">
        <v>1395</v>
      </c>
      <c r="S1038" s="334" t="s">
        <v>52</v>
      </c>
      <c r="T1038" s="334" t="s">
        <v>51</v>
      </c>
      <c r="U1038" s="334" t="s">
        <v>51</v>
      </c>
      <c r="V1038" s="313">
        <v>0.55000000000000004</v>
      </c>
      <c r="W1038" s="313">
        <v>0.55000000000000004</v>
      </c>
      <c r="X1038" s="306" t="s">
        <v>248</v>
      </c>
      <c r="Y1038" s="334" t="s">
        <v>96</v>
      </c>
      <c r="Z1038" s="314" t="s">
        <v>100</v>
      </c>
      <c r="AQ1038" s="334">
        <v>427</v>
      </c>
      <c r="AR1038" s="334" t="s">
        <v>1463</v>
      </c>
    </row>
    <row r="1039" spans="1:51">
      <c r="A1039" s="277" t="s">
        <v>759</v>
      </c>
      <c r="B1039" s="327" t="s">
        <v>1665</v>
      </c>
      <c r="C1039" s="277">
        <f>'Schippers 2005&amp;2006 all'!B173</f>
        <v>92.8</v>
      </c>
      <c r="I1039" s="301">
        <f>'Schippers 2005&amp;2006 all'!H173</f>
        <v>198108.80604150251</v>
      </c>
      <c r="J1039" s="301">
        <f>'Schippers 2005&amp;2006 all'!I173</f>
        <v>3504.2475678498718</v>
      </c>
      <c r="K1039" s="301">
        <f>'Schippers 2005&amp;2006 all'!J173</f>
        <v>201613.05360935238</v>
      </c>
      <c r="N1039" s="27">
        <f>J1039/K1039</f>
        <v>1.7381054971964956E-2</v>
      </c>
      <c r="P1039" s="289"/>
      <c r="R1039" s="304" t="s">
        <v>1395</v>
      </c>
      <c r="S1039" s="304" t="s">
        <v>52</v>
      </c>
      <c r="T1039" s="304" t="s">
        <v>51</v>
      </c>
      <c r="U1039" s="304" t="s">
        <v>51</v>
      </c>
      <c r="V1039" s="313">
        <v>0.55000000000000004</v>
      </c>
      <c r="W1039" s="313">
        <v>0.55000000000000004</v>
      </c>
      <c r="X1039" s="306" t="s">
        <v>248</v>
      </c>
      <c r="Y1039" s="328" t="s">
        <v>96</v>
      </c>
      <c r="Z1039" s="314" t="s">
        <v>100</v>
      </c>
      <c r="AA1039" s="326" t="s">
        <v>1495</v>
      </c>
      <c r="AD1039" s="326" t="s">
        <v>1717</v>
      </c>
      <c r="AE1039" s="326" t="s">
        <v>1725</v>
      </c>
      <c r="AF1039" s="326" t="s">
        <v>1735</v>
      </c>
      <c r="AG1039" s="326" t="s">
        <v>1707</v>
      </c>
      <c r="AH1039" s="326" t="s">
        <v>1714</v>
      </c>
      <c r="AI1039" s="326" t="s">
        <v>1496</v>
      </c>
      <c r="AJ1039" s="326" t="s">
        <v>1487</v>
      </c>
      <c r="AK1039" s="326" t="s">
        <v>1488</v>
      </c>
      <c r="AL1039" s="326" t="s">
        <v>1497</v>
      </c>
      <c r="AO1039" s="326" t="s">
        <v>1494</v>
      </c>
      <c r="AQ1039" s="326">
        <v>427</v>
      </c>
      <c r="AR1039" s="323" t="s">
        <v>1463</v>
      </c>
      <c r="AV1039" s="326" t="b">
        <v>1</v>
      </c>
      <c r="AW1039" t="b">
        <v>1</v>
      </c>
      <c r="AX1039" t="b">
        <v>1</v>
      </c>
      <c r="AY1039" t="b">
        <v>1</v>
      </c>
    </row>
    <row r="1040" spans="1:51" s="334" customFormat="1">
      <c r="A1040" s="277" t="s">
        <v>759</v>
      </c>
      <c r="B1040" s="334" t="s">
        <v>1665</v>
      </c>
      <c r="C1040" s="277">
        <f>'Schippers 2005&amp;2006 all'!B174</f>
        <v>92.9</v>
      </c>
      <c r="D1040" s="301"/>
      <c r="E1040" s="301"/>
      <c r="F1040" s="301"/>
      <c r="G1040" s="301"/>
      <c r="H1040" s="336"/>
      <c r="I1040" s="301">
        <f>'Schippers 2005&amp;2006 all'!H174</f>
        <v>879532.51334194303</v>
      </c>
      <c r="J1040" s="301">
        <f>'Schippers 2005&amp;2006 all'!I174</f>
        <v>1125.964155408936</v>
      </c>
      <c r="K1040" s="301">
        <f>'Schippers 2005&amp;2006 all'!J174</f>
        <v>880658.47749735194</v>
      </c>
      <c r="L1040" s="301"/>
      <c r="M1040" s="336"/>
      <c r="N1040" s="336">
        <f>J1040/K1040</f>
        <v>1.2785480230755194E-3</v>
      </c>
      <c r="Q1040" s="301"/>
      <c r="R1040" s="334" t="s">
        <v>1395</v>
      </c>
      <c r="S1040" s="334" t="s">
        <v>52</v>
      </c>
      <c r="T1040" s="334" t="s">
        <v>51</v>
      </c>
      <c r="U1040" s="334" t="s">
        <v>51</v>
      </c>
      <c r="V1040" s="313">
        <v>0.55000000000000004</v>
      </c>
      <c r="W1040" s="313">
        <v>0.55000000000000004</v>
      </c>
      <c r="X1040" s="306" t="s">
        <v>248</v>
      </c>
      <c r="Y1040" s="334" t="s">
        <v>96</v>
      </c>
      <c r="Z1040" s="314" t="s">
        <v>100</v>
      </c>
      <c r="AA1040" s="334" t="s">
        <v>1495</v>
      </c>
      <c r="AD1040" s="334" t="s">
        <v>1717</v>
      </c>
      <c r="AE1040" s="334" t="s">
        <v>1725</v>
      </c>
      <c r="AF1040" s="334" t="s">
        <v>1735</v>
      </c>
      <c r="AG1040" s="334" t="s">
        <v>1707</v>
      </c>
      <c r="AH1040" s="334" t="s">
        <v>1714</v>
      </c>
      <c r="AI1040" s="334" t="s">
        <v>1496</v>
      </c>
      <c r="AJ1040" s="334" t="s">
        <v>1487</v>
      </c>
      <c r="AK1040" s="334" t="s">
        <v>1488</v>
      </c>
      <c r="AL1040" s="334" t="s">
        <v>1497</v>
      </c>
      <c r="AO1040" s="334" t="s">
        <v>1494</v>
      </c>
      <c r="AQ1040" s="334">
        <v>427</v>
      </c>
      <c r="AR1040" s="334" t="s">
        <v>1463</v>
      </c>
      <c r="AV1040" s="334" t="b">
        <v>1</v>
      </c>
      <c r="AW1040" s="334" t="b">
        <v>1</v>
      </c>
      <c r="AX1040" s="334" t="b">
        <v>1</v>
      </c>
      <c r="AY1040" s="334" t="b">
        <v>1</v>
      </c>
    </row>
    <row r="1041" spans="1:51">
      <c r="A1041" s="277" t="s">
        <v>759</v>
      </c>
      <c r="B1041" s="327" t="s">
        <v>1665</v>
      </c>
      <c r="C1041" s="277">
        <f>'Schippers 2005&amp;2006 all'!B175</f>
        <v>93</v>
      </c>
      <c r="E1041" s="301">
        <f>'Schippers 2005&amp;2006 all'!E175</f>
        <v>477178.99206435791</v>
      </c>
      <c r="G1041" s="301">
        <f>E1041+F1041</f>
        <v>477178.99206435791</v>
      </c>
      <c r="M1041" s="27">
        <v>0</v>
      </c>
      <c r="O1041" t="s">
        <v>1247</v>
      </c>
      <c r="P1041" s="289"/>
      <c r="Q1041" s="301" t="b">
        <v>1</v>
      </c>
      <c r="R1041" s="304" t="s">
        <v>1395</v>
      </c>
      <c r="S1041" s="304" t="s">
        <v>52</v>
      </c>
      <c r="T1041" s="304" t="s">
        <v>51</v>
      </c>
      <c r="U1041" s="304" t="s">
        <v>51</v>
      </c>
      <c r="V1041" s="313">
        <v>0.55000000000000004</v>
      </c>
      <c r="W1041" s="313">
        <v>0.55000000000000004</v>
      </c>
      <c r="X1041" s="306" t="s">
        <v>248</v>
      </c>
      <c r="Y1041" s="328" t="s">
        <v>96</v>
      </c>
      <c r="Z1041" s="314" t="s">
        <v>100</v>
      </c>
      <c r="AB1041" s="334" t="s">
        <v>311</v>
      </c>
      <c r="AC1041" s="334" t="s">
        <v>1702</v>
      </c>
      <c r="AQ1041" s="326">
        <v>427</v>
      </c>
      <c r="AR1041" s="323" t="s">
        <v>1463</v>
      </c>
    </row>
    <row r="1042" spans="1:51" s="334" customFormat="1">
      <c r="A1042" s="277" t="s">
        <v>759</v>
      </c>
      <c r="B1042" s="334" t="s">
        <v>1665</v>
      </c>
      <c r="C1042" s="277">
        <f>'Schippers 2005&amp;2006 all'!B176</f>
        <v>102.3</v>
      </c>
      <c r="D1042" s="301"/>
      <c r="E1042" s="301"/>
      <c r="F1042" s="301"/>
      <c r="G1042" s="301"/>
      <c r="H1042" s="336"/>
      <c r="I1042" s="301">
        <f>'Schippers 2005&amp;2006 all'!H176</f>
        <v>61258.004432710986</v>
      </c>
      <c r="J1042" s="301">
        <f>'Schippers 2005&amp;2006 all'!I176</f>
        <v>1930.46016739889</v>
      </c>
      <c r="K1042" s="301">
        <f>'Schippers 2005&amp;2006 all'!J176</f>
        <v>63188.464600109874</v>
      </c>
      <c r="L1042" s="301"/>
      <c r="M1042" s="336"/>
      <c r="N1042" s="336">
        <f>J1042/K1042</f>
        <v>3.055083201682247E-2</v>
      </c>
      <c r="Q1042" s="301"/>
      <c r="R1042" s="334" t="s">
        <v>1395</v>
      </c>
      <c r="S1042" s="334" t="s">
        <v>52</v>
      </c>
      <c r="T1042" s="334" t="s">
        <v>51</v>
      </c>
      <c r="U1042" s="334" t="s">
        <v>51</v>
      </c>
      <c r="V1042" s="313">
        <v>0.55000000000000004</v>
      </c>
      <c r="W1042" s="313">
        <v>0.55000000000000004</v>
      </c>
      <c r="X1042" s="306" t="s">
        <v>248</v>
      </c>
      <c r="Y1042" s="334" t="s">
        <v>96</v>
      </c>
      <c r="Z1042" s="314" t="s">
        <v>100</v>
      </c>
      <c r="AA1042" s="334" t="s">
        <v>1495</v>
      </c>
      <c r="AD1042" s="334" t="s">
        <v>1717</v>
      </c>
      <c r="AE1042" s="334" t="s">
        <v>1725</v>
      </c>
      <c r="AF1042" s="334" t="s">
        <v>1735</v>
      </c>
      <c r="AG1042" s="334" t="s">
        <v>1707</v>
      </c>
      <c r="AH1042" s="334" t="s">
        <v>1714</v>
      </c>
      <c r="AI1042" s="334" t="s">
        <v>1496</v>
      </c>
      <c r="AJ1042" s="334" t="s">
        <v>1487</v>
      </c>
      <c r="AK1042" s="334" t="s">
        <v>1488</v>
      </c>
      <c r="AL1042" s="334" t="s">
        <v>1497</v>
      </c>
      <c r="AO1042" s="334" t="s">
        <v>1494</v>
      </c>
      <c r="AQ1042" s="334">
        <v>427</v>
      </c>
      <c r="AR1042" s="334" t="s">
        <v>1463</v>
      </c>
      <c r="AV1042" s="334" t="b">
        <v>1</v>
      </c>
      <c r="AW1042" s="334" t="b">
        <v>1</v>
      </c>
      <c r="AX1042" s="334" t="b">
        <v>1</v>
      </c>
      <c r="AY1042" s="334" t="b">
        <v>1</v>
      </c>
    </row>
    <row r="1043" spans="1:51" s="334" customFormat="1">
      <c r="A1043" s="277" t="s">
        <v>759</v>
      </c>
      <c r="B1043" s="334" t="s">
        <v>1665</v>
      </c>
      <c r="C1043" s="277">
        <f>'Schippers 2005&amp;2006 all'!B177</f>
        <v>102.4</v>
      </c>
      <c r="D1043" s="301"/>
      <c r="E1043" s="301"/>
      <c r="F1043" s="301"/>
      <c r="G1043" s="301"/>
      <c r="H1043" s="336"/>
      <c r="I1043" s="301">
        <f>'Schippers 2005&amp;2006 all'!H177</f>
        <v>126239.39324612819</v>
      </c>
      <c r="J1043" s="301">
        <f>'Schippers 2005&amp;2006 all'!I177</f>
        <v>113.7990312888506</v>
      </c>
      <c r="K1043" s="301">
        <f>'Schippers 2005&amp;2006 all'!J177</f>
        <v>126353.19227741705</v>
      </c>
      <c r="L1043" s="301"/>
      <c r="M1043" s="336"/>
      <c r="N1043" s="336">
        <f>J1043/K1043</f>
        <v>9.0064231253451086E-4</v>
      </c>
      <c r="Q1043" s="301"/>
      <c r="R1043" s="334" t="s">
        <v>1395</v>
      </c>
      <c r="S1043" s="334" t="s">
        <v>52</v>
      </c>
      <c r="T1043" s="334" t="s">
        <v>51</v>
      </c>
      <c r="U1043" s="334" t="s">
        <v>51</v>
      </c>
      <c r="V1043" s="313">
        <v>0.55000000000000004</v>
      </c>
      <c r="W1043" s="313">
        <v>0.55000000000000004</v>
      </c>
      <c r="X1043" s="306" t="s">
        <v>248</v>
      </c>
      <c r="Y1043" s="334" t="s">
        <v>96</v>
      </c>
      <c r="Z1043" s="314" t="s">
        <v>100</v>
      </c>
      <c r="AA1043" s="334" t="s">
        <v>1495</v>
      </c>
      <c r="AD1043" s="334" t="s">
        <v>1717</v>
      </c>
      <c r="AE1043" s="334" t="s">
        <v>1725</v>
      </c>
      <c r="AF1043" s="334" t="s">
        <v>1735</v>
      </c>
      <c r="AG1043" s="334" t="s">
        <v>1707</v>
      </c>
      <c r="AH1043" s="334" t="s">
        <v>1714</v>
      </c>
      <c r="AI1043" s="334" t="s">
        <v>1496</v>
      </c>
      <c r="AJ1043" s="334" t="s">
        <v>1487</v>
      </c>
      <c r="AK1043" s="334" t="s">
        <v>1488</v>
      </c>
      <c r="AL1043" s="334" t="s">
        <v>1497</v>
      </c>
      <c r="AO1043" s="334" t="s">
        <v>1494</v>
      </c>
      <c r="AQ1043" s="334">
        <v>427</v>
      </c>
      <c r="AR1043" s="334" t="s">
        <v>1463</v>
      </c>
      <c r="AV1043" s="334" t="b">
        <v>1</v>
      </c>
      <c r="AW1043" s="334" t="b">
        <v>1</v>
      </c>
      <c r="AX1043" s="334" t="b">
        <v>1</v>
      </c>
      <c r="AY1043" s="334" t="b">
        <v>1</v>
      </c>
    </row>
    <row r="1044" spans="1:51">
      <c r="A1044" s="277" t="s">
        <v>759</v>
      </c>
      <c r="B1044" s="328" t="s">
        <v>1665</v>
      </c>
      <c r="C1044" s="277">
        <f>'Schippers 2005&amp;2006 all'!B178</f>
        <v>103</v>
      </c>
      <c r="E1044" s="301">
        <f>'Schippers 2005&amp;2006 all'!E178</f>
        <v>735248.49048050807</v>
      </c>
      <c r="G1044" s="301">
        <f>E1044+F1044</f>
        <v>735248.49048050807</v>
      </c>
      <c r="M1044" s="27">
        <v>0</v>
      </c>
      <c r="O1044" t="s">
        <v>1247</v>
      </c>
      <c r="P1044" s="289"/>
      <c r="Q1044" s="301" t="b">
        <v>1</v>
      </c>
      <c r="R1044" s="304" t="s">
        <v>1395</v>
      </c>
      <c r="S1044" s="304" t="s">
        <v>52</v>
      </c>
      <c r="T1044" s="304" t="s">
        <v>51</v>
      </c>
      <c r="U1044" s="304" t="s">
        <v>51</v>
      </c>
      <c r="V1044" s="313">
        <v>0.55000000000000004</v>
      </c>
      <c r="W1044" s="313">
        <v>0.55000000000000004</v>
      </c>
      <c r="X1044" s="306" t="s">
        <v>248</v>
      </c>
      <c r="Y1044" s="334" t="s">
        <v>96</v>
      </c>
      <c r="Z1044" s="314" t="s">
        <v>100</v>
      </c>
      <c r="AB1044" s="334" t="s">
        <v>311</v>
      </c>
      <c r="AC1044" s="334" t="s">
        <v>1702</v>
      </c>
      <c r="AQ1044" s="326">
        <v>427</v>
      </c>
      <c r="AR1044" s="323" t="s">
        <v>1463</v>
      </c>
    </row>
    <row r="1045" spans="1:51">
      <c r="A1045" s="277" t="s">
        <v>759</v>
      </c>
      <c r="B1045" s="327" t="s">
        <v>1665</v>
      </c>
      <c r="C1045" s="277">
        <f>'Schippers 2005&amp;2006 all'!B179</f>
        <v>113.3</v>
      </c>
      <c r="I1045" s="301">
        <f>'Schippers 2005&amp;2006 all'!H179</f>
        <v>125537.580666291</v>
      </c>
      <c r="J1045" s="301">
        <f>'Schippers 2005&amp;2006 all'!I179</f>
        <v>529.74283096815907</v>
      </c>
      <c r="K1045" s="301">
        <f>'Schippers 2005&amp;2006 all'!J179</f>
        <v>126067.32349725916</v>
      </c>
      <c r="N1045" s="27">
        <f>J1045/K1045</f>
        <v>4.2020629634425153E-3</v>
      </c>
      <c r="O1045" s="327"/>
      <c r="P1045" s="289"/>
      <c r="R1045" s="304" t="s">
        <v>1395</v>
      </c>
      <c r="S1045" s="304" t="s">
        <v>52</v>
      </c>
      <c r="T1045" s="304" t="s">
        <v>51</v>
      </c>
      <c r="U1045" s="304" t="s">
        <v>51</v>
      </c>
      <c r="V1045" s="313">
        <v>0.55000000000000004</v>
      </c>
      <c r="W1045" s="313">
        <v>0.55000000000000004</v>
      </c>
      <c r="X1045" s="306" t="s">
        <v>248</v>
      </c>
      <c r="Y1045" s="328" t="s">
        <v>96</v>
      </c>
      <c r="Z1045" s="314" t="s">
        <v>100</v>
      </c>
      <c r="AA1045" s="326" t="s">
        <v>1495</v>
      </c>
      <c r="AD1045" s="326" t="s">
        <v>1717</v>
      </c>
      <c r="AE1045" s="326" t="s">
        <v>1725</v>
      </c>
      <c r="AF1045" s="326" t="s">
        <v>1735</v>
      </c>
      <c r="AG1045" s="326" t="s">
        <v>1707</v>
      </c>
      <c r="AH1045" s="326" t="s">
        <v>1714</v>
      </c>
      <c r="AI1045" s="326" t="s">
        <v>1496</v>
      </c>
      <c r="AJ1045" s="326" t="s">
        <v>1487</v>
      </c>
      <c r="AK1045" s="326" t="s">
        <v>1488</v>
      </c>
      <c r="AL1045" s="326" t="s">
        <v>1497</v>
      </c>
      <c r="AO1045" s="326" t="s">
        <v>1494</v>
      </c>
      <c r="AQ1045" s="326">
        <v>427</v>
      </c>
      <c r="AR1045" s="326" t="s">
        <v>1463</v>
      </c>
      <c r="AV1045" s="326" t="b">
        <v>1</v>
      </c>
      <c r="AW1045" t="b">
        <v>1</v>
      </c>
      <c r="AX1045" t="b">
        <v>1</v>
      </c>
      <c r="AY1045" t="b">
        <v>1</v>
      </c>
    </row>
    <row r="1046" spans="1:51" s="334" customFormat="1">
      <c r="A1046" s="277" t="s">
        <v>759</v>
      </c>
      <c r="B1046" s="334" t="s">
        <v>1665</v>
      </c>
      <c r="C1046" s="277">
        <f>'Schippers 2005&amp;2006 all'!B180</f>
        <v>113.4</v>
      </c>
      <c r="D1046" s="301"/>
      <c r="E1046" s="301"/>
      <c r="F1046" s="301"/>
      <c r="G1046" s="301"/>
      <c r="H1046" s="336"/>
      <c r="I1046" s="301">
        <f>'Schippers 2005&amp;2006 all'!H180</f>
        <v>281668.25192278938</v>
      </c>
      <c r="J1046" s="301">
        <f>'Schippers 2005&amp;2006 all'!I180</f>
        <v>3033.8066467202698</v>
      </c>
      <c r="K1046" s="301">
        <f>'Schippers 2005&amp;2006 all'!J180</f>
        <v>284702.05856950965</v>
      </c>
      <c r="L1046" s="301"/>
      <c r="M1046" s="336"/>
      <c r="N1046" s="336">
        <f>J1046/K1046</f>
        <v>1.0656075554787637E-2</v>
      </c>
      <c r="Q1046" s="301"/>
      <c r="R1046" s="334" t="s">
        <v>1395</v>
      </c>
      <c r="S1046" s="334" t="s">
        <v>52</v>
      </c>
      <c r="T1046" s="334" t="s">
        <v>51</v>
      </c>
      <c r="U1046" s="334" t="s">
        <v>51</v>
      </c>
      <c r="V1046" s="313">
        <v>0.55000000000000004</v>
      </c>
      <c r="W1046" s="313">
        <v>0.55000000000000004</v>
      </c>
      <c r="X1046" s="306" t="s">
        <v>248</v>
      </c>
      <c r="Y1046" s="334" t="s">
        <v>96</v>
      </c>
      <c r="Z1046" s="314" t="s">
        <v>100</v>
      </c>
      <c r="AA1046" s="334" t="s">
        <v>1495</v>
      </c>
      <c r="AD1046" s="334" t="s">
        <v>1717</v>
      </c>
      <c r="AE1046" s="334" t="s">
        <v>1725</v>
      </c>
      <c r="AF1046" s="334" t="s">
        <v>1735</v>
      </c>
      <c r="AG1046" s="334" t="s">
        <v>1707</v>
      </c>
      <c r="AH1046" s="334" t="s">
        <v>1714</v>
      </c>
      <c r="AI1046" s="334" t="s">
        <v>1496</v>
      </c>
      <c r="AJ1046" s="334" t="s">
        <v>1487</v>
      </c>
      <c r="AK1046" s="334" t="s">
        <v>1488</v>
      </c>
      <c r="AL1046" s="334" t="s">
        <v>1497</v>
      </c>
      <c r="AO1046" s="334" t="s">
        <v>1494</v>
      </c>
      <c r="AQ1046" s="334">
        <v>427</v>
      </c>
      <c r="AR1046" s="334" t="s">
        <v>1463</v>
      </c>
      <c r="AV1046" s="334" t="b">
        <v>1</v>
      </c>
      <c r="AW1046" s="334" t="b">
        <v>1</v>
      </c>
      <c r="AX1046" s="334" t="b">
        <v>1</v>
      </c>
      <c r="AY1046" s="334" t="b">
        <v>1</v>
      </c>
    </row>
    <row r="1047" spans="1:51">
      <c r="A1047" s="277" t="s">
        <v>759</v>
      </c>
      <c r="B1047" s="328" t="s">
        <v>1665</v>
      </c>
      <c r="C1047" s="277">
        <f>'Schippers 2005&amp;2006 all'!B181</f>
        <v>114</v>
      </c>
      <c r="E1047" s="301">
        <f>'Schippers 2005&amp;2006 all'!E181</f>
        <v>290359.85416356887</v>
      </c>
      <c r="G1047" s="301">
        <f>E1047+F1047</f>
        <v>290359.85416356887</v>
      </c>
      <c r="H1047" s="336"/>
      <c r="M1047" s="27">
        <v>0</v>
      </c>
      <c r="O1047" s="327" t="s">
        <v>1247</v>
      </c>
      <c r="P1047" s="289"/>
      <c r="Q1047" s="301" t="b">
        <v>1</v>
      </c>
      <c r="R1047" s="304" t="s">
        <v>1395</v>
      </c>
      <c r="S1047" s="304" t="s">
        <v>52</v>
      </c>
      <c r="T1047" s="304" t="s">
        <v>51</v>
      </c>
      <c r="U1047" s="304" t="s">
        <v>51</v>
      </c>
      <c r="V1047" s="313">
        <v>0.55000000000000004</v>
      </c>
      <c r="W1047" s="313">
        <v>0.55000000000000004</v>
      </c>
      <c r="X1047" s="306" t="s">
        <v>248</v>
      </c>
      <c r="Y1047" s="334" t="s">
        <v>96</v>
      </c>
      <c r="Z1047" s="314" t="s">
        <v>100</v>
      </c>
      <c r="AB1047" s="334" t="s">
        <v>311</v>
      </c>
      <c r="AC1047" s="334" t="s">
        <v>1702</v>
      </c>
      <c r="AQ1047" s="326">
        <v>427</v>
      </c>
      <c r="AR1047" s="326" t="s">
        <v>1463</v>
      </c>
    </row>
    <row r="1048" spans="1:51" s="334" customFormat="1">
      <c r="A1048" s="277" t="s">
        <v>759</v>
      </c>
      <c r="B1048" s="334" t="s">
        <v>1665</v>
      </c>
      <c r="C1048" s="277">
        <f>'Schippers 2005&amp;2006 all'!B182</f>
        <v>121.3</v>
      </c>
      <c r="D1048" s="301"/>
      <c r="E1048" s="301"/>
      <c r="F1048" s="301"/>
      <c r="G1048" s="301"/>
      <c r="H1048" s="336"/>
      <c r="I1048" s="301">
        <f>'Schippers 2005&amp;2006 all'!H182</f>
        <v>242000.6634396147</v>
      </c>
      <c r="J1048" s="301">
        <f>'Schippers 2005&amp;2006 all'!I182</f>
        <v>1551.2991573629042</v>
      </c>
      <c r="K1048" s="301">
        <f>'Schippers 2005&amp;2006 all'!J182</f>
        <v>243551.9625969776</v>
      </c>
      <c r="L1048" s="301"/>
      <c r="M1048" s="336"/>
      <c r="N1048" s="336">
        <f>J1048/K1048</f>
        <v>6.3694791896624827E-3</v>
      </c>
      <c r="Q1048" s="301"/>
      <c r="R1048" s="334" t="s">
        <v>1395</v>
      </c>
      <c r="S1048" s="334" t="s">
        <v>52</v>
      </c>
      <c r="T1048" s="334" t="s">
        <v>51</v>
      </c>
      <c r="U1048" s="334" t="s">
        <v>51</v>
      </c>
      <c r="V1048" s="313">
        <v>0.55000000000000004</v>
      </c>
      <c r="W1048" s="313">
        <v>0.55000000000000004</v>
      </c>
      <c r="X1048" s="306" t="s">
        <v>248</v>
      </c>
      <c r="Y1048" s="334" t="s">
        <v>96</v>
      </c>
      <c r="Z1048" s="314" t="s">
        <v>100</v>
      </c>
      <c r="AA1048" s="334" t="s">
        <v>1495</v>
      </c>
      <c r="AD1048" s="334" t="s">
        <v>1717</v>
      </c>
      <c r="AE1048" s="334" t="s">
        <v>1725</v>
      </c>
      <c r="AF1048" s="334" t="s">
        <v>1735</v>
      </c>
      <c r="AG1048" s="334" t="s">
        <v>1707</v>
      </c>
      <c r="AH1048" s="334" t="s">
        <v>1714</v>
      </c>
      <c r="AI1048" s="334" t="s">
        <v>1496</v>
      </c>
      <c r="AJ1048" s="334" t="s">
        <v>1487</v>
      </c>
      <c r="AK1048" s="334" t="s">
        <v>1488</v>
      </c>
      <c r="AL1048" s="334" t="s">
        <v>1497</v>
      </c>
      <c r="AO1048" s="334" t="s">
        <v>1494</v>
      </c>
      <c r="AQ1048" s="334">
        <v>427</v>
      </c>
      <c r="AR1048" s="334" t="s">
        <v>1463</v>
      </c>
      <c r="AV1048" s="334" t="b">
        <v>1</v>
      </c>
      <c r="AW1048" s="334" t="b">
        <v>1</v>
      </c>
      <c r="AX1048" s="334" t="b">
        <v>1</v>
      </c>
      <c r="AY1048" s="334" t="b">
        <v>1</v>
      </c>
    </row>
    <row r="1049" spans="1:51">
      <c r="A1049" s="277" t="s">
        <v>759</v>
      </c>
      <c r="B1049" s="328" t="s">
        <v>1665</v>
      </c>
      <c r="C1049" s="277">
        <f>'Schippers 2005&amp;2006 all'!B183</f>
        <v>121.4</v>
      </c>
      <c r="I1049" s="301">
        <f>'Schippers 2005&amp;2006 all'!H183</f>
        <v>44299.711559201176</v>
      </c>
      <c r="J1049" s="301">
        <f>'Schippers 2005&amp;2006 all'!I183</f>
        <v>9.1844234441550139</v>
      </c>
      <c r="K1049" s="301">
        <f>'Schippers 2005&amp;2006 all'!J183</f>
        <v>44308.895982645328</v>
      </c>
      <c r="N1049" s="27">
        <f>J1049/K1049</f>
        <v>2.0728170360535093E-4</v>
      </c>
      <c r="O1049" s="327"/>
      <c r="P1049" s="289"/>
      <c r="R1049" s="304" t="s">
        <v>1395</v>
      </c>
      <c r="S1049" s="304" t="s">
        <v>52</v>
      </c>
      <c r="T1049" s="304" t="s">
        <v>51</v>
      </c>
      <c r="U1049" s="304" t="s">
        <v>51</v>
      </c>
      <c r="V1049" s="313">
        <v>0.55000000000000004</v>
      </c>
      <c r="W1049" s="313">
        <v>0.55000000000000004</v>
      </c>
      <c r="X1049" s="306" t="s">
        <v>248</v>
      </c>
      <c r="Y1049" s="328" t="s">
        <v>96</v>
      </c>
      <c r="Z1049" s="314" t="s">
        <v>100</v>
      </c>
      <c r="AA1049" s="326" t="s">
        <v>1495</v>
      </c>
      <c r="AD1049" s="326" t="s">
        <v>1717</v>
      </c>
      <c r="AE1049" s="326" t="s">
        <v>1725</v>
      </c>
      <c r="AF1049" s="326" t="s">
        <v>1735</v>
      </c>
      <c r="AG1049" s="326" t="s">
        <v>1707</v>
      </c>
      <c r="AH1049" s="326" t="s">
        <v>1714</v>
      </c>
      <c r="AI1049" s="326" t="s">
        <v>1496</v>
      </c>
      <c r="AJ1049" s="326" t="s">
        <v>1487</v>
      </c>
      <c r="AK1049" s="326" t="s">
        <v>1488</v>
      </c>
      <c r="AL1049" s="326" t="s">
        <v>1497</v>
      </c>
      <c r="AO1049" s="326" t="s">
        <v>1494</v>
      </c>
      <c r="AQ1049" s="326">
        <v>427</v>
      </c>
      <c r="AR1049" s="326" t="s">
        <v>1463</v>
      </c>
      <c r="AV1049" s="326" t="b">
        <v>1</v>
      </c>
      <c r="AW1049" t="b">
        <v>1</v>
      </c>
      <c r="AX1049" t="b">
        <v>1</v>
      </c>
      <c r="AY1049" t="b">
        <v>1</v>
      </c>
    </row>
    <row r="1050" spans="1:51" s="334" customFormat="1">
      <c r="A1050" s="277" t="s">
        <v>759</v>
      </c>
      <c r="B1050" s="334" t="s">
        <v>1665</v>
      </c>
      <c r="C1050" s="277">
        <f>'Schippers 2005&amp;2006 all'!B184</f>
        <v>123</v>
      </c>
      <c r="D1050" s="301"/>
      <c r="E1050" s="301">
        <f>'Schippers 2005&amp;2006 all'!E184</f>
        <v>328521.59053726966</v>
      </c>
      <c r="F1050" s="301"/>
      <c r="G1050" s="301">
        <f>E1050+F1050</f>
        <v>328521.59053726966</v>
      </c>
      <c r="H1050" s="336"/>
      <c r="I1050" s="301"/>
      <c r="J1050" s="301"/>
      <c r="K1050" s="301"/>
      <c r="L1050" s="301"/>
      <c r="M1050" s="336">
        <v>0</v>
      </c>
      <c r="N1050" s="336"/>
      <c r="O1050" s="334" t="s">
        <v>1247</v>
      </c>
      <c r="Q1050" s="301" t="b">
        <v>1</v>
      </c>
      <c r="R1050" s="334" t="s">
        <v>1395</v>
      </c>
      <c r="S1050" s="334" t="s">
        <v>52</v>
      </c>
      <c r="T1050" s="334" t="s">
        <v>51</v>
      </c>
      <c r="U1050" s="334" t="s">
        <v>51</v>
      </c>
      <c r="V1050" s="313">
        <v>0.55000000000000004</v>
      </c>
      <c r="W1050" s="313">
        <v>0.55000000000000004</v>
      </c>
      <c r="X1050" s="306" t="s">
        <v>248</v>
      </c>
      <c r="Y1050" s="334" t="s">
        <v>96</v>
      </c>
      <c r="Z1050" s="314" t="s">
        <v>100</v>
      </c>
      <c r="AB1050" s="334" t="s">
        <v>311</v>
      </c>
      <c r="AC1050" s="334" t="s">
        <v>1702</v>
      </c>
      <c r="AQ1050" s="334">
        <v>427</v>
      </c>
      <c r="AR1050" s="334" t="s">
        <v>1463</v>
      </c>
    </row>
    <row r="1051" spans="1:51">
      <c r="A1051" s="277" t="s">
        <v>759</v>
      </c>
      <c r="B1051" s="328" t="s">
        <v>1665</v>
      </c>
      <c r="C1051" s="277">
        <f>'Schippers 2005&amp;2006 all'!B185</f>
        <v>144</v>
      </c>
      <c r="D1051" s="301">
        <f>'Schippers 2005&amp;2006 all'!C185</f>
        <v>1766391.9217025267</v>
      </c>
      <c r="E1051" s="301">
        <f>'Schippers 2005&amp;2006 all'!E185</f>
        <v>320116.06358201237</v>
      </c>
      <c r="G1051" s="301">
        <f>E1051+F1051</f>
        <v>320116.06358201237</v>
      </c>
      <c r="H1051" s="27">
        <f>G1051/D1051</f>
        <v>0.18122595537771161</v>
      </c>
      <c r="M1051" s="27">
        <v>0</v>
      </c>
      <c r="O1051" s="327" t="s">
        <v>1247</v>
      </c>
      <c r="P1051" s="293"/>
      <c r="Q1051" s="301" t="b">
        <v>1</v>
      </c>
      <c r="R1051" s="304" t="s">
        <v>1395</v>
      </c>
      <c r="S1051" s="304" t="s">
        <v>52</v>
      </c>
      <c r="T1051" s="304" t="s">
        <v>51</v>
      </c>
      <c r="U1051" s="304" t="s">
        <v>51</v>
      </c>
      <c r="V1051" s="313">
        <v>0.55000000000000004</v>
      </c>
      <c r="W1051" s="313">
        <v>0.55000000000000004</v>
      </c>
      <c r="X1051" s="306" t="s">
        <v>248</v>
      </c>
      <c r="Y1051" s="328" t="s">
        <v>96</v>
      </c>
      <c r="Z1051" s="314" t="s">
        <v>100</v>
      </c>
      <c r="AB1051" s="334" t="s">
        <v>311</v>
      </c>
      <c r="AC1051" s="334" t="s">
        <v>1702</v>
      </c>
      <c r="AQ1051" s="326">
        <v>427</v>
      </c>
      <c r="AR1051" s="326" t="s">
        <v>1463</v>
      </c>
    </row>
    <row r="1052" spans="1:51" s="334" customFormat="1">
      <c r="A1052" s="277" t="s">
        <v>759</v>
      </c>
      <c r="B1052" s="334" t="s">
        <v>1665</v>
      </c>
      <c r="C1052" s="277">
        <f>'Schippers 2005&amp;2006 all'!B186</f>
        <v>144.33000000000001</v>
      </c>
      <c r="D1052" s="301">
        <f>'Schippers 2005&amp;2006 all'!C186</f>
        <v>1766391.9217025267</v>
      </c>
      <c r="E1052" s="301"/>
      <c r="F1052" s="301"/>
      <c r="G1052" s="301"/>
      <c r="H1052" s="336"/>
      <c r="I1052" s="301"/>
      <c r="J1052" s="301"/>
      <c r="K1052" s="301"/>
      <c r="L1052" s="301"/>
      <c r="M1052" s="336"/>
      <c r="N1052" s="336"/>
      <c r="Q1052" s="301"/>
      <c r="R1052" s="334" t="s">
        <v>1395</v>
      </c>
      <c r="S1052" s="334" t="s">
        <v>52</v>
      </c>
      <c r="T1052" s="334" t="s">
        <v>51</v>
      </c>
      <c r="U1052" s="334" t="s">
        <v>51</v>
      </c>
      <c r="V1052" s="313">
        <v>0.55000000000000004</v>
      </c>
      <c r="W1052" s="313">
        <v>0.55000000000000004</v>
      </c>
      <c r="X1052" s="306" t="s">
        <v>248</v>
      </c>
      <c r="Y1052" s="334" t="s">
        <v>96</v>
      </c>
      <c r="Z1052" s="314" t="s">
        <v>100</v>
      </c>
      <c r="AQ1052" s="334">
        <v>427</v>
      </c>
      <c r="AR1052" s="334" t="s">
        <v>1463</v>
      </c>
    </row>
    <row r="1053" spans="1:51" s="334" customFormat="1">
      <c r="A1053" s="277" t="s">
        <v>759</v>
      </c>
      <c r="B1053" s="334" t="s">
        <v>1671</v>
      </c>
      <c r="C1053" s="336">
        <f>'Schippers 2005&amp;2006 all'!B285</f>
        <v>0.01</v>
      </c>
      <c r="D1053" s="301"/>
      <c r="E1053" s="301"/>
      <c r="F1053" s="301"/>
      <c r="G1053" s="301"/>
      <c r="H1053" s="181"/>
      <c r="I1053" s="301"/>
      <c r="J1053" s="301"/>
      <c r="K1053" s="301"/>
      <c r="L1053" s="301"/>
      <c r="M1053" s="336" t="e">
        <f>F1053/G1053</f>
        <v>#DIV/0!</v>
      </c>
      <c r="N1053" s="336"/>
      <c r="P1053" s="334">
        <f>'Schippers 2005&amp;2006 all'!O310</f>
        <v>0.84</v>
      </c>
      <c r="Q1053" s="301" t="b">
        <v>1</v>
      </c>
      <c r="R1053" s="334" t="s">
        <v>1395</v>
      </c>
      <c r="S1053" s="334" t="s">
        <v>52</v>
      </c>
      <c r="T1053" s="334" t="s">
        <v>51</v>
      </c>
      <c r="U1053" s="334" t="s">
        <v>51</v>
      </c>
      <c r="V1053" s="313">
        <v>0.55000000000000004</v>
      </c>
      <c r="W1053" s="313">
        <v>0.55000000000000004</v>
      </c>
      <c r="X1053" s="306" t="s">
        <v>248</v>
      </c>
      <c r="Y1053" s="334" t="s">
        <v>96</v>
      </c>
      <c r="Z1053" s="314" t="s">
        <v>100</v>
      </c>
      <c r="AQ1053" s="334">
        <v>5088</v>
      </c>
      <c r="AR1053" s="334" t="s">
        <v>1463</v>
      </c>
    </row>
    <row r="1054" spans="1:51">
      <c r="A1054" s="277" t="s">
        <v>759</v>
      </c>
      <c r="B1054" s="328" t="s">
        <v>1671</v>
      </c>
      <c r="C1054" s="336">
        <f>'Schippers 2005&amp;2006 all'!B286</f>
        <v>0.1</v>
      </c>
      <c r="E1054" s="301">
        <f>'Schippers 2005&amp;2006 all'!E286</f>
        <v>133089.12580626487</v>
      </c>
      <c r="G1054" s="301">
        <f>E1054+F1054</f>
        <v>133089.12580626487</v>
      </c>
      <c r="H1054" s="181"/>
      <c r="M1054" s="27">
        <f>F1054/G1054</f>
        <v>0</v>
      </c>
      <c r="O1054" s="327" t="s">
        <v>1247</v>
      </c>
      <c r="P1054" s="293">
        <f>'Schippers 2005&amp;2006 all'!O297</f>
        <v>5.2</v>
      </c>
      <c r="Q1054" s="301" t="b">
        <v>1</v>
      </c>
      <c r="R1054" s="304" t="s">
        <v>1395</v>
      </c>
      <c r="S1054" s="304" t="s">
        <v>52</v>
      </c>
      <c r="T1054" s="304" t="s">
        <v>51</v>
      </c>
      <c r="U1054" s="304" t="s">
        <v>51</v>
      </c>
      <c r="V1054" s="313">
        <v>0.55000000000000004</v>
      </c>
      <c r="W1054" s="313">
        <v>0.55000000000000004</v>
      </c>
      <c r="X1054" s="306" t="s">
        <v>248</v>
      </c>
      <c r="Y1054" s="328" t="s">
        <v>96</v>
      </c>
      <c r="Z1054" s="314" t="s">
        <v>100</v>
      </c>
      <c r="AB1054" s="334" t="s">
        <v>311</v>
      </c>
      <c r="AC1054" s="334" t="s">
        <v>1702</v>
      </c>
      <c r="AQ1054" s="326">
        <v>5088</v>
      </c>
      <c r="AR1054" s="326" t="s">
        <v>1463</v>
      </c>
    </row>
    <row r="1055" spans="1:51" s="334" customFormat="1">
      <c r="A1055" s="277" t="s">
        <v>759</v>
      </c>
      <c r="B1055" s="334" t="s">
        <v>1671</v>
      </c>
      <c r="C1055" s="336">
        <f>'Schippers 2005&amp;2006 all'!B287</f>
        <v>0.2</v>
      </c>
      <c r="D1055" s="301"/>
      <c r="E1055" s="301">
        <f>'Schippers 2005&amp;2006 all'!E287</f>
        <v>120102.61773536235</v>
      </c>
      <c r="F1055" s="301"/>
      <c r="G1055" s="301">
        <f>E1055+F1055</f>
        <v>120102.61773536235</v>
      </c>
      <c r="H1055" s="181"/>
      <c r="I1055" s="301"/>
      <c r="J1055" s="301"/>
      <c r="K1055" s="301"/>
      <c r="L1055" s="301"/>
      <c r="M1055" s="336">
        <f>F1055/G1055</f>
        <v>0</v>
      </c>
      <c r="N1055" s="336"/>
      <c r="O1055" s="334" t="s">
        <v>1247</v>
      </c>
      <c r="P1055" s="334">
        <f>'Schippers 2005&amp;2006 all'!O292</f>
        <v>17.61</v>
      </c>
      <c r="Q1055" s="301" t="b">
        <v>1</v>
      </c>
      <c r="R1055" s="334" t="s">
        <v>1395</v>
      </c>
      <c r="S1055" s="334" t="s">
        <v>52</v>
      </c>
      <c r="T1055" s="334" t="s">
        <v>51</v>
      </c>
      <c r="U1055" s="334" t="s">
        <v>51</v>
      </c>
      <c r="V1055" s="313">
        <v>0.55000000000000004</v>
      </c>
      <c r="W1055" s="313">
        <v>0.55000000000000004</v>
      </c>
      <c r="X1055" s="306" t="s">
        <v>248</v>
      </c>
      <c r="Y1055" s="334" t="s">
        <v>96</v>
      </c>
      <c r="Z1055" s="314" t="s">
        <v>100</v>
      </c>
      <c r="AB1055" s="334" t="s">
        <v>311</v>
      </c>
      <c r="AC1055" s="334" t="s">
        <v>1702</v>
      </c>
      <c r="AQ1055" s="334">
        <v>5088</v>
      </c>
      <c r="AR1055" s="334" t="s">
        <v>1463</v>
      </c>
    </row>
    <row r="1056" spans="1:51">
      <c r="A1056" s="277" t="s">
        <v>759</v>
      </c>
      <c r="B1056" s="327" t="s">
        <v>1671</v>
      </c>
      <c r="C1056" s="336">
        <f>'Schippers 2005&amp;2006 all'!B288</f>
        <v>0.3</v>
      </c>
      <c r="I1056" s="301">
        <f>'Schippers 2005&amp;2006 all'!H288</f>
        <v>167199855.776274</v>
      </c>
      <c r="J1056" s="301">
        <f>'Schippers 2005&amp;2006 all'!I288</f>
        <v>1006603.7990693901</v>
      </c>
      <c r="K1056" s="301">
        <f>'Schippers 2005&amp;2006 all'!J288</f>
        <v>168206459.5753434</v>
      </c>
      <c r="N1056" s="27">
        <f>J1056/K1056</f>
        <v>5.9843349750697888E-3</v>
      </c>
      <c r="O1056" s="327"/>
      <c r="P1056" s="289">
        <f>'Schippers 2005&amp;2006 all'!O288</f>
        <v>28.27</v>
      </c>
      <c r="R1056" s="304" t="s">
        <v>1395</v>
      </c>
      <c r="S1056" s="304" t="s">
        <v>52</v>
      </c>
      <c r="T1056" s="304" t="s">
        <v>51</v>
      </c>
      <c r="U1056" s="304" t="s">
        <v>51</v>
      </c>
      <c r="V1056" s="313">
        <v>0.55000000000000004</v>
      </c>
      <c r="W1056" s="313">
        <v>0.55000000000000004</v>
      </c>
      <c r="X1056" s="306" t="s">
        <v>248</v>
      </c>
      <c r="Y1056" s="328" t="s">
        <v>96</v>
      </c>
      <c r="Z1056" s="314" t="s">
        <v>100</v>
      </c>
      <c r="AA1056" s="326" t="s">
        <v>1495</v>
      </c>
      <c r="AD1056" s="326" t="s">
        <v>1717</v>
      </c>
      <c r="AE1056" s="326" t="s">
        <v>1725</v>
      </c>
      <c r="AF1056" s="326" t="s">
        <v>1735</v>
      </c>
      <c r="AG1056" s="326" t="s">
        <v>1707</v>
      </c>
      <c r="AH1056" s="326" t="s">
        <v>1714</v>
      </c>
      <c r="AI1056" s="326" t="s">
        <v>1496</v>
      </c>
      <c r="AJ1056" s="326" t="s">
        <v>1487</v>
      </c>
      <c r="AK1056" s="326" t="s">
        <v>1488</v>
      </c>
      <c r="AL1056" s="326" t="s">
        <v>1497</v>
      </c>
      <c r="AO1056" s="326" t="s">
        <v>1494</v>
      </c>
      <c r="AQ1056" s="326">
        <v>5088</v>
      </c>
      <c r="AR1056" s="326" t="s">
        <v>1463</v>
      </c>
      <c r="AV1056" s="326" t="b">
        <v>1</v>
      </c>
      <c r="AW1056" t="b">
        <v>1</v>
      </c>
      <c r="AX1056" t="b">
        <v>1</v>
      </c>
      <c r="AY1056" t="b">
        <v>1</v>
      </c>
    </row>
    <row r="1057" spans="1:51">
      <c r="A1057" s="277" t="s">
        <v>759</v>
      </c>
      <c r="B1057" s="328" t="s">
        <v>1671</v>
      </c>
      <c r="C1057" s="336">
        <f>'Schippers 2005&amp;2006 all'!B289</f>
        <v>1</v>
      </c>
      <c r="D1057" s="301">
        <f>'Schippers 2005&amp;2006 all'!C289</f>
        <v>140619057.28402838</v>
      </c>
      <c r="E1057" s="301">
        <f>'Schippers 2005&amp;2006 all'!E289</f>
        <v>128394.49825013154</v>
      </c>
      <c r="G1057" s="301">
        <f>E1057+F1057</f>
        <v>128394.49825013154</v>
      </c>
      <c r="H1057" s="181">
        <f>G1057/D1057</f>
        <v>9.130661286598931E-4</v>
      </c>
      <c r="M1057" s="27">
        <f>F1057/G1057</f>
        <v>0</v>
      </c>
      <c r="O1057" s="327" t="s">
        <v>1247</v>
      </c>
      <c r="P1057" s="289">
        <f>'Schippers 2005&amp;2006 all'!O295</f>
        <v>12.1</v>
      </c>
      <c r="Q1057" s="301" t="b">
        <v>1</v>
      </c>
      <c r="R1057" s="304" t="s">
        <v>1395</v>
      </c>
      <c r="S1057" s="304" t="s">
        <v>52</v>
      </c>
      <c r="T1057" s="304" t="s">
        <v>51</v>
      </c>
      <c r="U1057" s="304" t="s">
        <v>51</v>
      </c>
      <c r="V1057" s="313">
        <v>0.55000000000000004</v>
      </c>
      <c r="W1057" s="313">
        <v>0.55000000000000004</v>
      </c>
      <c r="X1057" s="306" t="s">
        <v>248</v>
      </c>
      <c r="Y1057" s="328" t="s">
        <v>96</v>
      </c>
      <c r="Z1057" s="314" t="s">
        <v>100</v>
      </c>
      <c r="AB1057" s="334" t="s">
        <v>311</v>
      </c>
      <c r="AC1057" s="334" t="s">
        <v>1702</v>
      </c>
      <c r="AQ1057" s="326">
        <v>5088</v>
      </c>
      <c r="AR1057" s="326" t="s">
        <v>1463</v>
      </c>
    </row>
    <row r="1058" spans="1:51">
      <c r="A1058" s="277" t="s">
        <v>759</v>
      </c>
      <c r="B1058" s="328" t="s">
        <v>1671</v>
      </c>
      <c r="C1058" s="336">
        <f>'Schippers 2005&amp;2006 all'!B290</f>
        <v>1.1100000000000001</v>
      </c>
      <c r="D1058" s="301">
        <f>'Schippers 2005&amp;2006 all'!C290</f>
        <v>140619057.28402838</v>
      </c>
      <c r="H1058" s="181"/>
      <c r="M1058" s="27" t="e">
        <f>F1058/G1058</f>
        <v>#DIV/0!</v>
      </c>
      <c r="O1058" s="327" t="s">
        <v>1247</v>
      </c>
      <c r="P1058" s="289">
        <f>'Schippers 2005&amp;2006 all'!O314</f>
        <v>0.27</v>
      </c>
      <c r="Q1058" s="301" t="b">
        <v>1</v>
      </c>
      <c r="R1058" t="s">
        <v>1395</v>
      </c>
      <c r="S1058" t="s">
        <v>52</v>
      </c>
      <c r="T1058" t="s">
        <v>51</v>
      </c>
      <c r="U1058" t="s">
        <v>51</v>
      </c>
      <c r="V1058" s="313">
        <v>0.55000000000000004</v>
      </c>
      <c r="W1058" s="313">
        <v>0.55000000000000004</v>
      </c>
      <c r="X1058" s="306" t="s">
        <v>248</v>
      </c>
      <c r="Y1058" s="328" t="s">
        <v>96</v>
      </c>
      <c r="Z1058" s="314" t="s">
        <v>100</v>
      </c>
      <c r="AB1058" s="334" t="s">
        <v>311</v>
      </c>
      <c r="AC1058" s="334" t="s">
        <v>1702</v>
      </c>
      <c r="AQ1058" s="326">
        <v>5088</v>
      </c>
      <c r="AR1058" s="326" t="s">
        <v>1463</v>
      </c>
    </row>
    <row r="1059" spans="1:51">
      <c r="A1059" s="277" t="s">
        <v>759</v>
      </c>
      <c r="B1059" s="328" t="s">
        <v>1671</v>
      </c>
      <c r="C1059" s="336">
        <f>'Schippers 2005&amp;2006 all'!B291</f>
        <v>2</v>
      </c>
      <c r="D1059" s="301">
        <f>'Schippers 2005&amp;2006 all'!C291</f>
        <v>140619057.28402838</v>
      </c>
      <c r="E1059" s="301">
        <f>'Schippers 2005&amp;2006 all'!E291</f>
        <v>214423.59432164222</v>
      </c>
      <c r="G1059" s="301">
        <f>E1059+F1059</f>
        <v>214423.59432164222</v>
      </c>
      <c r="H1059" s="181">
        <f>G1059/D1059</f>
        <v>1.5248544433670913E-3</v>
      </c>
      <c r="M1059" s="27">
        <f>F1059/G1059</f>
        <v>0</v>
      </c>
      <c r="O1059" s="327" t="s">
        <v>1247</v>
      </c>
      <c r="P1059" s="323">
        <f>'Schippers 2005&amp;2006 all'!O285</f>
        <v>28.84</v>
      </c>
      <c r="Q1059" s="301" t="b">
        <v>1</v>
      </c>
      <c r="R1059" t="s">
        <v>1395</v>
      </c>
      <c r="S1059" t="s">
        <v>52</v>
      </c>
      <c r="T1059" t="s">
        <v>51</v>
      </c>
      <c r="U1059" t="s">
        <v>51</v>
      </c>
      <c r="V1059" s="313">
        <v>0.55000000000000004</v>
      </c>
      <c r="W1059" s="313">
        <v>0.55000000000000004</v>
      </c>
      <c r="X1059" s="306" t="s">
        <v>248</v>
      </c>
      <c r="Y1059" s="334" t="s">
        <v>96</v>
      </c>
      <c r="Z1059" s="314" t="s">
        <v>100</v>
      </c>
      <c r="AB1059" s="334" t="s">
        <v>311</v>
      </c>
      <c r="AC1059" s="334" t="s">
        <v>1702</v>
      </c>
      <c r="AQ1059" s="326">
        <v>5088</v>
      </c>
      <c r="AR1059" s="326" t="s">
        <v>1463</v>
      </c>
    </row>
    <row r="1060" spans="1:51">
      <c r="A1060" s="277" t="s">
        <v>759</v>
      </c>
      <c r="B1060" s="334" t="s">
        <v>1671</v>
      </c>
      <c r="C1060" s="336">
        <f>'Schippers 2005&amp;2006 all'!B292</f>
        <v>3.88</v>
      </c>
      <c r="D1060" s="301">
        <f>'Schippers 2005&amp;2006 all'!C292</f>
        <v>33153356.15321701</v>
      </c>
      <c r="H1060" s="181"/>
      <c r="M1060" s="27" t="e">
        <f>F1060/G1060</f>
        <v>#DIV/0!</v>
      </c>
      <c r="O1060" s="327" t="s">
        <v>1247</v>
      </c>
      <c r="P1060" s="289">
        <f>'Schippers 2005&amp;2006 all'!O316</f>
        <v>0.64</v>
      </c>
      <c r="Q1060" s="301" t="b">
        <v>1</v>
      </c>
      <c r="R1060" t="s">
        <v>1395</v>
      </c>
      <c r="S1060" t="s">
        <v>52</v>
      </c>
      <c r="T1060" t="s">
        <v>51</v>
      </c>
      <c r="U1060" t="s">
        <v>51</v>
      </c>
      <c r="V1060" s="313">
        <v>0.55000000000000004</v>
      </c>
      <c r="W1060" s="313">
        <v>0.55000000000000004</v>
      </c>
      <c r="X1060" s="306" t="s">
        <v>248</v>
      </c>
      <c r="Y1060" s="328" t="s">
        <v>96</v>
      </c>
      <c r="Z1060" s="314" t="s">
        <v>100</v>
      </c>
      <c r="AB1060" s="334" t="s">
        <v>311</v>
      </c>
      <c r="AC1060" s="334" t="s">
        <v>1702</v>
      </c>
      <c r="AQ1060" s="326">
        <v>5088</v>
      </c>
      <c r="AR1060" s="326" t="s">
        <v>1463</v>
      </c>
    </row>
    <row r="1061" spans="1:51">
      <c r="A1061" s="277" t="s">
        <v>759</v>
      </c>
      <c r="B1061" s="334" t="s">
        <v>1671</v>
      </c>
      <c r="C1061" s="336">
        <f>'Schippers 2005&amp;2006 all'!B293</f>
        <v>4</v>
      </c>
      <c r="D1061" s="301">
        <f>'Schippers 2005&amp;2006 all'!C293</f>
        <v>33153356.15321701</v>
      </c>
      <c r="E1061" s="301">
        <f>'Schippers 2005&amp;2006 all'!E293</f>
        <v>140745.43808338526</v>
      </c>
      <c r="G1061" s="301">
        <f>E1061+F1061</f>
        <v>140745.43808338526</v>
      </c>
      <c r="H1061" s="181">
        <f>G1061/D1061</f>
        <v>4.2452847739738757E-3</v>
      </c>
      <c r="M1061" s="27">
        <f>F1061/G1061</f>
        <v>0</v>
      </c>
      <c r="O1061" s="327" t="s">
        <v>1247</v>
      </c>
      <c r="P1061" s="289">
        <f>'Schippers 2005&amp;2006 all'!O317</f>
        <v>0.55000000000000004</v>
      </c>
      <c r="Q1061" s="301" t="b">
        <v>1</v>
      </c>
      <c r="R1061" t="s">
        <v>1395</v>
      </c>
      <c r="S1061" t="s">
        <v>52</v>
      </c>
      <c r="T1061" t="s">
        <v>51</v>
      </c>
      <c r="U1061" t="s">
        <v>51</v>
      </c>
      <c r="V1061" s="313">
        <v>0.55000000000000004</v>
      </c>
      <c r="W1061" s="313">
        <v>0.55000000000000004</v>
      </c>
      <c r="X1061" s="306" t="s">
        <v>248</v>
      </c>
      <c r="Y1061" s="328" t="s">
        <v>96</v>
      </c>
      <c r="Z1061" s="314" t="s">
        <v>100</v>
      </c>
      <c r="AB1061" s="334" t="s">
        <v>311</v>
      </c>
      <c r="AC1061" s="334" t="s">
        <v>1702</v>
      </c>
      <c r="AQ1061" s="326">
        <v>5088</v>
      </c>
      <c r="AR1061" s="326" t="s">
        <v>1463</v>
      </c>
    </row>
    <row r="1062" spans="1:51">
      <c r="A1062" s="277" t="s">
        <v>759</v>
      </c>
      <c r="B1062" s="334" t="s">
        <v>1671</v>
      </c>
      <c r="C1062" s="336">
        <f>'Schippers 2005&amp;2006 all'!B294</f>
        <v>5.0599999999999996</v>
      </c>
      <c r="D1062" s="301">
        <f>'Schippers 2005&amp;2006 all'!C294</f>
        <v>18227562.889566705</v>
      </c>
      <c r="H1062" s="181"/>
      <c r="M1062" s="27" t="e">
        <f>F1062/G1062</f>
        <v>#DIV/0!</v>
      </c>
      <c r="O1062" s="327" t="s">
        <v>1247</v>
      </c>
      <c r="P1062" s="289">
        <f>'Schippers 2005&amp;2006 all'!O318</f>
        <v>0.47</v>
      </c>
      <c r="Q1062" s="301" t="b">
        <v>1</v>
      </c>
      <c r="R1062" t="s">
        <v>1395</v>
      </c>
      <c r="S1062" t="s">
        <v>52</v>
      </c>
      <c r="T1062" t="s">
        <v>51</v>
      </c>
      <c r="U1062" t="s">
        <v>51</v>
      </c>
      <c r="V1062" s="313">
        <v>0.55000000000000004</v>
      </c>
      <c r="W1062" s="313">
        <v>0.55000000000000004</v>
      </c>
      <c r="X1062" s="306" t="s">
        <v>248</v>
      </c>
      <c r="Y1062" s="334" t="s">
        <v>96</v>
      </c>
      <c r="Z1062" s="314" t="s">
        <v>100</v>
      </c>
      <c r="AB1062" s="334" t="s">
        <v>311</v>
      </c>
      <c r="AC1062" s="334" t="s">
        <v>1702</v>
      </c>
      <c r="AQ1062" s="326">
        <v>5088</v>
      </c>
      <c r="AR1062" s="326" t="s">
        <v>1463</v>
      </c>
    </row>
    <row r="1063" spans="1:51">
      <c r="A1063" s="277" t="s">
        <v>759</v>
      </c>
      <c r="B1063" s="334" t="s">
        <v>1671</v>
      </c>
      <c r="C1063" s="336">
        <f>'Schippers 2005&amp;2006 all'!B295</f>
        <v>5.49</v>
      </c>
      <c r="D1063" s="301">
        <f>'Schippers 2005&amp;2006 all'!C295</f>
        <v>21740502.501976658</v>
      </c>
      <c r="H1063" s="181"/>
      <c r="M1063" s="27" t="e">
        <f>F1063/G1063</f>
        <v>#DIV/0!</v>
      </c>
      <c r="O1063" s="327" t="s">
        <v>1247</v>
      </c>
      <c r="P1063" s="289">
        <f>'Schippers 2005&amp;2006 all'!O290</f>
        <v>26.09</v>
      </c>
      <c r="Q1063" s="301" t="b">
        <v>1</v>
      </c>
      <c r="R1063" t="s">
        <v>1395</v>
      </c>
      <c r="S1063" t="s">
        <v>52</v>
      </c>
      <c r="T1063" t="s">
        <v>51</v>
      </c>
      <c r="U1063" t="s">
        <v>51</v>
      </c>
      <c r="V1063" s="313">
        <v>0.55000000000000004</v>
      </c>
      <c r="W1063" s="313">
        <v>0.55000000000000004</v>
      </c>
      <c r="X1063" s="306" t="s">
        <v>248</v>
      </c>
      <c r="Y1063" s="334" t="s">
        <v>96</v>
      </c>
      <c r="Z1063" s="314" t="s">
        <v>100</v>
      </c>
      <c r="AB1063" s="334" t="s">
        <v>311</v>
      </c>
      <c r="AC1063" s="334" t="s">
        <v>1702</v>
      </c>
      <c r="AQ1063" s="326">
        <v>5088</v>
      </c>
      <c r="AR1063" s="326" t="s">
        <v>1463</v>
      </c>
    </row>
    <row r="1064" spans="1:51">
      <c r="A1064" s="277" t="s">
        <v>759</v>
      </c>
      <c r="B1064" s="334" t="s">
        <v>1671</v>
      </c>
      <c r="C1064" s="336">
        <f>'Schippers 2005&amp;2006 all'!B296</f>
        <v>6</v>
      </c>
      <c r="D1064" s="301">
        <f>'Schippers 2005&amp;2006 all'!C296</f>
        <v>47557128.484914996</v>
      </c>
      <c r="E1064" s="301">
        <f>'Schippers 2005&amp;2006 all'!E296</f>
        <v>59245.506119727783</v>
      </c>
      <c r="G1064" s="301">
        <f>E1064+F1064</f>
        <v>59245.506119727783</v>
      </c>
      <c r="H1064" s="181">
        <f>G1064/D1064</f>
        <v>1.2457755126767233E-3</v>
      </c>
      <c r="M1064" s="27">
        <f>F1064/G1064</f>
        <v>0</v>
      </c>
      <c r="O1064" s="327" t="s">
        <v>1247</v>
      </c>
      <c r="P1064" s="293">
        <f>'Schippers 2005&amp;2006 all'!O298</f>
        <v>7.75</v>
      </c>
      <c r="Q1064" s="301" t="b">
        <v>1</v>
      </c>
      <c r="R1064" t="s">
        <v>1395</v>
      </c>
      <c r="S1064" t="s">
        <v>52</v>
      </c>
      <c r="T1064" t="s">
        <v>51</v>
      </c>
      <c r="U1064" t="s">
        <v>51</v>
      </c>
      <c r="V1064" s="313">
        <v>0.55000000000000004</v>
      </c>
      <c r="W1064" s="313">
        <v>0.55000000000000004</v>
      </c>
      <c r="X1064" s="306" t="s">
        <v>248</v>
      </c>
      <c r="Y1064" s="328" t="s">
        <v>96</v>
      </c>
      <c r="Z1064" s="314" t="s">
        <v>100</v>
      </c>
      <c r="AB1064" s="334" t="s">
        <v>311</v>
      </c>
      <c r="AC1064" s="334" t="s">
        <v>1702</v>
      </c>
      <c r="AQ1064" s="326">
        <v>5088</v>
      </c>
      <c r="AR1064" s="326" t="s">
        <v>1463</v>
      </c>
    </row>
    <row r="1065" spans="1:51">
      <c r="A1065" s="277" t="s">
        <v>759</v>
      </c>
      <c r="B1065" s="334" t="s">
        <v>1671</v>
      </c>
      <c r="C1065" s="336">
        <f>'Schippers 2005&amp;2006 all'!B297</f>
        <v>6.16</v>
      </c>
      <c r="D1065" s="301">
        <f>'Schippers 2005&amp;2006 all'!C297</f>
        <v>47557128.484914996</v>
      </c>
      <c r="H1065" s="181"/>
      <c r="M1065" s="27" t="e">
        <f>F1065/G1065</f>
        <v>#DIV/0!</v>
      </c>
      <c r="O1065" s="327" t="s">
        <v>1247</v>
      </c>
      <c r="P1065" s="289">
        <f>'Schippers 2005&amp;2006 all'!O323</f>
        <v>0.15</v>
      </c>
      <c r="Q1065" s="301" t="b">
        <v>1</v>
      </c>
      <c r="R1065" t="s">
        <v>1395</v>
      </c>
      <c r="S1065" t="s">
        <v>52</v>
      </c>
      <c r="T1065" t="s">
        <v>51</v>
      </c>
      <c r="U1065" t="s">
        <v>51</v>
      </c>
      <c r="V1065" s="313">
        <v>0.55000000000000004</v>
      </c>
      <c r="W1065" s="313">
        <v>0.55000000000000004</v>
      </c>
      <c r="X1065" s="306" t="s">
        <v>248</v>
      </c>
      <c r="Y1065" s="334" t="s">
        <v>96</v>
      </c>
      <c r="Z1065" s="314" t="s">
        <v>100</v>
      </c>
      <c r="AB1065" s="334" t="s">
        <v>311</v>
      </c>
      <c r="AC1065" s="334" t="s">
        <v>1702</v>
      </c>
      <c r="AQ1065" s="326">
        <v>5088</v>
      </c>
      <c r="AR1065" s="326" t="s">
        <v>1463</v>
      </c>
    </row>
    <row r="1066" spans="1:51">
      <c r="A1066" s="277" t="s">
        <v>759</v>
      </c>
      <c r="B1066" s="334" t="s">
        <v>1671</v>
      </c>
      <c r="C1066" s="336">
        <f>'Schippers 2005&amp;2006 all'!B298</f>
        <v>6.56</v>
      </c>
      <c r="D1066" s="301">
        <f>'Schippers 2005&amp;2006 all'!C298</f>
        <v>15634412.324083531</v>
      </c>
      <c r="H1066" s="181"/>
      <c r="M1066" s="27" t="e">
        <f>F1066/G1066</f>
        <v>#DIV/0!</v>
      </c>
      <c r="O1066" s="327" t="s">
        <v>1247</v>
      </c>
      <c r="P1066" s="303">
        <f>'Schippers 2005&amp;2006 all'!O325</f>
        <v>0.18</v>
      </c>
      <c r="Q1066" s="301" t="b">
        <v>1</v>
      </c>
      <c r="R1066" t="s">
        <v>1395</v>
      </c>
      <c r="S1066" t="s">
        <v>52</v>
      </c>
      <c r="T1066" t="s">
        <v>51</v>
      </c>
      <c r="U1066" t="s">
        <v>51</v>
      </c>
      <c r="V1066" s="313">
        <v>0.55000000000000004</v>
      </c>
      <c r="W1066" s="313">
        <v>0.55000000000000004</v>
      </c>
      <c r="X1066" s="306" t="s">
        <v>248</v>
      </c>
      <c r="Y1066" s="326" t="s">
        <v>96</v>
      </c>
      <c r="Z1066" s="314" t="s">
        <v>100</v>
      </c>
      <c r="AB1066" s="334" t="s">
        <v>311</v>
      </c>
      <c r="AC1066" s="334" t="s">
        <v>1702</v>
      </c>
      <c r="AQ1066" s="326">
        <v>5088</v>
      </c>
      <c r="AR1066" s="326" t="s">
        <v>1463</v>
      </c>
    </row>
    <row r="1067" spans="1:51">
      <c r="A1067" s="277" t="s">
        <v>759</v>
      </c>
      <c r="B1067" s="334" t="s">
        <v>1671</v>
      </c>
      <c r="C1067" s="336">
        <f>'Schippers 2005&amp;2006 all'!B299</f>
        <v>6.7</v>
      </c>
      <c r="D1067" s="301">
        <f>'Schippers 2005&amp;2006 all'!C299</f>
        <v>15634412.324083531</v>
      </c>
      <c r="I1067" s="301">
        <f>'Schippers 2005&amp;2006 all'!H299</f>
        <v>10559488.9118533</v>
      </c>
      <c r="J1067" s="301">
        <f>'Schippers 2005&amp;2006 all'!I299</f>
        <v>158126.4660895596</v>
      </c>
      <c r="K1067" s="301">
        <f>'Schippers 2005&amp;2006 all'!J299</f>
        <v>10717615.37794286</v>
      </c>
      <c r="N1067" s="27">
        <f>J1067/K1067</f>
        <v>1.4753885124016309E-2</v>
      </c>
      <c r="O1067" s="327"/>
      <c r="P1067" s="289">
        <f>'Schippers 2005&amp;2006 all'!O299</f>
        <v>6.66</v>
      </c>
      <c r="R1067" t="s">
        <v>1395</v>
      </c>
      <c r="S1067" t="s">
        <v>52</v>
      </c>
      <c r="T1067" t="s">
        <v>51</v>
      </c>
      <c r="U1067" t="s">
        <v>51</v>
      </c>
      <c r="V1067" s="313">
        <v>0.55000000000000004</v>
      </c>
      <c r="W1067" s="313">
        <v>0.55000000000000004</v>
      </c>
      <c r="X1067" s="306" t="s">
        <v>248</v>
      </c>
      <c r="Y1067" s="334" t="s">
        <v>96</v>
      </c>
      <c r="Z1067" s="314" t="s">
        <v>100</v>
      </c>
      <c r="AA1067" s="326" t="s">
        <v>1495</v>
      </c>
      <c r="AD1067" s="326" t="s">
        <v>1717</v>
      </c>
      <c r="AE1067" s="326" t="s">
        <v>1725</v>
      </c>
      <c r="AF1067" s="326" t="s">
        <v>1735</v>
      </c>
      <c r="AG1067" s="326" t="s">
        <v>1707</v>
      </c>
      <c r="AH1067" s="326" t="s">
        <v>1714</v>
      </c>
      <c r="AI1067" s="326" t="s">
        <v>1496</v>
      </c>
      <c r="AJ1067" s="326" t="s">
        <v>1487</v>
      </c>
      <c r="AK1067" s="326" t="s">
        <v>1488</v>
      </c>
      <c r="AL1067" s="326" t="s">
        <v>1497</v>
      </c>
      <c r="AO1067" s="326" t="s">
        <v>1494</v>
      </c>
      <c r="AQ1067" s="326">
        <v>5088</v>
      </c>
      <c r="AR1067" s="326" t="s">
        <v>1463</v>
      </c>
      <c r="AV1067" s="326" t="b">
        <v>1</v>
      </c>
      <c r="AW1067" t="b">
        <v>1</v>
      </c>
      <c r="AX1067" t="b">
        <v>1</v>
      </c>
      <c r="AY1067" t="b">
        <v>1</v>
      </c>
    </row>
    <row r="1068" spans="1:51">
      <c r="A1068" s="277" t="s">
        <v>759</v>
      </c>
      <c r="B1068" s="334" t="s">
        <v>1671</v>
      </c>
      <c r="C1068" s="336">
        <f>'Schippers 2005&amp;2006 all'!B299</f>
        <v>6.7</v>
      </c>
      <c r="D1068" s="301">
        <f>'Schippers 2005&amp;2006 all'!C299</f>
        <v>15634412.324083531</v>
      </c>
      <c r="H1068" s="181"/>
      <c r="M1068" s="27" t="e">
        <f>F1068/G1068</f>
        <v>#DIV/0!</v>
      </c>
      <c r="O1068" s="327" t="s">
        <v>1247</v>
      </c>
      <c r="P1068" s="289">
        <f>'Schippers 2005&amp;2006 all'!O327</f>
        <v>0</v>
      </c>
      <c r="Q1068" s="301" t="b">
        <v>1</v>
      </c>
      <c r="R1068" t="s">
        <v>1395</v>
      </c>
      <c r="S1068" t="s">
        <v>52</v>
      </c>
      <c r="T1068" t="s">
        <v>51</v>
      </c>
      <c r="U1068" t="s">
        <v>51</v>
      </c>
      <c r="V1068" s="313">
        <v>0.55000000000000004</v>
      </c>
      <c r="W1068" s="313">
        <v>0.55000000000000004</v>
      </c>
      <c r="X1068" s="306" t="s">
        <v>248</v>
      </c>
      <c r="Y1068" s="334" t="s">
        <v>96</v>
      </c>
      <c r="Z1068" s="314" t="s">
        <v>100</v>
      </c>
      <c r="AB1068" s="334" t="s">
        <v>311</v>
      </c>
      <c r="AC1068" s="334" t="s">
        <v>1702</v>
      </c>
      <c r="AQ1068" s="326">
        <v>5088</v>
      </c>
      <c r="AR1068" s="326" t="s">
        <v>1463</v>
      </c>
    </row>
    <row r="1069" spans="1:51">
      <c r="A1069" s="277" t="s">
        <v>759</v>
      </c>
      <c r="B1069" s="334" t="s">
        <v>1671</v>
      </c>
      <c r="C1069" s="336">
        <f>'Schippers 2005&amp;2006 all'!B300</f>
        <v>6.99</v>
      </c>
      <c r="H1069" s="181"/>
      <c r="M1069" s="27" t="e">
        <f>F1069/G1069</f>
        <v>#DIV/0!</v>
      </c>
      <c r="O1069" s="327"/>
      <c r="P1069" s="289">
        <f>'Schippers 2005&amp;2006 all'!O294</f>
        <v>13.25</v>
      </c>
      <c r="Q1069" s="301" t="b">
        <v>1</v>
      </c>
      <c r="R1069" t="s">
        <v>1395</v>
      </c>
      <c r="S1069" t="s">
        <v>52</v>
      </c>
      <c r="T1069" t="s">
        <v>51</v>
      </c>
      <c r="U1069" t="s">
        <v>51</v>
      </c>
      <c r="V1069" s="313">
        <v>0.55000000000000004</v>
      </c>
      <c r="W1069" s="313">
        <v>0.55000000000000004</v>
      </c>
      <c r="X1069" s="306" t="s">
        <v>248</v>
      </c>
      <c r="Y1069" s="326" t="s">
        <v>96</v>
      </c>
      <c r="Z1069" s="314" t="s">
        <v>100</v>
      </c>
      <c r="AQ1069" s="326">
        <v>5088</v>
      </c>
      <c r="AR1069" s="326" t="s">
        <v>1463</v>
      </c>
    </row>
    <row r="1070" spans="1:51">
      <c r="A1070" s="277" t="s">
        <v>759</v>
      </c>
      <c r="B1070" s="334" t="s">
        <v>1671</v>
      </c>
      <c r="C1070" s="336">
        <f>'Schippers 2005&amp;2006 all'!B301</f>
        <v>7</v>
      </c>
      <c r="D1070" s="301">
        <f>'Schippers 2005&amp;2006 all'!C301</f>
        <v>15671466.858033944</v>
      </c>
      <c r="E1070" s="301">
        <f>'Schippers 2005&amp;2006 all'!E301</f>
        <v>225914.85836315295</v>
      </c>
      <c r="G1070" s="301">
        <f>E1070+F1070</f>
        <v>225914.85836315295</v>
      </c>
      <c r="H1070" s="181">
        <f>G1070/D1070</f>
        <v>1.4415680447126631E-2</v>
      </c>
      <c r="M1070" s="27">
        <f>F1070/G1070</f>
        <v>0</v>
      </c>
      <c r="O1070" t="s">
        <v>1247</v>
      </c>
      <c r="P1070" s="289">
        <f>'Schippers 2005&amp;2006 all'!O331</f>
        <v>0</v>
      </c>
      <c r="Q1070" s="301" t="b">
        <v>1</v>
      </c>
      <c r="R1070" t="s">
        <v>1395</v>
      </c>
      <c r="S1070" t="s">
        <v>52</v>
      </c>
      <c r="T1070" t="s">
        <v>51</v>
      </c>
      <c r="U1070" t="s">
        <v>51</v>
      </c>
      <c r="V1070" s="313">
        <v>0.55000000000000004</v>
      </c>
      <c r="W1070" s="313">
        <v>0.55000000000000004</v>
      </c>
      <c r="X1070" s="306" t="s">
        <v>248</v>
      </c>
      <c r="Y1070" s="327" t="s">
        <v>96</v>
      </c>
      <c r="Z1070" s="314" t="s">
        <v>100</v>
      </c>
      <c r="AB1070" s="334" t="s">
        <v>311</v>
      </c>
      <c r="AC1070" s="334" t="s">
        <v>1702</v>
      </c>
      <c r="AQ1070" s="326">
        <v>5088</v>
      </c>
      <c r="AR1070" s="326" t="s">
        <v>1463</v>
      </c>
    </row>
    <row r="1071" spans="1:51">
      <c r="A1071" s="277" t="s">
        <v>759</v>
      </c>
      <c r="B1071" s="334" t="s">
        <v>1671</v>
      </c>
      <c r="C1071" s="336">
        <f>'Schippers 2005&amp;2006 all'!B302</f>
        <v>7.4</v>
      </c>
      <c r="D1071" s="301">
        <f>'Schippers 2005&amp;2006 all'!C302</f>
        <v>34183422.596713856</v>
      </c>
      <c r="H1071" s="181"/>
      <c r="M1071" s="27" t="e">
        <f>F1071/G1071</f>
        <v>#DIV/0!</v>
      </c>
      <c r="O1071" t="s">
        <v>1247</v>
      </c>
      <c r="P1071" s="289">
        <f>'Schippers 2005&amp;2006 all'!O334</f>
        <v>0</v>
      </c>
      <c r="Q1071" s="301" t="b">
        <v>1</v>
      </c>
      <c r="R1071" t="s">
        <v>1395</v>
      </c>
      <c r="S1071" t="s">
        <v>52</v>
      </c>
      <c r="T1071" t="s">
        <v>51</v>
      </c>
      <c r="U1071" t="s">
        <v>51</v>
      </c>
      <c r="V1071" s="313">
        <v>0.55000000000000004</v>
      </c>
      <c r="W1071" s="313">
        <v>0.55000000000000004</v>
      </c>
      <c r="X1071" s="306" t="s">
        <v>248</v>
      </c>
      <c r="Y1071" s="326" t="s">
        <v>96</v>
      </c>
      <c r="Z1071" s="314" t="s">
        <v>100</v>
      </c>
      <c r="AB1071" s="334" t="s">
        <v>311</v>
      </c>
      <c r="AC1071" s="334" t="s">
        <v>1702</v>
      </c>
      <c r="AQ1071" s="326">
        <v>5088</v>
      </c>
      <c r="AR1071" s="326" t="s">
        <v>1463</v>
      </c>
    </row>
    <row r="1072" spans="1:51">
      <c r="A1072" s="277" t="s">
        <v>759</v>
      </c>
      <c r="B1072" s="334" t="s">
        <v>1671</v>
      </c>
      <c r="C1072" s="336">
        <f>'Schippers 2005&amp;2006 all'!B303</f>
        <v>7.66</v>
      </c>
      <c r="D1072" s="301">
        <f>'Schippers 2005&amp;2006 all'!C303</f>
        <v>17779500.114462078</v>
      </c>
      <c r="H1072" s="181"/>
      <c r="M1072" s="27" t="e">
        <f>F1072/G1072</f>
        <v>#DIV/0!</v>
      </c>
      <c r="O1072" t="s">
        <v>1247</v>
      </c>
      <c r="P1072" s="289">
        <f>'Schippers 2005&amp;2006 all'!O337</f>
        <v>0</v>
      </c>
      <c r="Q1072" s="301" t="b">
        <v>1</v>
      </c>
      <c r="R1072" t="s">
        <v>1395</v>
      </c>
      <c r="S1072" t="s">
        <v>52</v>
      </c>
      <c r="T1072" t="s">
        <v>51</v>
      </c>
      <c r="U1072" t="s">
        <v>51</v>
      </c>
      <c r="V1072" s="313">
        <v>0.55000000000000004</v>
      </c>
      <c r="W1072" s="313">
        <v>0.55000000000000004</v>
      </c>
      <c r="X1072" s="306" t="s">
        <v>248</v>
      </c>
      <c r="Y1072" s="326" t="s">
        <v>96</v>
      </c>
      <c r="Z1072" s="314" t="s">
        <v>100</v>
      </c>
      <c r="AB1072" s="334" t="s">
        <v>311</v>
      </c>
      <c r="AC1072" s="334" t="s">
        <v>1702</v>
      </c>
      <c r="AQ1072" s="326">
        <v>5088</v>
      </c>
      <c r="AR1072" s="326" t="s">
        <v>1463</v>
      </c>
    </row>
    <row r="1073" spans="1:51">
      <c r="A1073" s="277" t="s">
        <v>759</v>
      </c>
      <c r="B1073" s="334" t="s">
        <v>1671</v>
      </c>
      <c r="C1073" s="336">
        <f>'Schippers 2005&amp;2006 all'!B305</f>
        <v>8</v>
      </c>
      <c r="D1073" s="301">
        <f>'Schippers 2005&amp;2006 all'!C305</f>
        <v>38547835.766577289</v>
      </c>
      <c r="E1073" s="301">
        <f>'Schippers 2005&amp;2006 all'!E305</f>
        <v>140595.2471440635</v>
      </c>
      <c r="G1073" s="301">
        <f>E1073+F1073</f>
        <v>140595.2471440635</v>
      </c>
      <c r="H1073" s="181">
        <f>G1073/D1073</f>
        <v>3.6472928855312264E-3</v>
      </c>
      <c r="M1073" s="27">
        <f>F1073/G1073</f>
        <v>0</v>
      </c>
      <c r="O1073" t="s">
        <v>1247</v>
      </c>
      <c r="P1073" s="289">
        <f>'Schippers 2005&amp;2006 all'!O302</f>
        <v>2.58</v>
      </c>
      <c r="Q1073" s="301" t="b">
        <v>1</v>
      </c>
      <c r="R1073" t="s">
        <v>1395</v>
      </c>
      <c r="S1073" t="s">
        <v>52</v>
      </c>
      <c r="T1073" t="s">
        <v>51</v>
      </c>
      <c r="U1073" t="s">
        <v>51</v>
      </c>
      <c r="V1073" s="313">
        <v>0.55000000000000004</v>
      </c>
      <c r="W1073" s="313">
        <v>0.55000000000000004</v>
      </c>
      <c r="X1073" s="306" t="s">
        <v>248</v>
      </c>
      <c r="Y1073" s="326" t="s">
        <v>96</v>
      </c>
      <c r="Z1073" s="314" t="s">
        <v>100</v>
      </c>
      <c r="AB1073" s="334" t="s">
        <v>311</v>
      </c>
      <c r="AC1073" s="334" t="s">
        <v>1702</v>
      </c>
      <c r="AQ1073" s="326">
        <v>5088</v>
      </c>
      <c r="AR1073" s="326" t="s">
        <v>1463</v>
      </c>
    </row>
    <row r="1074" spans="1:51">
      <c r="A1074" s="277" t="s">
        <v>759</v>
      </c>
      <c r="B1074" s="334" t="s">
        <v>1671</v>
      </c>
      <c r="C1074" s="336">
        <f>'Schippers 2005&amp;2006 all'!B304</f>
        <v>8</v>
      </c>
      <c r="E1074" s="301">
        <f>'Schippers 2005&amp;2006 all'!E304</f>
        <v>92580.863410914651</v>
      </c>
      <c r="G1074" s="301">
        <f>E1074+F1074</f>
        <v>92580.863410914651</v>
      </c>
      <c r="H1074" s="181"/>
      <c r="M1074" s="27">
        <f>F1074/G1074</f>
        <v>0</v>
      </c>
      <c r="O1074" t="s">
        <v>33</v>
      </c>
      <c r="P1074" s="289">
        <f>'Schippers 2005&amp;2006 all'!O306</f>
        <v>3.39</v>
      </c>
      <c r="Q1074" s="301" t="b">
        <v>1</v>
      </c>
      <c r="R1074" t="s">
        <v>1395</v>
      </c>
      <c r="S1074" t="s">
        <v>52</v>
      </c>
      <c r="T1074" t="s">
        <v>51</v>
      </c>
      <c r="U1074" t="s">
        <v>51</v>
      </c>
      <c r="V1074" s="313">
        <v>0.55000000000000004</v>
      </c>
      <c r="W1074" s="313">
        <v>0.55000000000000004</v>
      </c>
      <c r="X1074" s="306" t="s">
        <v>248</v>
      </c>
      <c r="Y1074" s="326" t="s">
        <v>96</v>
      </c>
      <c r="Z1074" s="314" t="s">
        <v>100</v>
      </c>
      <c r="AA1074" s="327"/>
      <c r="AB1074" s="334" t="s">
        <v>311</v>
      </c>
      <c r="AC1074" s="334" t="s">
        <v>1702</v>
      </c>
      <c r="AE1074" s="327"/>
      <c r="AQ1074" s="326">
        <v>5088</v>
      </c>
      <c r="AR1074" s="326" t="s">
        <v>1463</v>
      </c>
    </row>
    <row r="1075" spans="1:51">
      <c r="A1075" s="277" t="s">
        <v>759</v>
      </c>
      <c r="B1075" s="334" t="s">
        <v>1671</v>
      </c>
      <c r="C1075" s="336">
        <f>'Schippers 2005&amp;2006 all'!B306</f>
        <v>8.0500000000000007</v>
      </c>
      <c r="H1075" s="181"/>
      <c r="M1075" s="27" t="e">
        <f>F1075/G1075</f>
        <v>#DIV/0!</v>
      </c>
      <c r="P1075" s="303">
        <f>'Schippers 2005&amp;2006 all'!O340</f>
        <v>0</v>
      </c>
      <c r="Q1075" s="301" t="b">
        <v>1</v>
      </c>
      <c r="R1075" t="s">
        <v>1395</v>
      </c>
      <c r="S1075" t="s">
        <v>52</v>
      </c>
      <c r="T1075" t="s">
        <v>51</v>
      </c>
      <c r="U1075" t="s">
        <v>51</v>
      </c>
      <c r="V1075" s="313">
        <v>0.55000000000000004</v>
      </c>
      <c r="W1075" s="313">
        <v>0.55000000000000004</v>
      </c>
      <c r="X1075" s="306" t="s">
        <v>248</v>
      </c>
      <c r="Y1075" s="326" t="s">
        <v>96</v>
      </c>
      <c r="Z1075" s="314" t="s">
        <v>100</v>
      </c>
      <c r="AQ1075" s="326">
        <v>5088</v>
      </c>
      <c r="AR1075" s="326" t="s">
        <v>1463</v>
      </c>
    </row>
    <row r="1076" spans="1:51">
      <c r="A1076" s="277" t="s">
        <v>759</v>
      </c>
      <c r="B1076" s="334" t="s">
        <v>1671</v>
      </c>
      <c r="C1076" s="336">
        <f>'Schippers 2005&amp;2006 all'!B307</f>
        <v>8.06</v>
      </c>
      <c r="D1076" s="301">
        <f>'Schippers 2005&amp;2006 all'!C307</f>
        <v>27175966.803723786</v>
      </c>
      <c r="H1076" s="181"/>
      <c r="M1076" s="27" t="e">
        <f>F1076/G1076</f>
        <v>#DIV/0!</v>
      </c>
      <c r="O1076" t="s">
        <v>1247</v>
      </c>
      <c r="P1076" s="303">
        <f>'Schippers 2005&amp;2006 all'!O343</f>
        <v>0</v>
      </c>
      <c r="Q1076" s="301" t="b">
        <v>1</v>
      </c>
      <c r="R1076" t="s">
        <v>1395</v>
      </c>
      <c r="S1076" t="s">
        <v>52</v>
      </c>
      <c r="T1076" t="s">
        <v>51</v>
      </c>
      <c r="U1076" t="s">
        <v>51</v>
      </c>
      <c r="V1076" s="313">
        <v>0.55000000000000004</v>
      </c>
      <c r="W1076" s="313">
        <v>0.55000000000000004</v>
      </c>
      <c r="X1076" s="306" t="s">
        <v>248</v>
      </c>
      <c r="Y1076" s="326" t="s">
        <v>96</v>
      </c>
      <c r="Z1076" s="314" t="s">
        <v>100</v>
      </c>
      <c r="AB1076" s="334" t="s">
        <v>311</v>
      </c>
      <c r="AC1076" s="334" t="s">
        <v>1702</v>
      </c>
      <c r="AQ1076" s="326">
        <v>5088</v>
      </c>
      <c r="AR1076" s="326" t="s">
        <v>1463</v>
      </c>
    </row>
    <row r="1077" spans="1:51">
      <c r="A1077" s="277" t="s">
        <v>759</v>
      </c>
      <c r="B1077" s="334" t="s">
        <v>1671</v>
      </c>
      <c r="C1077" s="336">
        <f>'Schippers 2005&amp;2006 all'!B308</f>
        <v>8.1000000000000014</v>
      </c>
      <c r="D1077" s="301">
        <f>'Schippers 2005&amp;2006 all'!C308</f>
        <v>27175966.803723801</v>
      </c>
      <c r="H1077" s="181"/>
      <c r="I1077" s="301">
        <f>'Schippers 2005&amp;2006 all'!H308</f>
        <v>2629655.7503610202</v>
      </c>
      <c r="J1077" s="301">
        <f>'Schippers 2005&amp;2006 all'!I308</f>
        <v>11265.415953224947</v>
      </c>
      <c r="K1077" s="301">
        <f>'Schippers 2005&amp;2006 all'!J308</f>
        <v>2640921.1663142452</v>
      </c>
      <c r="M1077" s="27" t="e">
        <f>F1077/G1077</f>
        <v>#DIV/0!</v>
      </c>
      <c r="O1077" t="s">
        <v>1247</v>
      </c>
      <c r="P1077" s="289">
        <f>'Schippers 2005&amp;2006 all'!O307</f>
        <v>3.39</v>
      </c>
      <c r="Q1077" s="301" t="b">
        <v>1</v>
      </c>
      <c r="R1077" t="s">
        <v>1395</v>
      </c>
      <c r="S1077" t="s">
        <v>52</v>
      </c>
      <c r="T1077" t="s">
        <v>51</v>
      </c>
      <c r="U1077" t="s">
        <v>51</v>
      </c>
      <c r="V1077" s="313">
        <v>0.55000000000000004</v>
      </c>
      <c r="W1077" s="313">
        <v>0.55000000000000004</v>
      </c>
      <c r="X1077" s="306" t="s">
        <v>248</v>
      </c>
      <c r="Y1077" s="326" t="s">
        <v>96</v>
      </c>
      <c r="Z1077" s="314" t="s">
        <v>100</v>
      </c>
      <c r="AB1077" s="334" t="s">
        <v>311</v>
      </c>
      <c r="AC1077" s="334" t="s">
        <v>1702</v>
      </c>
      <c r="AQ1077" s="326">
        <v>5088</v>
      </c>
      <c r="AR1077" s="326" t="s">
        <v>1463</v>
      </c>
    </row>
    <row r="1078" spans="1:51">
      <c r="A1078" s="277" t="s">
        <v>759</v>
      </c>
      <c r="B1078" s="334" t="s">
        <v>1671</v>
      </c>
      <c r="C1078" s="336">
        <f>'Schippers 2005&amp;2006 all'!B309</f>
        <v>8.2799999999999994</v>
      </c>
      <c r="D1078" s="301">
        <f>'Schippers 2005&amp;2006 all'!C309</f>
        <v>65020697.251816258</v>
      </c>
      <c r="H1078" s="181"/>
      <c r="O1078" t="s">
        <v>1247</v>
      </c>
      <c r="P1078" s="289">
        <f>'Schippers 2005&amp;2006 all'!O303</f>
        <v>2.58</v>
      </c>
      <c r="Q1078" s="301" t="b">
        <v>1</v>
      </c>
      <c r="R1078" t="s">
        <v>1395</v>
      </c>
      <c r="S1078" t="s">
        <v>52</v>
      </c>
      <c r="T1078" t="s">
        <v>51</v>
      </c>
      <c r="U1078" t="s">
        <v>51</v>
      </c>
      <c r="V1078" s="313">
        <v>0.55000000000000004</v>
      </c>
      <c r="W1078" s="313">
        <v>0.55000000000000004</v>
      </c>
      <c r="X1078" s="306" t="s">
        <v>248</v>
      </c>
      <c r="Y1078" s="326" t="s">
        <v>96</v>
      </c>
      <c r="Z1078" s="314" t="s">
        <v>100</v>
      </c>
      <c r="AB1078" s="334" t="s">
        <v>311</v>
      </c>
      <c r="AC1078" s="334" t="s">
        <v>1702</v>
      </c>
      <c r="AQ1078" s="326">
        <v>5088</v>
      </c>
      <c r="AR1078" s="326" t="s">
        <v>1463</v>
      </c>
    </row>
    <row r="1079" spans="1:51">
      <c r="A1079" s="277" t="s">
        <v>759</v>
      </c>
      <c r="B1079" s="334" t="s">
        <v>1671</v>
      </c>
      <c r="C1079" s="336">
        <f>'Schippers 2005&amp;2006 all'!B310</f>
        <v>8.49</v>
      </c>
      <c r="D1079" s="301">
        <f>'Schippers 2005&amp;2006 all'!C310</f>
        <v>68377303.435034841</v>
      </c>
      <c r="H1079" s="181"/>
      <c r="M1079" s="27">
        <v>0</v>
      </c>
      <c r="O1079" t="s">
        <v>71</v>
      </c>
      <c r="P1079" s="289">
        <f>'Schippers 2005&amp;2006 all'!O304</f>
        <v>3.39</v>
      </c>
      <c r="Q1079" s="301" t="b">
        <v>1</v>
      </c>
      <c r="R1079" t="s">
        <v>1395</v>
      </c>
      <c r="V1079" s="313"/>
      <c r="W1079" s="313"/>
      <c r="X1079" s="306"/>
      <c r="Y1079" s="327"/>
      <c r="Z1079" s="314"/>
      <c r="AB1079" s="334" t="s">
        <v>311</v>
      </c>
      <c r="AC1079" s="334" t="s">
        <v>1702</v>
      </c>
      <c r="AQ1079" s="326"/>
      <c r="AR1079" s="326"/>
    </row>
    <row r="1080" spans="1:51">
      <c r="A1080" s="277" t="s">
        <v>759</v>
      </c>
      <c r="B1080" s="334" t="s">
        <v>1671</v>
      </c>
      <c r="C1080" s="336">
        <f>'Schippers 2005&amp;2006 all'!B313</f>
        <v>9</v>
      </c>
      <c r="D1080" s="301">
        <f>'Schippers 2005&amp;2006 all'!C313</f>
        <v>28832639.715110455</v>
      </c>
      <c r="I1080" s="301">
        <f>'Schippers 2005&amp;2006 all'!H313</f>
        <v>3596995.5330541101</v>
      </c>
      <c r="J1080" s="301">
        <f>'Schippers 2005&amp;2006 all'!I313</f>
        <v>69357.148860574205</v>
      </c>
      <c r="K1080" s="301">
        <f>'Schippers 2005&amp;2006 all'!J313</f>
        <v>3666352.6819146844</v>
      </c>
      <c r="N1080" s="27">
        <f>J1080/K1080</f>
        <v>1.8917205974945575E-2</v>
      </c>
      <c r="P1080" s="289">
        <f>'Schippers 2005&amp;2006 all'!O312</f>
        <v>0.64</v>
      </c>
      <c r="R1080" t="s">
        <v>1395</v>
      </c>
      <c r="S1080" t="s">
        <v>52</v>
      </c>
      <c r="T1080" t="s">
        <v>51</v>
      </c>
      <c r="U1080" t="s">
        <v>51</v>
      </c>
      <c r="V1080" s="313">
        <v>0.55000000000000004</v>
      </c>
      <c r="W1080" s="313">
        <v>0.55000000000000004</v>
      </c>
      <c r="X1080" s="306" t="s">
        <v>248</v>
      </c>
      <c r="Y1080" s="326" t="s">
        <v>96</v>
      </c>
      <c r="Z1080" s="314" t="s">
        <v>100</v>
      </c>
      <c r="AA1080" s="326" t="s">
        <v>1495</v>
      </c>
      <c r="AD1080" s="326" t="s">
        <v>1717</v>
      </c>
      <c r="AE1080" s="326" t="s">
        <v>1725</v>
      </c>
      <c r="AF1080" s="326" t="s">
        <v>1735</v>
      </c>
      <c r="AG1080" s="326" t="s">
        <v>1707</v>
      </c>
      <c r="AH1080" s="326" t="s">
        <v>1714</v>
      </c>
      <c r="AI1080" s="326" t="s">
        <v>1496</v>
      </c>
      <c r="AJ1080" s="326" t="s">
        <v>1487</v>
      </c>
      <c r="AK1080" s="326" t="s">
        <v>1488</v>
      </c>
      <c r="AL1080" s="326" t="s">
        <v>1497</v>
      </c>
      <c r="AO1080" s="326" t="s">
        <v>1494</v>
      </c>
      <c r="AQ1080" s="326">
        <v>5088</v>
      </c>
      <c r="AR1080" s="326" t="s">
        <v>1463</v>
      </c>
      <c r="AV1080" s="326" t="b">
        <v>1</v>
      </c>
      <c r="AW1080" t="b">
        <v>1</v>
      </c>
      <c r="AX1080" t="b">
        <v>1</v>
      </c>
      <c r="AY1080" t="b">
        <v>1</v>
      </c>
    </row>
    <row r="1081" spans="1:51">
      <c r="A1081" s="277" t="s">
        <v>759</v>
      </c>
      <c r="B1081" s="334" t="s">
        <v>1671</v>
      </c>
      <c r="C1081" s="336">
        <f>'Schippers 2005&amp;2006 all'!B312</f>
        <v>9</v>
      </c>
      <c r="D1081" s="301">
        <f>'Schippers 2005&amp;2006 all'!C312</f>
        <v>28832639.715110455</v>
      </c>
      <c r="E1081" s="301">
        <f>'Schippers 2005&amp;2006 all'!E312</f>
        <v>124579.54474045546</v>
      </c>
      <c r="G1081" s="301">
        <f>E1081</f>
        <v>124579.54474045546</v>
      </c>
      <c r="H1081" s="27">
        <f>G1081/D1081</f>
        <v>4.3207817935298678E-3</v>
      </c>
      <c r="N1081" s="27" t="e">
        <f>J1081/K1081</f>
        <v>#DIV/0!</v>
      </c>
      <c r="P1081" s="289">
        <f>'Schippers 2005&amp;2006 all'!O308</f>
        <v>3.39</v>
      </c>
      <c r="R1081" t="s">
        <v>1395</v>
      </c>
      <c r="S1081" t="s">
        <v>52</v>
      </c>
      <c r="T1081" t="s">
        <v>51</v>
      </c>
      <c r="U1081" t="s">
        <v>51</v>
      </c>
      <c r="V1081" s="313">
        <v>0.55000000000000004</v>
      </c>
      <c r="W1081" s="313">
        <v>0.55000000000000004</v>
      </c>
      <c r="X1081" s="306" t="s">
        <v>248</v>
      </c>
      <c r="Y1081" s="326" t="s">
        <v>96</v>
      </c>
      <c r="Z1081" s="314" t="s">
        <v>100</v>
      </c>
      <c r="AA1081" s="326" t="s">
        <v>1495</v>
      </c>
      <c r="AD1081" s="326" t="s">
        <v>1717</v>
      </c>
      <c r="AE1081" s="326" t="s">
        <v>1725</v>
      </c>
      <c r="AF1081" s="326" t="s">
        <v>1735</v>
      </c>
      <c r="AG1081" s="326" t="s">
        <v>1707</v>
      </c>
      <c r="AH1081" s="326" t="s">
        <v>1714</v>
      </c>
      <c r="AI1081" s="326" t="s">
        <v>1496</v>
      </c>
      <c r="AJ1081" s="326" t="s">
        <v>1487</v>
      </c>
      <c r="AK1081" s="326" t="s">
        <v>1488</v>
      </c>
      <c r="AL1081" s="326" t="s">
        <v>1497</v>
      </c>
      <c r="AO1081" s="326" t="s">
        <v>1494</v>
      </c>
      <c r="AQ1081" s="326">
        <v>5088</v>
      </c>
      <c r="AR1081" s="326" t="s">
        <v>1463</v>
      </c>
      <c r="AV1081" s="326" t="b">
        <v>1</v>
      </c>
      <c r="AW1081" t="b">
        <v>1</v>
      </c>
      <c r="AX1081" t="b">
        <v>1</v>
      </c>
      <c r="AY1081" t="b">
        <v>1</v>
      </c>
    </row>
    <row r="1082" spans="1:51">
      <c r="A1082" s="277" t="s">
        <v>759</v>
      </c>
      <c r="B1082" s="334" t="s">
        <v>1671</v>
      </c>
      <c r="C1082" s="336">
        <f>'Schippers 2005&amp;2006 all'!B315</f>
        <v>9.5</v>
      </c>
      <c r="D1082" s="301">
        <f>'Schippers 2005&amp;2006 all'!C315</f>
        <v>23968729.40577545</v>
      </c>
      <c r="I1082" s="301">
        <f>'Schippers 2005&amp;2006 all'!H315</f>
        <v>12972177.9760742</v>
      </c>
      <c r="J1082" s="301">
        <f>'Schippers 2005&amp;2006 all'!I315</f>
        <v>36844.151986752935</v>
      </c>
      <c r="K1082" s="301">
        <f>'Schippers 2005&amp;2006 all'!J315</f>
        <v>13009022.128060954</v>
      </c>
      <c r="N1082" s="27">
        <f>J1082/K1082</f>
        <v>2.8321999627688157E-3</v>
      </c>
      <c r="P1082" s="289">
        <f>'Schippers 2005&amp;2006 all'!O315</f>
        <v>0.64</v>
      </c>
      <c r="R1082" t="s">
        <v>1395</v>
      </c>
      <c r="S1082" t="s">
        <v>52</v>
      </c>
      <c r="T1082" t="s">
        <v>51</v>
      </c>
      <c r="U1082" t="s">
        <v>51</v>
      </c>
      <c r="V1082" s="313">
        <v>0.55000000000000004</v>
      </c>
      <c r="W1082" s="313">
        <v>0.55000000000000004</v>
      </c>
      <c r="X1082" s="306" t="s">
        <v>248</v>
      </c>
      <c r="Y1082" s="327" t="s">
        <v>96</v>
      </c>
      <c r="Z1082" s="314" t="s">
        <v>100</v>
      </c>
      <c r="AA1082" s="326" t="s">
        <v>1495</v>
      </c>
      <c r="AD1082" s="326" t="s">
        <v>1717</v>
      </c>
      <c r="AE1082" s="326" t="s">
        <v>1725</v>
      </c>
      <c r="AF1082" s="326" t="s">
        <v>1735</v>
      </c>
      <c r="AG1082" s="326" t="s">
        <v>1707</v>
      </c>
      <c r="AH1082" s="326" t="s">
        <v>1714</v>
      </c>
      <c r="AI1082" s="326" t="s">
        <v>1496</v>
      </c>
      <c r="AJ1082" s="326" t="s">
        <v>1487</v>
      </c>
      <c r="AK1082" s="326" t="s">
        <v>1488</v>
      </c>
      <c r="AL1082" s="326" t="s">
        <v>1497</v>
      </c>
      <c r="AO1082" s="326" t="s">
        <v>1494</v>
      </c>
      <c r="AQ1082" s="326">
        <v>5088</v>
      </c>
      <c r="AR1082" s="326" t="s">
        <v>1463</v>
      </c>
      <c r="AV1082" s="326" t="b">
        <v>1</v>
      </c>
      <c r="AW1082" t="b">
        <v>1</v>
      </c>
      <c r="AX1082" t="b">
        <v>1</v>
      </c>
      <c r="AY1082" t="b">
        <v>1</v>
      </c>
    </row>
    <row r="1083" spans="1:51">
      <c r="A1083" s="277" t="s">
        <v>759</v>
      </c>
      <c r="B1083" s="334" t="s">
        <v>1671</v>
      </c>
      <c r="C1083" s="336">
        <f>'Schippers 2005&amp;2006 all'!B321</f>
        <v>11</v>
      </c>
      <c r="D1083" s="301">
        <f>'Schippers 2005&amp;2006 all'!C321</f>
        <v>34484700.464195691</v>
      </c>
      <c r="I1083" s="301">
        <f>'Schippers 2005&amp;2006 all'!H321</f>
        <v>1205829.4834442199</v>
      </c>
      <c r="J1083" s="301">
        <f>'Schippers 2005&amp;2006 all'!I321</f>
        <v>21491.854834439629</v>
      </c>
      <c r="K1083" s="301">
        <f>'Schippers 2005&amp;2006 all'!J321</f>
        <v>1227321.3382786596</v>
      </c>
      <c r="N1083" s="27">
        <f>J1083/K1083</f>
        <v>1.7511188116864605E-2</v>
      </c>
      <c r="P1083" s="303">
        <f>'Schippers 2005&amp;2006 all'!O319</f>
        <v>0.28999999999999998</v>
      </c>
      <c r="R1083" t="s">
        <v>1395</v>
      </c>
      <c r="S1083" t="s">
        <v>52</v>
      </c>
      <c r="T1083" t="s">
        <v>51</v>
      </c>
      <c r="U1083" t="s">
        <v>51</v>
      </c>
      <c r="V1083" s="313">
        <v>0.55000000000000004</v>
      </c>
      <c r="W1083" s="313">
        <v>0.55000000000000004</v>
      </c>
      <c r="X1083" s="306" t="s">
        <v>248</v>
      </c>
      <c r="Y1083" s="323" t="s">
        <v>96</v>
      </c>
      <c r="Z1083" s="314" t="s">
        <v>100</v>
      </c>
      <c r="AA1083" s="326" t="s">
        <v>1495</v>
      </c>
      <c r="AD1083" s="326" t="s">
        <v>1717</v>
      </c>
      <c r="AE1083" s="326" t="s">
        <v>1725</v>
      </c>
      <c r="AF1083" s="326" t="s">
        <v>1735</v>
      </c>
      <c r="AG1083" s="326" t="s">
        <v>1707</v>
      </c>
      <c r="AH1083" s="326" t="s">
        <v>1714</v>
      </c>
      <c r="AI1083" s="326" t="s">
        <v>1496</v>
      </c>
      <c r="AJ1083" s="326" t="s">
        <v>1487</v>
      </c>
      <c r="AK1083" s="326" t="s">
        <v>1488</v>
      </c>
      <c r="AL1083" s="326" t="s">
        <v>1497</v>
      </c>
      <c r="AO1083" s="326" t="s">
        <v>1494</v>
      </c>
      <c r="AQ1083" s="326">
        <v>5088</v>
      </c>
      <c r="AR1083" s="326" t="s">
        <v>1463</v>
      </c>
      <c r="AV1083" s="326" t="b">
        <v>1</v>
      </c>
      <c r="AW1083" t="b">
        <v>1</v>
      </c>
      <c r="AX1083" t="b">
        <v>1</v>
      </c>
      <c r="AY1083" t="b">
        <v>1</v>
      </c>
    </row>
    <row r="1084" spans="1:51">
      <c r="A1084" s="277" t="s">
        <v>759</v>
      </c>
      <c r="B1084" s="334" t="s">
        <v>1671</v>
      </c>
      <c r="C1084" s="336">
        <f>'Schippers 2005&amp;2006 all'!B319</f>
        <v>11</v>
      </c>
      <c r="D1084" s="301">
        <f>'Schippers 2005&amp;2006 all'!C319</f>
        <v>34484700.464195691</v>
      </c>
      <c r="E1084" s="301">
        <f>'Schippers 2005&amp;2006 all'!E319</f>
        <v>82397.537454222489</v>
      </c>
      <c r="G1084" s="301">
        <f>E1084</f>
        <v>82397.537454222489</v>
      </c>
      <c r="H1084" s="27">
        <f>G1084/D1084</f>
        <v>2.3893940311232541E-3</v>
      </c>
      <c r="P1084" s="303"/>
      <c r="V1084" s="313"/>
      <c r="W1084" s="313"/>
      <c r="X1084" s="306"/>
      <c r="Y1084" s="323"/>
      <c r="Z1084" s="314"/>
      <c r="AA1084" s="334"/>
      <c r="AE1084" s="334"/>
      <c r="AQ1084" s="326"/>
      <c r="AR1084" s="326"/>
    </row>
    <row r="1085" spans="1:51">
      <c r="A1085" s="277" t="s">
        <v>759</v>
      </c>
      <c r="B1085" s="334" t="s">
        <v>1671</v>
      </c>
      <c r="C1085" s="336">
        <f>'Schippers 2005&amp;2006 all'!B320</f>
        <v>11</v>
      </c>
      <c r="D1085" s="301">
        <f>'Schippers 2005&amp;2006 all'!C320</f>
        <v>34484700.464195691</v>
      </c>
      <c r="E1085" s="301">
        <f>'Schippers 2005&amp;2006 all'!E320</f>
        <v>167595.24140055224</v>
      </c>
      <c r="G1085" s="301">
        <f>E1085</f>
        <v>167595.24140055224</v>
      </c>
      <c r="H1085" s="27">
        <f>G1085/D1085</f>
        <v>4.8599883178501368E-3</v>
      </c>
      <c r="P1085" s="289"/>
      <c r="V1085" s="313"/>
      <c r="W1085" s="313"/>
      <c r="X1085" s="306"/>
      <c r="Y1085" s="328"/>
      <c r="Z1085" s="314"/>
      <c r="AQ1085" s="326"/>
      <c r="AR1085" s="326"/>
    </row>
    <row r="1086" spans="1:51">
      <c r="A1086" s="277" t="s">
        <v>759</v>
      </c>
      <c r="B1086" s="334" t="s">
        <v>1671</v>
      </c>
      <c r="C1086" s="336">
        <f>'Schippers 2005&amp;2006 all'!B322</f>
        <v>11.1</v>
      </c>
      <c r="D1086" s="301">
        <f>'Schippers 2005&amp;2006 all'!C322</f>
        <v>34484700.464195691</v>
      </c>
      <c r="I1086" s="301">
        <f>'Schippers 2005&amp;2006 all'!H322</f>
        <v>11080131.087177901</v>
      </c>
      <c r="J1086" s="301">
        <f>'Schippers 2005&amp;2006 all'!I322</f>
        <v>9468.8062866192522</v>
      </c>
      <c r="K1086" s="301">
        <f>'Schippers 2005&amp;2006 all'!J322</f>
        <v>11089599.893464521</v>
      </c>
      <c r="N1086" s="27">
        <f>J1086/K1086</f>
        <v>8.5384561910114925E-4</v>
      </c>
      <c r="P1086" s="289">
        <f>'Schippers 2005&amp;2006 all'!O322</f>
        <v>0.28999999999999998</v>
      </c>
      <c r="R1086" t="s">
        <v>1395</v>
      </c>
      <c r="S1086" t="s">
        <v>52</v>
      </c>
      <c r="T1086" t="s">
        <v>51</v>
      </c>
      <c r="U1086" t="s">
        <v>51</v>
      </c>
      <c r="V1086" s="313">
        <v>0.55000000000000004</v>
      </c>
      <c r="W1086" s="313">
        <v>0.55000000000000004</v>
      </c>
      <c r="X1086" s="306" t="s">
        <v>248</v>
      </c>
      <c r="Y1086" s="328" t="s">
        <v>96</v>
      </c>
      <c r="Z1086" s="314" t="s">
        <v>100</v>
      </c>
      <c r="AA1086" s="326" t="s">
        <v>1495</v>
      </c>
      <c r="AD1086" s="326" t="s">
        <v>1717</v>
      </c>
      <c r="AE1086" s="326" t="s">
        <v>1725</v>
      </c>
      <c r="AF1086" s="326" t="s">
        <v>1735</v>
      </c>
      <c r="AG1086" s="326" t="s">
        <v>1707</v>
      </c>
      <c r="AH1086" s="326" t="s">
        <v>1714</v>
      </c>
      <c r="AI1086" s="326" t="s">
        <v>1496</v>
      </c>
      <c r="AJ1086" s="326" t="s">
        <v>1487</v>
      </c>
      <c r="AK1086" s="326" t="s">
        <v>1488</v>
      </c>
      <c r="AL1086" s="326" t="s">
        <v>1497</v>
      </c>
      <c r="AO1086" s="326" t="s">
        <v>1494</v>
      </c>
      <c r="AQ1086" s="326">
        <v>5088</v>
      </c>
      <c r="AR1086" s="326" t="s">
        <v>1463</v>
      </c>
      <c r="AV1086" s="326" t="b">
        <v>1</v>
      </c>
      <c r="AW1086" t="b">
        <v>1</v>
      </c>
      <c r="AX1086" t="b">
        <v>1</v>
      </c>
      <c r="AY1086" t="b">
        <v>1</v>
      </c>
    </row>
    <row r="1087" spans="1:51">
      <c r="A1087" s="277" t="s">
        <v>759</v>
      </c>
      <c r="B1087" s="334" t="s">
        <v>1671</v>
      </c>
      <c r="C1087" s="336">
        <f>'Schippers 2005&amp;2006 all'!B324</f>
        <v>16</v>
      </c>
      <c r="D1087" s="301">
        <f>'Schippers 2005&amp;2006 all'!C324</f>
        <v>24251841.120701522</v>
      </c>
      <c r="E1087" s="301">
        <f>'Schippers 2005&amp;2006 all'!E324</f>
        <v>130727.94160353365</v>
      </c>
      <c r="G1087" s="301">
        <f>E1087</f>
        <v>130727.94160353365</v>
      </c>
      <c r="H1087" s="27">
        <f>G1087/D1087</f>
        <v>5.3904336975036287E-3</v>
      </c>
      <c r="P1087" s="319"/>
      <c r="V1087" s="313"/>
      <c r="W1087" s="313"/>
      <c r="X1087" s="306"/>
      <c r="Y1087" s="328"/>
      <c r="Z1087" s="314"/>
      <c r="AQ1087" s="326"/>
      <c r="AR1087" s="326"/>
    </row>
    <row r="1088" spans="1:51">
      <c r="A1088" s="277" t="s">
        <v>759</v>
      </c>
      <c r="B1088" s="334" t="s">
        <v>1671</v>
      </c>
      <c r="C1088" s="336">
        <f>'Schippers 2005&amp;2006 all'!B326</f>
        <v>20.6</v>
      </c>
      <c r="D1088" s="301">
        <f>'Schippers 2005&amp;2006 all'!C326</f>
        <v>16501120.041750062</v>
      </c>
      <c r="I1088" s="301">
        <f>'Schippers 2005&amp;2006 all'!H326</f>
        <v>147105157.21186399</v>
      </c>
      <c r="J1088" s="301">
        <f>'Schippers 2005&amp;2006 all'!I326</f>
        <v>10750.61308393215</v>
      </c>
      <c r="K1088" s="301">
        <f>'Schippers 2005&amp;2006 all'!J326</f>
        <v>147115907.82494792</v>
      </c>
      <c r="N1088" s="27">
        <f>J1088/K1088</f>
        <v>7.3075802901778795E-5</v>
      </c>
      <c r="O1088" s="286"/>
      <c r="P1088" s="303">
        <f>'Schippers 2005&amp;2006 all'!O326</f>
        <v>0</v>
      </c>
      <c r="R1088" t="s">
        <v>1395</v>
      </c>
      <c r="S1088" t="s">
        <v>52</v>
      </c>
      <c r="T1088" t="s">
        <v>51</v>
      </c>
      <c r="U1088" t="s">
        <v>51</v>
      </c>
      <c r="V1088" s="313">
        <v>0.55000000000000004</v>
      </c>
      <c r="W1088" s="313">
        <v>0.55000000000000004</v>
      </c>
      <c r="X1088" s="306" t="s">
        <v>248</v>
      </c>
      <c r="Y1088" s="328" t="s">
        <v>96</v>
      </c>
      <c r="Z1088" s="314" t="s">
        <v>100</v>
      </c>
      <c r="AA1088" s="326" t="s">
        <v>1495</v>
      </c>
      <c r="AD1088" s="326" t="s">
        <v>1717</v>
      </c>
      <c r="AE1088" s="326" t="s">
        <v>1725</v>
      </c>
      <c r="AF1088" s="326" t="s">
        <v>1735</v>
      </c>
      <c r="AG1088" s="326" t="s">
        <v>1707</v>
      </c>
      <c r="AH1088" s="326" t="s">
        <v>1714</v>
      </c>
      <c r="AI1088" s="326" t="s">
        <v>1496</v>
      </c>
      <c r="AJ1088" s="326" t="s">
        <v>1487</v>
      </c>
      <c r="AK1088" s="326" t="s">
        <v>1488</v>
      </c>
      <c r="AL1088" s="326" t="s">
        <v>1497</v>
      </c>
      <c r="AO1088" s="326" t="s">
        <v>1494</v>
      </c>
      <c r="AQ1088" s="326">
        <v>5088</v>
      </c>
      <c r="AR1088" s="326" t="s">
        <v>1463</v>
      </c>
      <c r="AV1088" s="326" t="b">
        <v>1</v>
      </c>
      <c r="AW1088" t="b">
        <v>1</v>
      </c>
      <c r="AX1088" t="b">
        <v>1</v>
      </c>
      <c r="AY1088" t="b">
        <v>1</v>
      </c>
    </row>
    <row r="1089" spans="1:51">
      <c r="A1089" s="277" t="s">
        <v>759</v>
      </c>
      <c r="B1089" s="334" t="s">
        <v>1671</v>
      </c>
      <c r="C1089" s="336">
        <f>'Schippers 2005&amp;2006 all'!B328</f>
        <v>21</v>
      </c>
      <c r="D1089" s="301">
        <f>'Schippers 2005&amp;2006 all'!C328</f>
        <v>16501120.041750062</v>
      </c>
      <c r="E1089" s="301">
        <f>'Schippers 2005&amp;2006 all'!E328</f>
        <v>236646.60773520617</v>
      </c>
      <c r="G1089" s="301">
        <f>E1089</f>
        <v>236646.60773520617</v>
      </c>
      <c r="H1089" s="27">
        <f>G1089/D1089</f>
        <v>1.4341245147993488E-2</v>
      </c>
      <c r="O1089" s="286"/>
      <c r="P1089" s="319"/>
      <c r="V1089" s="313"/>
      <c r="W1089" s="313"/>
      <c r="X1089" s="306"/>
      <c r="Y1089" s="328"/>
      <c r="Z1089" s="314"/>
      <c r="AQ1089" s="326"/>
      <c r="AR1089" s="326"/>
    </row>
    <row r="1090" spans="1:51">
      <c r="A1090" s="277" t="s">
        <v>759</v>
      </c>
      <c r="B1090" s="334" t="s">
        <v>1671</v>
      </c>
      <c r="C1090" s="336">
        <f>'Schippers 2005&amp;2006 all'!B330</f>
        <v>30.3</v>
      </c>
      <c r="D1090" s="301">
        <f>'Schippers 2005&amp;2006 all'!C330</f>
        <v>11397541.703818219</v>
      </c>
      <c r="H1090" s="336"/>
      <c r="I1090" s="301">
        <f>'Schippers 2005&amp;2006 all'!H330</f>
        <v>3714419.0540603199</v>
      </c>
      <c r="J1090" s="301">
        <f>'Schippers 2005&amp;2006 all'!I330</f>
        <v>679.10964491441541</v>
      </c>
      <c r="K1090" s="301">
        <f>'Schippers 2005&amp;2006 all'!J330</f>
        <v>3715098.1637052344</v>
      </c>
      <c r="N1090" s="27">
        <f>J1090/K1090</f>
        <v>1.8279722768808587E-4</v>
      </c>
      <c r="O1090" s="286"/>
      <c r="P1090" s="289">
        <f>'Schippers 2005&amp;2006 all'!O330</f>
        <v>0</v>
      </c>
      <c r="R1090" t="s">
        <v>1395</v>
      </c>
      <c r="S1090" t="s">
        <v>52</v>
      </c>
      <c r="T1090" t="s">
        <v>51</v>
      </c>
      <c r="U1090" t="s">
        <v>51</v>
      </c>
      <c r="V1090" s="313">
        <v>0.55000000000000004</v>
      </c>
      <c r="W1090" s="313">
        <v>0.55000000000000004</v>
      </c>
      <c r="X1090" s="306" t="s">
        <v>248</v>
      </c>
      <c r="Y1090" s="328" t="s">
        <v>96</v>
      </c>
      <c r="Z1090" s="314" t="s">
        <v>100</v>
      </c>
      <c r="AA1090" s="326" t="s">
        <v>1495</v>
      </c>
      <c r="AD1090" s="326" t="s">
        <v>1717</v>
      </c>
      <c r="AE1090" s="326" t="s">
        <v>1725</v>
      </c>
      <c r="AF1090" s="326" t="s">
        <v>1735</v>
      </c>
      <c r="AG1090" s="326" t="s">
        <v>1707</v>
      </c>
      <c r="AH1090" s="326" t="s">
        <v>1714</v>
      </c>
      <c r="AI1090" s="326" t="s">
        <v>1496</v>
      </c>
      <c r="AJ1090" s="326" t="s">
        <v>1487</v>
      </c>
      <c r="AK1090" s="326" t="s">
        <v>1488</v>
      </c>
      <c r="AL1090" s="326" t="s">
        <v>1497</v>
      </c>
      <c r="AO1090" s="326" t="s">
        <v>1494</v>
      </c>
      <c r="AQ1090" s="326">
        <v>5088</v>
      </c>
      <c r="AR1090" s="326" t="s">
        <v>1463</v>
      </c>
      <c r="AV1090" s="326" t="b">
        <v>1</v>
      </c>
      <c r="AW1090" t="b">
        <v>1</v>
      </c>
      <c r="AX1090" t="b">
        <v>1</v>
      </c>
      <c r="AY1090" t="b">
        <v>1</v>
      </c>
    </row>
    <row r="1091" spans="1:51">
      <c r="A1091" s="277" t="s">
        <v>759</v>
      </c>
      <c r="B1091" s="334" t="s">
        <v>1671</v>
      </c>
      <c r="C1091" s="336">
        <f>'Schippers 2005&amp;2006 all'!B332</f>
        <v>44.6</v>
      </c>
      <c r="I1091" s="301">
        <f>'Schippers 2005&amp;2006 all'!H332</f>
        <v>603124.39978445403</v>
      </c>
      <c r="J1091" s="301">
        <f>'Schippers 2005&amp;2006 all'!I332</f>
        <v>5462.1534718993271</v>
      </c>
      <c r="K1091" s="301">
        <f>'Schippers 2005&amp;2006 all'!J332</f>
        <v>608586.55325635336</v>
      </c>
      <c r="N1091" s="27">
        <f>J1091/K1091</f>
        <v>8.9751464975245977E-3</v>
      </c>
      <c r="O1091" s="286"/>
      <c r="P1091" s="289">
        <f>'Schippers 2005&amp;2006 all'!O332</f>
        <v>0</v>
      </c>
      <c r="R1091" t="s">
        <v>1395</v>
      </c>
      <c r="S1091" t="s">
        <v>52</v>
      </c>
      <c r="T1091" t="s">
        <v>51</v>
      </c>
      <c r="U1091" t="s">
        <v>51</v>
      </c>
      <c r="V1091" s="313">
        <v>0.55000000000000004</v>
      </c>
      <c r="W1091" s="313">
        <v>0.55000000000000004</v>
      </c>
      <c r="X1091" s="306" t="s">
        <v>248</v>
      </c>
      <c r="Y1091" s="328" t="s">
        <v>96</v>
      </c>
      <c r="Z1091" s="314" t="s">
        <v>100</v>
      </c>
      <c r="AA1091" s="326" t="s">
        <v>1495</v>
      </c>
      <c r="AD1091" s="326" t="s">
        <v>1717</v>
      </c>
      <c r="AE1091" s="326" t="s">
        <v>1725</v>
      </c>
      <c r="AF1091" s="326" t="s">
        <v>1735</v>
      </c>
      <c r="AG1091" s="326" t="s">
        <v>1707</v>
      </c>
      <c r="AH1091" s="326" t="s">
        <v>1714</v>
      </c>
      <c r="AI1091" s="326" t="s">
        <v>1496</v>
      </c>
      <c r="AJ1091" s="326" t="s">
        <v>1487</v>
      </c>
      <c r="AK1091" s="326" t="s">
        <v>1488</v>
      </c>
      <c r="AL1091" s="326" t="s">
        <v>1497</v>
      </c>
      <c r="AO1091" s="326" t="s">
        <v>1494</v>
      </c>
      <c r="AQ1091" s="326">
        <v>5088</v>
      </c>
      <c r="AR1091" s="326" t="s">
        <v>1463</v>
      </c>
      <c r="AV1091" s="326" t="b">
        <v>1</v>
      </c>
      <c r="AW1091" t="b">
        <v>1</v>
      </c>
      <c r="AX1091" t="b">
        <v>1</v>
      </c>
      <c r="AY1091" t="b">
        <v>1</v>
      </c>
    </row>
    <row r="1092" spans="1:51">
      <c r="A1092" s="277" t="s">
        <v>759</v>
      </c>
      <c r="B1092" s="334" t="s">
        <v>1671</v>
      </c>
      <c r="C1092" s="336">
        <f>'Schippers 2005&amp;2006 all'!B333</f>
        <v>45</v>
      </c>
      <c r="E1092" s="301">
        <f>'Schippers 2005&amp;2006 all'!E333</f>
        <v>241427.73209640788</v>
      </c>
      <c r="G1092" s="301">
        <f>E1092</f>
        <v>241427.73209640788</v>
      </c>
      <c r="O1092" s="286"/>
      <c r="P1092" s="289"/>
      <c r="V1092" s="313"/>
      <c r="W1092" s="313"/>
      <c r="X1092" s="306"/>
      <c r="Y1092" s="328"/>
      <c r="Z1092" s="314"/>
      <c r="AQ1092" s="326"/>
      <c r="AR1092" s="326"/>
    </row>
    <row r="1093" spans="1:51">
      <c r="A1093" s="277" t="s">
        <v>759</v>
      </c>
      <c r="B1093" s="334" t="s">
        <v>1671</v>
      </c>
      <c r="C1093" s="336">
        <f>'Schippers 2005&amp;2006 all'!B335</f>
        <v>65.8</v>
      </c>
      <c r="D1093" s="301">
        <f>'Schippers 2005&amp;2006 all'!C335</f>
        <v>11888271.71853485</v>
      </c>
      <c r="H1093" s="336"/>
      <c r="I1093" s="301">
        <f>'Schippers 2005&amp;2006 all'!H335</f>
        <v>1078146.80065365</v>
      </c>
      <c r="J1093" s="301">
        <f>'Schippers 2005&amp;2006 all'!I335</f>
        <v>2.5803100771750715</v>
      </c>
      <c r="K1093" s="301">
        <f>'Schippers 2005&amp;2006 all'!J335</f>
        <v>1078149.3809637271</v>
      </c>
      <c r="N1093" s="27">
        <f>J1093/K1093</f>
        <v>2.3932769639663528E-6</v>
      </c>
      <c r="O1093" s="286"/>
      <c r="P1093" s="303">
        <f>'Schippers 2005&amp;2006 all'!O335</f>
        <v>0</v>
      </c>
      <c r="R1093" t="s">
        <v>1395</v>
      </c>
      <c r="S1093" t="s">
        <v>52</v>
      </c>
      <c r="T1093" t="s">
        <v>51</v>
      </c>
      <c r="U1093" t="s">
        <v>51</v>
      </c>
      <c r="V1093" s="313">
        <v>0.55000000000000004</v>
      </c>
      <c r="W1093" s="313">
        <v>0.55000000000000004</v>
      </c>
      <c r="X1093" s="306" t="s">
        <v>248</v>
      </c>
      <c r="Y1093" s="311" t="s">
        <v>96</v>
      </c>
      <c r="Z1093" s="314" t="s">
        <v>100</v>
      </c>
      <c r="AA1093" s="328" t="s">
        <v>1495</v>
      </c>
      <c r="AD1093" s="326" t="s">
        <v>1717</v>
      </c>
      <c r="AE1093" s="328" t="s">
        <v>1725</v>
      </c>
      <c r="AF1093" s="326" t="s">
        <v>1735</v>
      </c>
      <c r="AG1093" s="326" t="s">
        <v>1707</v>
      </c>
      <c r="AH1093" s="326" t="s">
        <v>1714</v>
      </c>
      <c r="AI1093" s="326" t="s">
        <v>1496</v>
      </c>
      <c r="AJ1093" s="326" t="s">
        <v>1487</v>
      </c>
      <c r="AK1093" s="326" t="s">
        <v>1488</v>
      </c>
      <c r="AL1093" s="326" t="s">
        <v>1497</v>
      </c>
      <c r="AO1093" s="326" t="s">
        <v>1494</v>
      </c>
      <c r="AQ1093" s="326">
        <v>5088</v>
      </c>
      <c r="AR1093" s="326" t="s">
        <v>1463</v>
      </c>
      <c r="AV1093" s="326" t="b">
        <v>1</v>
      </c>
      <c r="AW1093" t="b">
        <v>1</v>
      </c>
      <c r="AX1093" t="b">
        <v>1</v>
      </c>
      <c r="AY1093" t="b">
        <v>1</v>
      </c>
    </row>
    <row r="1094" spans="1:51">
      <c r="A1094" s="277" t="s">
        <v>759</v>
      </c>
      <c r="B1094" s="334" t="s">
        <v>1671</v>
      </c>
      <c r="C1094" s="336">
        <f>'Schippers 2005&amp;2006 all'!B336</f>
        <v>66</v>
      </c>
      <c r="D1094" s="301">
        <f>'Schippers 2005&amp;2006 all'!C336</f>
        <v>11888271.71853485</v>
      </c>
      <c r="E1094" s="301">
        <f>'Schippers 2005&amp;2006 all'!E336</f>
        <v>240568.0061732872</v>
      </c>
      <c r="G1094" s="301">
        <f>E1094</f>
        <v>240568.0061732872</v>
      </c>
      <c r="H1094" s="336">
        <f>G1094/D1094</f>
        <v>2.0235742576292293E-2</v>
      </c>
      <c r="O1094" s="286"/>
      <c r="P1094" s="303"/>
      <c r="V1094" s="313"/>
      <c r="W1094" s="313"/>
      <c r="X1094" s="306"/>
      <c r="Z1094" s="314"/>
      <c r="AQ1094" s="326"/>
      <c r="AR1094" s="326"/>
    </row>
    <row r="1095" spans="1:51">
      <c r="A1095" s="277" t="s">
        <v>759</v>
      </c>
      <c r="B1095" s="334" t="s">
        <v>1671</v>
      </c>
      <c r="C1095" s="336">
        <f>'Schippers 2005&amp;2006 all'!B338</f>
        <v>84.6</v>
      </c>
      <c r="D1095" s="301">
        <f>'Schippers 2005&amp;2006 all'!C338</f>
        <v>12629606.348131355</v>
      </c>
      <c r="I1095" s="301">
        <f>'Schippers 2005&amp;2006 all'!H338</f>
        <v>1550657.5516406</v>
      </c>
      <c r="J1095" s="301">
        <f>'Schippers 2005&amp;2006 all'!I338</f>
        <v>57.818821029118766</v>
      </c>
      <c r="K1095" s="301">
        <f>'Schippers 2005&amp;2006 all'!J338</f>
        <v>1550715.370461629</v>
      </c>
      <c r="N1095" s="27">
        <f>J1095/K1095</f>
        <v>3.7285256940418933E-5</v>
      </c>
      <c r="O1095" s="286"/>
      <c r="P1095" s="326">
        <f>'Schippers 2005&amp;2006 all'!O338</f>
        <v>0</v>
      </c>
      <c r="R1095" t="s">
        <v>1395</v>
      </c>
      <c r="S1095" t="s">
        <v>52</v>
      </c>
      <c r="T1095" t="s">
        <v>51</v>
      </c>
      <c r="U1095" t="s">
        <v>51</v>
      </c>
      <c r="V1095" s="313">
        <v>0.55000000000000004</v>
      </c>
      <c r="W1095" s="313">
        <v>0.55000000000000004</v>
      </c>
      <c r="X1095" s="306" t="s">
        <v>248</v>
      </c>
      <c r="Y1095" s="326" t="s">
        <v>96</v>
      </c>
      <c r="Z1095" s="314" t="s">
        <v>100</v>
      </c>
      <c r="AA1095" s="326" t="s">
        <v>1495</v>
      </c>
      <c r="AD1095" s="326" t="s">
        <v>1717</v>
      </c>
      <c r="AE1095" s="326" t="s">
        <v>1725</v>
      </c>
      <c r="AF1095" s="326" t="s">
        <v>1735</v>
      </c>
      <c r="AG1095" s="326" t="s">
        <v>1707</v>
      </c>
      <c r="AH1095" s="326" t="s">
        <v>1714</v>
      </c>
      <c r="AI1095" s="326" t="s">
        <v>1496</v>
      </c>
      <c r="AJ1095" s="326" t="s">
        <v>1487</v>
      </c>
      <c r="AK1095" s="326" t="s">
        <v>1488</v>
      </c>
      <c r="AL1095" s="326" t="s">
        <v>1497</v>
      </c>
      <c r="AO1095" s="326" t="s">
        <v>1494</v>
      </c>
      <c r="AQ1095" s="326">
        <v>5088</v>
      </c>
      <c r="AR1095" s="326" t="s">
        <v>1463</v>
      </c>
      <c r="AV1095" s="326" t="b">
        <v>1</v>
      </c>
      <c r="AW1095" t="b">
        <v>1</v>
      </c>
      <c r="AX1095" t="b">
        <v>1</v>
      </c>
      <c r="AY1095" t="b">
        <v>1</v>
      </c>
    </row>
    <row r="1096" spans="1:51">
      <c r="A1096" s="277" t="s">
        <v>759</v>
      </c>
      <c r="B1096" s="334" t="s">
        <v>1671</v>
      </c>
      <c r="C1096" s="336">
        <f>'Schippers 2005&amp;2006 all'!B339</f>
        <v>85</v>
      </c>
      <c r="D1096" s="301">
        <f>'Schippers 2005&amp;2006 all'!C339</f>
        <v>12629606.348131355</v>
      </c>
      <c r="E1096" s="301">
        <f>'Schippers 2005&amp;2006 all'!E339</f>
        <v>212561.6247313706</v>
      </c>
      <c r="G1096" s="301">
        <f>E1096</f>
        <v>212561.6247313706</v>
      </c>
      <c r="H1096" s="27">
        <f>G1096/D1096</f>
        <v>1.6830423599292998E-2</v>
      </c>
      <c r="O1096" s="286"/>
      <c r="P1096" s="289"/>
      <c r="V1096" s="313"/>
      <c r="W1096" s="313"/>
      <c r="X1096" s="306"/>
      <c r="Y1096" s="326"/>
      <c r="Z1096" s="314"/>
      <c r="AQ1096" s="326"/>
      <c r="AR1096" s="326"/>
    </row>
    <row r="1097" spans="1:51">
      <c r="A1097" s="277" t="s">
        <v>759</v>
      </c>
      <c r="B1097" s="334" t="s">
        <v>1671</v>
      </c>
      <c r="C1097" s="336">
        <f>'Schippers 2005&amp;2006 all'!B342</f>
        <v>102</v>
      </c>
      <c r="D1097" s="301">
        <f>'Schippers 2005&amp;2006 all'!C342</f>
        <v>11627260.03214086</v>
      </c>
      <c r="I1097" s="301">
        <f>'Schippers 2005&amp;2006 all'!H342</f>
        <v>555467.81300313899</v>
      </c>
      <c r="J1097" s="301">
        <f>'Schippers 2005&amp;2006 all'!I342</f>
        <v>811.57108452635896</v>
      </c>
      <c r="K1097" s="301">
        <f>'Schippers 2005&amp;2006 all'!J342</f>
        <v>556279.38408766536</v>
      </c>
      <c r="N1097" s="27">
        <f>J1097/K1097</f>
        <v>1.4589271285999367E-3</v>
      </c>
      <c r="O1097" s="286"/>
      <c r="P1097" s="289">
        <f>'Schippers 2005&amp;2006 all'!O341</f>
        <v>0</v>
      </c>
      <c r="R1097" t="s">
        <v>1395</v>
      </c>
      <c r="S1097" t="s">
        <v>52</v>
      </c>
      <c r="T1097" t="s">
        <v>51</v>
      </c>
      <c r="U1097" t="s">
        <v>51</v>
      </c>
      <c r="V1097" s="313">
        <v>0.55000000000000004</v>
      </c>
      <c r="W1097" s="313">
        <v>0.55000000000000004</v>
      </c>
      <c r="X1097" s="306" t="s">
        <v>248</v>
      </c>
      <c r="Y1097" s="334" t="s">
        <v>96</v>
      </c>
      <c r="Z1097" s="314" t="s">
        <v>100</v>
      </c>
      <c r="AA1097" s="326" t="s">
        <v>1495</v>
      </c>
      <c r="AD1097" s="326" t="s">
        <v>1717</v>
      </c>
      <c r="AE1097" s="326" t="s">
        <v>1725</v>
      </c>
      <c r="AF1097" s="326" t="s">
        <v>1735</v>
      </c>
      <c r="AG1097" s="326" t="s">
        <v>1707</v>
      </c>
      <c r="AH1097" s="326" t="s">
        <v>1714</v>
      </c>
      <c r="AI1097" s="326" t="s">
        <v>1496</v>
      </c>
      <c r="AJ1097" s="326" t="s">
        <v>1487</v>
      </c>
      <c r="AK1097" s="326" t="s">
        <v>1488</v>
      </c>
      <c r="AL1097" s="326" t="s">
        <v>1497</v>
      </c>
      <c r="AO1097" s="326" t="s">
        <v>1494</v>
      </c>
      <c r="AQ1097" s="326">
        <v>5088</v>
      </c>
      <c r="AR1097" s="326" t="s">
        <v>1463</v>
      </c>
      <c r="AV1097" s="326" t="b">
        <v>1</v>
      </c>
      <c r="AW1097" t="b">
        <v>1</v>
      </c>
      <c r="AX1097" t="b">
        <v>1</v>
      </c>
      <c r="AY1097" t="b">
        <v>1</v>
      </c>
    </row>
    <row r="1098" spans="1:51">
      <c r="A1098" s="277" t="s">
        <v>759</v>
      </c>
      <c r="B1098" s="334" t="s">
        <v>1671</v>
      </c>
      <c r="C1098" s="336">
        <f>'Schippers 2005&amp;2006 all'!B341</f>
        <v>102</v>
      </c>
      <c r="D1098" s="301">
        <f>'Schippers 2005&amp;2006 all'!C341</f>
        <v>11627260.03214086</v>
      </c>
      <c r="E1098" s="301">
        <f>'Schippers 2005&amp;2006 all'!E341</f>
        <v>279891.13489314023</v>
      </c>
      <c r="G1098" s="301">
        <f>E1098</f>
        <v>279891.13489314023</v>
      </c>
      <c r="H1098" s="27">
        <f>G1098/D1098</f>
        <v>2.4071976899067034E-2</v>
      </c>
      <c r="O1098" s="286"/>
      <c r="P1098" s="303"/>
      <c r="V1098" s="313"/>
      <c r="W1098" s="313"/>
      <c r="X1098" s="306"/>
      <c r="Y1098" s="334"/>
      <c r="Z1098" s="314"/>
    </row>
    <row r="1099" spans="1:51">
      <c r="A1099" s="277" t="s">
        <v>759</v>
      </c>
      <c r="B1099" s="334" t="s">
        <v>1671</v>
      </c>
      <c r="C1099" s="336">
        <f>'Schippers 2005&amp;2006 all'!B344</f>
        <v>124.3</v>
      </c>
      <c r="I1099" s="301">
        <f>'Schippers 2005&amp;2006 all'!H344</f>
        <v>4241162.36065487</v>
      </c>
      <c r="J1099" s="301">
        <f>'Schippers 2005&amp;2006 all'!I344</f>
        <v>579.77466258794925</v>
      </c>
      <c r="K1099" s="301">
        <f>'Schippers 2005&amp;2006 all'!J344</f>
        <v>4241742.1353174578</v>
      </c>
      <c r="N1099" s="27">
        <f>J1099/K1099</f>
        <v>1.3668314671008594E-4</v>
      </c>
      <c r="O1099" s="286"/>
      <c r="P1099" s="293">
        <f>'Schippers 2005&amp;2006 all'!O344</f>
        <v>0</v>
      </c>
      <c r="R1099" t="s">
        <v>1395</v>
      </c>
      <c r="S1099" t="s">
        <v>52</v>
      </c>
      <c r="T1099" t="s">
        <v>51</v>
      </c>
      <c r="U1099" t="s">
        <v>51</v>
      </c>
      <c r="V1099" s="313">
        <v>0.55000000000000004</v>
      </c>
      <c r="W1099" s="313">
        <v>0.55000000000000004</v>
      </c>
      <c r="X1099" s="306" t="s">
        <v>248</v>
      </c>
      <c r="Y1099" s="334" t="s">
        <v>96</v>
      </c>
      <c r="Z1099" s="314" t="s">
        <v>100</v>
      </c>
      <c r="AA1099" s="326" t="s">
        <v>1495</v>
      </c>
      <c r="AD1099" s="326" t="s">
        <v>1717</v>
      </c>
      <c r="AE1099" s="326" t="s">
        <v>1725</v>
      </c>
      <c r="AF1099" s="326" t="s">
        <v>1735</v>
      </c>
      <c r="AG1099" s="326" t="s">
        <v>1707</v>
      </c>
      <c r="AH1099" s="326" t="s">
        <v>1714</v>
      </c>
      <c r="AI1099" s="326" t="s">
        <v>1496</v>
      </c>
      <c r="AJ1099" s="326" t="s">
        <v>1487</v>
      </c>
      <c r="AK1099" s="326" t="s">
        <v>1488</v>
      </c>
      <c r="AL1099" s="326" t="s">
        <v>1497</v>
      </c>
      <c r="AO1099" s="326" t="s">
        <v>1494</v>
      </c>
      <c r="AQ1099">
        <v>5088</v>
      </c>
      <c r="AR1099" t="s">
        <v>1463</v>
      </c>
      <c r="AV1099" s="326" t="b">
        <v>1</v>
      </c>
      <c r="AW1099" t="b">
        <v>1</v>
      </c>
      <c r="AX1099" t="b">
        <v>1</v>
      </c>
      <c r="AY1099" t="b">
        <v>1</v>
      </c>
    </row>
    <row r="1100" spans="1:51">
      <c r="A1100" s="277" t="s">
        <v>759</v>
      </c>
      <c r="B1100" s="334" t="s">
        <v>1671</v>
      </c>
      <c r="C1100" s="336">
        <f>'Schippers 2005&amp;2006 all'!B345</f>
        <v>125</v>
      </c>
      <c r="D1100" s="336"/>
      <c r="E1100" s="301">
        <f>'Schippers 2005&amp;2006 all'!E345</f>
        <v>120305.39525319407</v>
      </c>
      <c r="G1100" s="301">
        <f>E1100</f>
        <v>120305.39525319407</v>
      </c>
      <c r="O1100" s="286"/>
      <c r="P1100" s="293"/>
      <c r="V1100" s="313"/>
      <c r="W1100" s="313"/>
      <c r="X1100" s="306"/>
      <c r="Y1100" s="334"/>
      <c r="Z1100" s="314"/>
    </row>
    <row r="1101" spans="1:51">
      <c r="A1101" s="277" t="s">
        <v>759</v>
      </c>
      <c r="B1101" s="334" t="s">
        <v>1671</v>
      </c>
      <c r="C1101" s="336">
        <f>'Schippers 2005&amp;2006 all'!B346</f>
        <v>142.30000000000001</v>
      </c>
      <c r="D1101" s="301">
        <f>'Schippers 2005&amp;2006 all'!C346</f>
        <v>9789520.895403821</v>
      </c>
      <c r="I1101" s="301">
        <f>'Schippers 2005&amp;2006 all'!H346</f>
        <v>8754208.7508744802</v>
      </c>
      <c r="J1101" s="301">
        <f>'Schippers 2005&amp;2006 all'!I346</f>
        <v>62.645983508950714</v>
      </c>
      <c r="K1101" s="301">
        <f>'Schippers 2005&amp;2006 all'!J346</f>
        <v>8754271.39685799</v>
      </c>
      <c r="N1101" s="27">
        <f>J1101/K1101</f>
        <v>7.1560476787862762E-6</v>
      </c>
      <c r="O1101" s="286"/>
      <c r="P1101" s="293">
        <f>'Schippers 2005&amp;2006 all'!O346</f>
        <v>0</v>
      </c>
      <c r="R1101" t="s">
        <v>1395</v>
      </c>
      <c r="S1101" t="s">
        <v>52</v>
      </c>
      <c r="T1101" t="s">
        <v>51</v>
      </c>
      <c r="U1101" t="s">
        <v>51</v>
      </c>
      <c r="V1101" s="313">
        <v>0.55000000000000004</v>
      </c>
      <c r="W1101" s="313">
        <v>0.55000000000000004</v>
      </c>
      <c r="X1101" s="306" t="s">
        <v>248</v>
      </c>
      <c r="Y1101" s="334" t="s">
        <v>96</v>
      </c>
      <c r="Z1101" s="314" t="s">
        <v>100</v>
      </c>
      <c r="AA1101" s="326" t="s">
        <v>1495</v>
      </c>
      <c r="AD1101" s="326" t="s">
        <v>1717</v>
      </c>
      <c r="AE1101" s="326" t="s">
        <v>1725</v>
      </c>
      <c r="AF1101" s="326" t="s">
        <v>1735</v>
      </c>
      <c r="AG1101" s="326" t="s">
        <v>1707</v>
      </c>
      <c r="AH1101" s="326" t="s">
        <v>1714</v>
      </c>
      <c r="AI1101" s="326" t="s">
        <v>1496</v>
      </c>
      <c r="AJ1101" s="326" t="s">
        <v>1487</v>
      </c>
      <c r="AK1101" s="326" t="s">
        <v>1488</v>
      </c>
      <c r="AL1101" s="326" t="s">
        <v>1497</v>
      </c>
      <c r="AO1101" s="326" t="s">
        <v>1494</v>
      </c>
      <c r="AQ1101">
        <v>5088</v>
      </c>
      <c r="AR1101" t="s">
        <v>1463</v>
      </c>
      <c r="AV1101" s="326" t="b">
        <v>1</v>
      </c>
      <c r="AW1101" t="b">
        <v>1</v>
      </c>
      <c r="AX1101" t="b">
        <v>1</v>
      </c>
      <c r="AY1101" t="b">
        <v>1</v>
      </c>
    </row>
    <row r="1102" spans="1:51">
      <c r="A1102" s="277" t="s">
        <v>759</v>
      </c>
      <c r="B1102" s="334" t="s">
        <v>1671</v>
      </c>
      <c r="C1102" s="336">
        <f>'Schippers 2005&amp;2006 all'!B348</f>
        <v>143</v>
      </c>
      <c r="D1102" s="301">
        <f>'Schippers 2005&amp;2006 all'!C348</f>
        <v>9789520.895403821</v>
      </c>
      <c r="E1102" s="301">
        <f>'Schippers 2005&amp;2006 all'!E348</f>
        <v>142651.677794658</v>
      </c>
      <c r="G1102" s="301">
        <f>E1102</f>
        <v>142651.677794658</v>
      </c>
      <c r="H1102" s="27">
        <f>G1102/D1102</f>
        <v>1.4571875306138111E-2</v>
      </c>
      <c r="O1102" s="286"/>
      <c r="P1102" s="303"/>
      <c r="V1102" s="313"/>
      <c r="W1102" s="313"/>
      <c r="X1102" s="306"/>
      <c r="Y1102" s="334"/>
      <c r="Z1102" s="314"/>
    </row>
    <row r="1103" spans="1:51">
      <c r="A1103" s="277" t="s">
        <v>759</v>
      </c>
      <c r="B1103" s="334" t="s">
        <v>1671</v>
      </c>
      <c r="C1103" s="336">
        <f>'Schippers 2005&amp;2006 all'!B349</f>
        <v>160.6</v>
      </c>
      <c r="I1103" s="301">
        <f>'Schippers 2005&amp;2006 all'!H349</f>
        <v>1151929.4950447599</v>
      </c>
      <c r="J1103" s="301">
        <f>'Schippers 2005&amp;2006 all'!I349</f>
        <v>3475.3234581713555</v>
      </c>
      <c r="K1103" s="301">
        <f>'Schippers 2005&amp;2006 all'!J349</f>
        <v>1155404.8185029314</v>
      </c>
      <c r="N1103" s="27">
        <f>J1103/K1103</f>
        <v>3.0078838191746195E-3</v>
      </c>
      <c r="O1103" s="286"/>
      <c r="P1103" s="293">
        <f>'Schippers 2005&amp;2006 all'!O349</f>
        <v>0</v>
      </c>
      <c r="R1103" t="s">
        <v>1395</v>
      </c>
      <c r="S1103" t="s">
        <v>52</v>
      </c>
      <c r="T1103" t="s">
        <v>51</v>
      </c>
      <c r="U1103" t="s">
        <v>51</v>
      </c>
      <c r="V1103" s="313">
        <v>0.55000000000000004</v>
      </c>
      <c r="W1103" s="313">
        <v>0.55000000000000004</v>
      </c>
      <c r="X1103" s="306" t="s">
        <v>248</v>
      </c>
      <c r="Y1103" s="334" t="s">
        <v>96</v>
      </c>
      <c r="Z1103" s="314" t="s">
        <v>100</v>
      </c>
      <c r="AA1103" s="326" t="s">
        <v>1495</v>
      </c>
      <c r="AD1103" s="326" t="s">
        <v>1717</v>
      </c>
      <c r="AE1103" s="326" t="s">
        <v>1725</v>
      </c>
      <c r="AF1103" s="326" t="s">
        <v>1735</v>
      </c>
      <c r="AG1103" s="326" t="s">
        <v>1707</v>
      </c>
      <c r="AH1103" s="326" t="s">
        <v>1714</v>
      </c>
      <c r="AI1103" s="326" t="s">
        <v>1496</v>
      </c>
      <c r="AJ1103" s="326" t="s">
        <v>1487</v>
      </c>
      <c r="AK1103" s="326" t="s">
        <v>1488</v>
      </c>
      <c r="AL1103" s="326" t="s">
        <v>1497</v>
      </c>
      <c r="AO1103" s="326" t="s">
        <v>1494</v>
      </c>
      <c r="AQ1103">
        <v>5088</v>
      </c>
      <c r="AR1103" t="s">
        <v>1463</v>
      </c>
      <c r="AV1103" s="326" t="b">
        <v>1</v>
      </c>
      <c r="AW1103" t="b">
        <v>1</v>
      </c>
      <c r="AX1103" t="b">
        <v>1</v>
      </c>
      <c r="AY1103" t="b">
        <v>1</v>
      </c>
    </row>
    <row r="1104" spans="1:51">
      <c r="A1104" s="277" t="s">
        <v>759</v>
      </c>
      <c r="B1104" s="334" t="s">
        <v>1671</v>
      </c>
      <c r="C1104" s="336">
        <f>'Schippers 2005&amp;2006 all'!B350</f>
        <v>161</v>
      </c>
      <c r="D1104" s="336"/>
      <c r="E1104" s="301">
        <f>'Schippers 2005&amp;2006 all'!E350</f>
        <v>69323.147359488663</v>
      </c>
      <c r="G1104" s="301">
        <f>E1104</f>
        <v>69323.147359488663</v>
      </c>
      <c r="O1104" s="286"/>
      <c r="P1104" s="293"/>
      <c r="V1104" s="313"/>
      <c r="W1104" s="313"/>
      <c r="X1104" s="306"/>
      <c r="Y1104" s="334"/>
      <c r="Z1104" s="314"/>
    </row>
    <row r="1105" spans="1:51">
      <c r="A1105" s="277" t="s">
        <v>759</v>
      </c>
      <c r="B1105" s="334" t="s">
        <v>1671</v>
      </c>
      <c r="C1105" s="336">
        <f>'Schippers 2005&amp;2006 all'!B351</f>
        <v>169.4</v>
      </c>
      <c r="D1105" s="301">
        <f>'Schippers 2005&amp;2006 all'!C351</f>
        <v>9181013.9835017882</v>
      </c>
      <c r="I1105" s="301">
        <f>'Schippers 2005&amp;2006 all'!H351</f>
        <v>487593.48987970722</v>
      </c>
      <c r="K1105" s="301">
        <f>I1105+J1105</f>
        <v>487593.48987970722</v>
      </c>
      <c r="N1105" s="27">
        <f>J1105/K1105</f>
        <v>0</v>
      </c>
      <c r="O1105" s="286"/>
      <c r="P1105" s="293">
        <f>'Schippers 2005&amp;2006 all'!O351</f>
        <v>0</v>
      </c>
      <c r="R1105" t="s">
        <v>1395</v>
      </c>
      <c r="S1105" t="s">
        <v>52</v>
      </c>
      <c r="T1105" t="s">
        <v>51</v>
      </c>
      <c r="U1105" t="s">
        <v>51</v>
      </c>
      <c r="V1105" s="313">
        <v>0.55000000000000004</v>
      </c>
      <c r="W1105" s="313">
        <v>0.55000000000000004</v>
      </c>
      <c r="X1105" s="306" t="s">
        <v>248</v>
      </c>
      <c r="Y1105" s="334" t="s">
        <v>96</v>
      </c>
      <c r="Z1105" s="314" t="s">
        <v>100</v>
      </c>
      <c r="AA1105" s="326" t="s">
        <v>1495</v>
      </c>
      <c r="AD1105" s="326" t="s">
        <v>1717</v>
      </c>
      <c r="AE1105" s="326" t="s">
        <v>1725</v>
      </c>
      <c r="AF1105" s="326" t="s">
        <v>1735</v>
      </c>
      <c r="AG1105" s="326" t="s">
        <v>1707</v>
      </c>
      <c r="AH1105" s="326" t="s">
        <v>1714</v>
      </c>
      <c r="AI1105" s="326" t="s">
        <v>1496</v>
      </c>
      <c r="AJ1105" s="326" t="s">
        <v>1487</v>
      </c>
      <c r="AK1105" s="326" t="s">
        <v>1488</v>
      </c>
      <c r="AL1105" s="326" t="s">
        <v>1497</v>
      </c>
      <c r="AO1105" s="326" t="s">
        <v>1494</v>
      </c>
      <c r="AQ1105">
        <v>5088</v>
      </c>
      <c r="AR1105" t="s">
        <v>1463</v>
      </c>
      <c r="AV1105" s="326" t="b">
        <v>1</v>
      </c>
      <c r="AW1105" t="b">
        <v>1</v>
      </c>
      <c r="AX1105" t="b">
        <v>1</v>
      </c>
      <c r="AY1105" t="b">
        <v>1</v>
      </c>
    </row>
    <row r="1106" spans="1:51">
      <c r="A1106" s="277" t="s">
        <v>759</v>
      </c>
      <c r="B1106" s="334" t="s">
        <v>1671</v>
      </c>
      <c r="C1106" s="336">
        <f>'Schippers 2005&amp;2006 all'!B352</f>
        <v>170</v>
      </c>
      <c r="D1106" s="301">
        <f>'Schippers 2005&amp;2006 all'!C352</f>
        <v>9181013.9835017882</v>
      </c>
      <c r="E1106" s="301">
        <f>'Schippers 2005&amp;2006 all'!E352</f>
        <v>100827.76475407206</v>
      </c>
      <c r="G1106" s="301">
        <f>E1106</f>
        <v>100827.76475407206</v>
      </c>
      <c r="H1106" s="27">
        <f>G1106/D1106</f>
        <v>1.0982203592681461E-2</v>
      </c>
      <c r="O1106" s="286"/>
      <c r="P1106" s="293"/>
      <c r="V1106" s="313"/>
      <c r="W1106" s="313"/>
      <c r="X1106" s="306"/>
      <c r="Y1106" s="334"/>
      <c r="Z1106" s="314"/>
    </row>
    <row r="1107" spans="1:51">
      <c r="A1107" s="277" t="s">
        <v>759</v>
      </c>
      <c r="B1107" s="334" t="s">
        <v>1671</v>
      </c>
      <c r="C1107" s="336">
        <f>'Schippers 2005&amp;2006 all'!B354</f>
        <v>189</v>
      </c>
      <c r="D1107" s="301">
        <f>'Schippers 2005&amp;2006 all'!C354</f>
        <v>7872433.5780360959</v>
      </c>
      <c r="E1107" s="301">
        <f>'Schippers 2005&amp;2006 all'!E354</f>
        <v>60542.729002665779</v>
      </c>
      <c r="G1107" s="301">
        <f>E1107</f>
        <v>60542.729002665779</v>
      </c>
      <c r="H1107" s="27">
        <f>G1107/D1107</f>
        <v>7.6904718728372078E-3</v>
      </c>
      <c r="O1107" s="286"/>
      <c r="P1107" s="293"/>
      <c r="V1107" s="313"/>
      <c r="W1107" s="313"/>
      <c r="X1107" s="306"/>
      <c r="Y1107" s="323"/>
      <c r="Z1107" s="314"/>
    </row>
    <row r="1108" spans="1:51">
      <c r="A1108" s="277" t="s">
        <v>759</v>
      </c>
      <c r="B1108" s="334" t="s">
        <v>1671</v>
      </c>
      <c r="C1108" s="336">
        <f>'Schippers 2005&amp;2006 all'!B355</f>
        <v>189.1</v>
      </c>
      <c r="D1108" s="301">
        <f>'Schippers 2005&amp;2006 all'!C355</f>
        <v>7872433.5780360959</v>
      </c>
      <c r="I1108" s="301">
        <f>'Schippers 2005&amp;2006 all'!H355</f>
        <v>842141.16832192196</v>
      </c>
      <c r="J1108" s="301">
        <f>'Schippers 2005&amp;2006 all'!I355</f>
        <v>1203.7729086844058</v>
      </c>
      <c r="K1108" s="301">
        <f>'Schippers 2005&amp;2006 all'!J355</f>
        <v>843344.9412306064</v>
      </c>
      <c r="N1108" s="27">
        <f>J1108/K1108</f>
        <v>1.4273790590690733E-3</v>
      </c>
      <c r="O1108" s="286"/>
      <c r="P1108" s="293">
        <f>'Schippers 2005&amp;2006 all'!O355</f>
        <v>0</v>
      </c>
      <c r="R1108" t="s">
        <v>1395</v>
      </c>
      <c r="S1108" t="s">
        <v>52</v>
      </c>
      <c r="T1108" t="s">
        <v>51</v>
      </c>
      <c r="U1108" t="s">
        <v>51</v>
      </c>
      <c r="V1108" s="313">
        <v>0.55000000000000004</v>
      </c>
      <c r="W1108" s="313">
        <v>0.55000000000000004</v>
      </c>
      <c r="X1108" s="306" t="s">
        <v>248</v>
      </c>
      <c r="Y1108" s="334" t="s">
        <v>96</v>
      </c>
      <c r="Z1108" s="314" t="s">
        <v>100</v>
      </c>
      <c r="AA1108" s="326" t="s">
        <v>1495</v>
      </c>
      <c r="AD1108" s="326" t="s">
        <v>1717</v>
      </c>
      <c r="AE1108" s="326" t="s">
        <v>1725</v>
      </c>
      <c r="AF1108" s="326" t="s">
        <v>1735</v>
      </c>
      <c r="AG1108" s="326" t="s">
        <v>1707</v>
      </c>
      <c r="AH1108" s="326" t="s">
        <v>1714</v>
      </c>
      <c r="AI1108" s="326" t="s">
        <v>1496</v>
      </c>
      <c r="AJ1108" s="326" t="s">
        <v>1487</v>
      </c>
      <c r="AK1108" s="326" t="s">
        <v>1488</v>
      </c>
      <c r="AL1108" s="326" t="s">
        <v>1497</v>
      </c>
      <c r="AO1108" s="326" t="s">
        <v>1494</v>
      </c>
      <c r="AQ1108">
        <v>5088</v>
      </c>
      <c r="AR1108" t="s">
        <v>1463</v>
      </c>
      <c r="AV1108" s="326" t="b">
        <v>1</v>
      </c>
      <c r="AW1108" t="b">
        <v>1</v>
      </c>
      <c r="AX1108" t="b">
        <v>1</v>
      </c>
      <c r="AY1108" t="b">
        <v>1</v>
      </c>
    </row>
    <row r="1109" spans="1:51">
      <c r="A1109" s="277" t="s">
        <v>759</v>
      </c>
      <c r="B1109" s="334" t="s">
        <v>1671</v>
      </c>
      <c r="C1109" s="336">
        <f>'Schippers 2005&amp;2006 all'!B357</f>
        <v>199</v>
      </c>
      <c r="D1109" s="301">
        <f>'Schippers 2005&amp;2006 all'!C357</f>
        <v>3545031.9538628012</v>
      </c>
      <c r="E1109" s="301">
        <f>'Schippers 2005&amp;2006 all'!E357</f>
        <v>78141.412724051756</v>
      </c>
      <c r="G1109" s="301">
        <f>E1109</f>
        <v>78141.412724051756</v>
      </c>
      <c r="H1109" s="27">
        <f>G1109/D1109</f>
        <v>2.2042512942346236E-2</v>
      </c>
      <c r="P1109" s="293"/>
      <c r="V1109" s="313"/>
      <c r="W1109" s="313"/>
      <c r="X1109" s="306"/>
      <c r="Y1109" s="328"/>
      <c r="Z1109" s="314"/>
    </row>
    <row r="1110" spans="1:51">
      <c r="A1110" s="277" t="s">
        <v>759</v>
      </c>
      <c r="B1110" s="334" t="s">
        <v>1671</v>
      </c>
      <c r="C1110" s="336">
        <f>'Schippers 2005&amp;2006 all'!B359</f>
        <v>207.3</v>
      </c>
      <c r="I1110" s="301">
        <f>'Schippers 2005&amp;2006 all'!H359</f>
        <v>10297217.793766599</v>
      </c>
      <c r="J1110" s="301">
        <f>'Schippers 2005&amp;2006 all'!I359</f>
        <v>813.38076609705251</v>
      </c>
      <c r="K1110" s="301">
        <f>'Schippers 2005&amp;2006 all'!J359</f>
        <v>10298031.174532697</v>
      </c>
      <c r="N1110" s="27">
        <f>J1110/K1110</f>
        <v>7.8984104078900502E-5</v>
      </c>
      <c r="P1110" s="303">
        <f>'Schippers 2005&amp;2006 all'!O359</f>
        <v>0</v>
      </c>
      <c r="R1110" t="s">
        <v>1395</v>
      </c>
      <c r="S1110" t="s">
        <v>52</v>
      </c>
      <c r="T1110" t="s">
        <v>51</v>
      </c>
      <c r="U1110" t="s">
        <v>51</v>
      </c>
      <c r="V1110" s="313">
        <v>0.55000000000000004</v>
      </c>
      <c r="W1110" s="313">
        <v>0.55000000000000004</v>
      </c>
      <c r="X1110" s="306" t="s">
        <v>248</v>
      </c>
      <c r="Y1110" s="323" t="s">
        <v>96</v>
      </c>
      <c r="Z1110" s="314" t="s">
        <v>100</v>
      </c>
      <c r="AA1110" s="326" t="s">
        <v>1495</v>
      </c>
      <c r="AD1110" s="326" t="s">
        <v>1717</v>
      </c>
      <c r="AE1110" s="326" t="s">
        <v>1725</v>
      </c>
      <c r="AF1110" s="326" t="s">
        <v>1735</v>
      </c>
      <c r="AG1110" s="326" t="s">
        <v>1707</v>
      </c>
      <c r="AH1110" s="326" t="s">
        <v>1714</v>
      </c>
      <c r="AI1110" s="326" t="s">
        <v>1496</v>
      </c>
      <c r="AJ1110" s="326" t="s">
        <v>1487</v>
      </c>
      <c r="AK1110" s="326" t="s">
        <v>1488</v>
      </c>
      <c r="AL1110" s="326" t="s">
        <v>1497</v>
      </c>
      <c r="AO1110" s="326" t="s">
        <v>1494</v>
      </c>
      <c r="AQ1110">
        <v>5088</v>
      </c>
      <c r="AR1110" t="s">
        <v>1463</v>
      </c>
      <c r="AV1110" s="326" t="b">
        <v>1</v>
      </c>
      <c r="AW1110" t="b">
        <v>1</v>
      </c>
      <c r="AX1110" t="b">
        <v>1</v>
      </c>
      <c r="AY1110" t="b">
        <v>1</v>
      </c>
    </row>
    <row r="1111" spans="1:51">
      <c r="A1111" s="277" t="s">
        <v>759</v>
      </c>
      <c r="B1111" s="334" t="s">
        <v>1671</v>
      </c>
      <c r="C1111" s="336">
        <f>'Schippers 2005&amp;2006 all'!B361</f>
        <v>233.1</v>
      </c>
      <c r="D1111" s="301">
        <f>'Schippers 2005&amp;2006 all'!C361</f>
        <v>1935923.6076568987</v>
      </c>
      <c r="I1111" s="301">
        <f>'Schippers 2005&amp;2006 all'!H361</f>
        <v>559291.08716513333</v>
      </c>
      <c r="K1111" s="301">
        <f>I1111+J1111</f>
        <v>559291.08716513333</v>
      </c>
      <c r="N1111" s="27">
        <f>J1111/K1111</f>
        <v>0</v>
      </c>
      <c r="P1111" s="303">
        <f>'Schippers 2005&amp;2006 all'!O361</f>
        <v>0</v>
      </c>
      <c r="R1111" t="s">
        <v>1395</v>
      </c>
      <c r="S1111" t="s">
        <v>52</v>
      </c>
      <c r="T1111" t="s">
        <v>51</v>
      </c>
      <c r="U1111" t="s">
        <v>51</v>
      </c>
      <c r="V1111" s="313">
        <v>0.55000000000000004</v>
      </c>
      <c r="W1111" s="313">
        <v>0.55000000000000004</v>
      </c>
      <c r="X1111" s="306" t="s">
        <v>248</v>
      </c>
      <c r="Y1111" s="326" t="s">
        <v>96</v>
      </c>
      <c r="Z1111" s="314" t="s">
        <v>100</v>
      </c>
      <c r="AA1111" s="326" t="s">
        <v>1495</v>
      </c>
      <c r="AD1111" s="326" t="s">
        <v>1717</v>
      </c>
      <c r="AE1111" s="326" t="s">
        <v>1725</v>
      </c>
      <c r="AF1111" s="326" t="s">
        <v>1735</v>
      </c>
      <c r="AG1111" s="326" t="s">
        <v>1707</v>
      </c>
      <c r="AH1111" s="326" t="s">
        <v>1714</v>
      </c>
      <c r="AI1111" s="326" t="s">
        <v>1496</v>
      </c>
      <c r="AJ1111" s="326" t="s">
        <v>1487</v>
      </c>
      <c r="AK1111" s="326" t="s">
        <v>1488</v>
      </c>
      <c r="AL1111" s="326" t="s">
        <v>1497</v>
      </c>
      <c r="AO1111" s="326" t="s">
        <v>1494</v>
      </c>
      <c r="AQ1111">
        <v>5088</v>
      </c>
      <c r="AR1111" t="s">
        <v>1463</v>
      </c>
      <c r="AV1111" s="326" t="b">
        <v>1</v>
      </c>
      <c r="AW1111" t="b">
        <v>1</v>
      </c>
      <c r="AX1111" t="b">
        <v>1</v>
      </c>
      <c r="AY1111" t="b">
        <v>1</v>
      </c>
    </row>
    <row r="1112" spans="1:51">
      <c r="A1112" s="277" t="s">
        <v>759</v>
      </c>
      <c r="B1112" s="334" t="s">
        <v>1671</v>
      </c>
      <c r="C1112" s="336">
        <f>'Schippers 2005&amp;2006 all'!B364</f>
        <v>250</v>
      </c>
      <c r="I1112" s="301">
        <f>'Schippers 2005&amp;2006 all'!H364</f>
        <v>6980875.5934109697</v>
      </c>
      <c r="J1112" s="301">
        <f>'Schippers 2005&amp;2006 all'!I364</f>
        <v>247.04186946846451</v>
      </c>
      <c r="K1112" s="301">
        <f>'Schippers 2005&amp;2006 all'!J364</f>
        <v>6981122.6352804378</v>
      </c>
      <c r="N1112" s="27">
        <f>J1112/K1112</f>
        <v>3.5387126451552536E-5</v>
      </c>
      <c r="P1112" s="324">
        <f>'Schippers 2005&amp;2006 all'!O364</f>
        <v>0</v>
      </c>
      <c r="R1112" t="s">
        <v>1395</v>
      </c>
      <c r="S1112" t="s">
        <v>52</v>
      </c>
      <c r="T1112" t="s">
        <v>51</v>
      </c>
      <c r="U1112" t="s">
        <v>51</v>
      </c>
      <c r="V1112" s="313">
        <v>0.55000000000000004</v>
      </c>
      <c r="W1112" s="313">
        <v>0.55000000000000004</v>
      </c>
      <c r="X1112" s="306" t="s">
        <v>248</v>
      </c>
      <c r="Y1112" s="326" t="s">
        <v>96</v>
      </c>
      <c r="Z1112" s="314" t="s">
        <v>100</v>
      </c>
      <c r="AA1112" s="326" t="s">
        <v>1495</v>
      </c>
      <c r="AD1112" s="326" t="s">
        <v>1717</v>
      </c>
      <c r="AE1112" s="326" t="s">
        <v>1725</v>
      </c>
      <c r="AF1112" s="326" t="s">
        <v>1735</v>
      </c>
      <c r="AG1112" s="326" t="s">
        <v>1707</v>
      </c>
      <c r="AH1112" s="326" t="s">
        <v>1714</v>
      </c>
      <c r="AI1112" s="326" t="s">
        <v>1496</v>
      </c>
      <c r="AJ1112" s="326" t="s">
        <v>1487</v>
      </c>
      <c r="AK1112" s="326" t="s">
        <v>1488</v>
      </c>
      <c r="AL1112" s="326" t="s">
        <v>1497</v>
      </c>
      <c r="AO1112" s="326" t="s">
        <v>1494</v>
      </c>
      <c r="AQ1112">
        <v>5088</v>
      </c>
      <c r="AR1112" t="s">
        <v>1463</v>
      </c>
      <c r="AV1112" s="326" t="b">
        <v>1</v>
      </c>
      <c r="AW1112" t="b">
        <v>1</v>
      </c>
      <c r="AX1112" t="b">
        <v>1</v>
      </c>
      <c r="AY1112" t="b">
        <v>1</v>
      </c>
    </row>
    <row r="1113" spans="1:51">
      <c r="A1113" s="277" t="s">
        <v>759</v>
      </c>
      <c r="B1113" s="334" t="s">
        <v>1671</v>
      </c>
      <c r="C1113" s="336">
        <f>'Schippers 2005&amp;2006 all'!B366</f>
        <v>269.60000000000002</v>
      </c>
      <c r="I1113" s="301">
        <f>'Schippers 2005&amp;2006 all'!H366</f>
        <v>2954893.9476326699</v>
      </c>
      <c r="J1113" s="301">
        <f>'Schippers 2005&amp;2006 all'!I366</f>
        <v>119.5143072502043</v>
      </c>
      <c r="K1113" s="301">
        <f>'Schippers 2005&amp;2006 all'!J366</f>
        <v>2955013.4619399202</v>
      </c>
      <c r="N1113" s="27">
        <f>J1113/K1113</f>
        <v>4.0444589775826274E-5</v>
      </c>
      <c r="P1113" s="324">
        <f>'Schippers 2005&amp;2006 all'!O366</f>
        <v>0</v>
      </c>
      <c r="R1113" t="s">
        <v>1395</v>
      </c>
      <c r="S1113" t="s">
        <v>52</v>
      </c>
      <c r="T1113" t="s">
        <v>51</v>
      </c>
      <c r="U1113" t="s">
        <v>51</v>
      </c>
      <c r="V1113" s="313">
        <v>0.55000000000000004</v>
      </c>
      <c r="W1113" s="313">
        <v>0.55000000000000004</v>
      </c>
      <c r="X1113" s="306" t="s">
        <v>248</v>
      </c>
      <c r="Y1113" s="334" t="s">
        <v>96</v>
      </c>
      <c r="Z1113" s="314" t="s">
        <v>100</v>
      </c>
      <c r="AA1113" s="326" t="s">
        <v>1495</v>
      </c>
      <c r="AD1113" s="326" t="s">
        <v>1717</v>
      </c>
      <c r="AE1113" s="326" t="s">
        <v>1725</v>
      </c>
      <c r="AF1113" s="326" t="s">
        <v>1735</v>
      </c>
      <c r="AG1113" s="326" t="s">
        <v>1707</v>
      </c>
      <c r="AH1113" s="326" t="s">
        <v>1714</v>
      </c>
      <c r="AI1113" s="326" t="s">
        <v>1496</v>
      </c>
      <c r="AJ1113" s="326" t="s">
        <v>1487</v>
      </c>
      <c r="AK1113" s="326" t="s">
        <v>1488</v>
      </c>
      <c r="AL1113" s="326" t="s">
        <v>1497</v>
      </c>
      <c r="AO1113" s="326" t="s">
        <v>1494</v>
      </c>
      <c r="AQ1113">
        <v>5088</v>
      </c>
      <c r="AR1113" t="s">
        <v>1463</v>
      </c>
      <c r="AV1113" s="326" t="b">
        <v>1</v>
      </c>
      <c r="AW1113" t="b">
        <v>1</v>
      </c>
      <c r="AX1113" t="b">
        <v>1</v>
      </c>
      <c r="AY1113" t="b">
        <v>1</v>
      </c>
    </row>
    <row r="1114" spans="1:51">
      <c r="A1114" s="277" t="s">
        <v>1661</v>
      </c>
      <c r="B1114" s="334" t="s">
        <v>1669</v>
      </c>
      <c r="C1114" s="277">
        <f>'Schippers 2005&amp;2006 all'!B188</f>
        <v>0.01</v>
      </c>
      <c r="D1114" s="301">
        <f>'Schippers 2005&amp;2006 all'!C188</f>
        <v>430712050.80844676</v>
      </c>
      <c r="P1114" s="293">
        <f>'Schippers 2005&amp;2006 all'!O188</f>
        <v>22.53</v>
      </c>
      <c r="R1114" s="304" t="s">
        <v>1395</v>
      </c>
      <c r="S1114" s="304"/>
      <c r="V1114" s="313"/>
      <c r="W1114" s="313"/>
      <c r="X1114" s="306"/>
      <c r="Y1114" s="326"/>
      <c r="Z1114" s="314"/>
      <c r="AA1114" s="334"/>
      <c r="AE1114" s="334"/>
      <c r="AQ1114">
        <v>153</v>
      </c>
    </row>
    <row r="1115" spans="1:51">
      <c r="A1115" s="277" t="s">
        <v>1661</v>
      </c>
      <c r="B1115" s="334" t="s">
        <v>1669</v>
      </c>
      <c r="C1115" s="277">
        <f>'Schippers 2005&amp;2006 all'!B187</f>
        <v>0.01</v>
      </c>
      <c r="D1115" s="301">
        <f>'Schippers 2005&amp;2006 all'!C187</f>
        <v>992493007.49245822</v>
      </c>
      <c r="P1115" s="303">
        <f>'Schippers 2005&amp;2006 all'!O187</f>
        <v>22.53</v>
      </c>
      <c r="R1115" s="304" t="s">
        <v>1395</v>
      </c>
      <c r="S1115" s="304"/>
      <c r="V1115" s="313"/>
      <c r="W1115" s="313"/>
      <c r="X1115" s="306"/>
      <c r="Y1115" s="326"/>
      <c r="Z1115" s="314"/>
      <c r="AQ1115">
        <v>153</v>
      </c>
    </row>
    <row r="1116" spans="1:51">
      <c r="A1116" s="277" t="s">
        <v>1287</v>
      </c>
      <c r="B1116" s="334" t="s">
        <v>1669</v>
      </c>
      <c r="C1116" s="277">
        <f>'Schippers 2005&amp;2006 all'!B189</f>
        <v>0.5</v>
      </c>
      <c r="I1116" s="301">
        <f>'Schippers 2005&amp;2006 all'!H189</f>
        <v>22760570.323328398</v>
      </c>
      <c r="J1116" s="301">
        <f>'Schippers 2005&amp;2006 all'!I189</f>
        <v>9183032.89863896</v>
      </c>
      <c r="K1116" s="301">
        <f>I1116+J1116</f>
        <v>31943603.221967358</v>
      </c>
      <c r="N1116" s="27">
        <f>J1116/K1116</f>
        <v>0.28747642633890036</v>
      </c>
      <c r="P1116" s="303">
        <f>'Schippers 2005&amp;2006 all'!O189</f>
        <v>18.37</v>
      </c>
      <c r="R1116" s="304" t="s">
        <v>1395</v>
      </c>
      <c r="S1116" s="304"/>
      <c r="V1116" s="313"/>
      <c r="W1116" s="313"/>
      <c r="X1116" s="306"/>
      <c r="Y1116" s="326"/>
      <c r="Z1116" s="314"/>
      <c r="AA1116" s="326" t="s">
        <v>1495</v>
      </c>
      <c r="AD1116" s="326" t="s">
        <v>1717</v>
      </c>
      <c r="AE1116" s="326" t="s">
        <v>1725</v>
      </c>
      <c r="AF1116" s="326" t="s">
        <v>1735</v>
      </c>
      <c r="AG1116" s="326" t="s">
        <v>1707</v>
      </c>
      <c r="AH1116" s="326" t="s">
        <v>1714</v>
      </c>
      <c r="AI1116" s="326" t="s">
        <v>1496</v>
      </c>
      <c r="AJ1116" s="326" t="s">
        <v>1487</v>
      </c>
      <c r="AK1116" s="326" t="s">
        <v>1488</v>
      </c>
      <c r="AL1116" s="326" t="s">
        <v>1497</v>
      </c>
      <c r="AO1116" s="326" t="s">
        <v>1494</v>
      </c>
      <c r="AQ1116">
        <v>153</v>
      </c>
      <c r="AV1116" s="326" t="b">
        <v>1</v>
      </c>
      <c r="AW1116" t="b">
        <v>1</v>
      </c>
      <c r="AX1116" t="b">
        <v>1</v>
      </c>
      <c r="AY1116" t="b">
        <v>1</v>
      </c>
    </row>
    <row r="1117" spans="1:51">
      <c r="A1117" s="277" t="s">
        <v>1287</v>
      </c>
      <c r="B1117" s="334" t="s">
        <v>1669</v>
      </c>
      <c r="C1117" s="277">
        <f>'Schippers 2005&amp;2006 all'!B190</f>
        <v>1</v>
      </c>
      <c r="E1117" s="301">
        <f>'Schippers 2005&amp;2006 all'!E190</f>
        <v>214781.22198332316</v>
      </c>
      <c r="G1117" s="301">
        <f>E1117+F1117</f>
        <v>214781.22198332316</v>
      </c>
      <c r="M1117" s="27">
        <f>F1117/G1117</f>
        <v>0</v>
      </c>
      <c r="O1117" t="s">
        <v>0</v>
      </c>
      <c r="P1117" s="304">
        <f>'Schippers 2005&amp;2006 all'!O190</f>
        <v>16.47</v>
      </c>
      <c r="Q1117" s="301" t="b">
        <v>1</v>
      </c>
      <c r="R1117" s="304" t="s">
        <v>1395</v>
      </c>
      <c r="S1117" s="304" t="s">
        <v>52</v>
      </c>
      <c r="T1117" t="s">
        <v>51</v>
      </c>
      <c r="U1117" t="s">
        <v>51</v>
      </c>
      <c r="V1117" s="313">
        <v>0.55000000000000004</v>
      </c>
      <c r="W1117" s="313">
        <v>0.55000000000000004</v>
      </c>
      <c r="X1117" s="306" t="s">
        <v>248</v>
      </c>
      <c r="Y1117" s="334" t="s">
        <v>96</v>
      </c>
      <c r="Z1117" s="314" t="s">
        <v>100</v>
      </c>
      <c r="AB1117" s="334" t="s">
        <v>311</v>
      </c>
      <c r="AC1117" s="334" t="s">
        <v>1702</v>
      </c>
      <c r="AQ1117">
        <v>153</v>
      </c>
    </row>
    <row r="1118" spans="1:51">
      <c r="A1118" s="277" t="s">
        <v>1287</v>
      </c>
      <c r="B1118" s="334" t="s">
        <v>1669</v>
      </c>
      <c r="C1118" s="277">
        <f>'Schippers 2005&amp;2006 all'!B191</f>
        <v>3.8</v>
      </c>
      <c r="I1118" s="301">
        <f>'Schippers 2005&amp;2006 all'!H191</f>
        <v>1305822.478193</v>
      </c>
      <c r="J1118" s="301">
        <f>'Schippers 2005&amp;2006 all'!I191</f>
        <v>430139.31603668811</v>
      </c>
      <c r="K1118" s="301">
        <f>I1118+J1118</f>
        <v>1735961.7942296881</v>
      </c>
      <c r="N1118" s="27">
        <f>J1118/K1118</f>
        <v>0.24778155686747541</v>
      </c>
      <c r="P1118" s="299">
        <f>'Schippers 2005&amp;2006 all'!O191</f>
        <v>14.27</v>
      </c>
      <c r="R1118" s="304" t="s">
        <v>1395</v>
      </c>
      <c r="S1118" s="304"/>
      <c r="V1118" s="313"/>
      <c r="W1118" s="313"/>
      <c r="X1118" s="306"/>
      <c r="Y1118" s="334"/>
      <c r="Z1118" s="314"/>
      <c r="AA1118" s="326" t="s">
        <v>1495</v>
      </c>
      <c r="AD1118" s="326" t="s">
        <v>1717</v>
      </c>
      <c r="AE1118" s="326" t="s">
        <v>1725</v>
      </c>
      <c r="AF1118" s="326" t="s">
        <v>1735</v>
      </c>
      <c r="AG1118" s="326" t="s">
        <v>1707</v>
      </c>
      <c r="AH1118" s="326" t="s">
        <v>1714</v>
      </c>
      <c r="AI1118" s="326" t="s">
        <v>1496</v>
      </c>
      <c r="AJ1118" s="326" t="s">
        <v>1487</v>
      </c>
      <c r="AK1118" s="326" t="s">
        <v>1488</v>
      </c>
      <c r="AL1118" s="326" t="s">
        <v>1497</v>
      </c>
      <c r="AO1118" s="326" t="s">
        <v>1494</v>
      </c>
      <c r="AQ1118">
        <v>153</v>
      </c>
      <c r="AV1118" s="326" t="b">
        <v>1</v>
      </c>
      <c r="AW1118" t="b">
        <v>1</v>
      </c>
      <c r="AX1118" t="b">
        <v>1</v>
      </c>
      <c r="AY1118" t="b">
        <v>1</v>
      </c>
    </row>
    <row r="1119" spans="1:51">
      <c r="A1119" s="277" t="s">
        <v>1287</v>
      </c>
      <c r="B1119" s="334" t="s">
        <v>1669</v>
      </c>
      <c r="C1119" s="277">
        <f>'Schippers 2005&amp;2006 all'!B192</f>
        <v>4</v>
      </c>
      <c r="E1119" s="301">
        <f>'Schippers 2005&amp;2006 all'!E192</f>
        <v>599326.04722460196</v>
      </c>
      <c r="G1119" s="301">
        <f>E1119+F1119</f>
        <v>599326.04722460196</v>
      </c>
      <c r="M1119" s="27">
        <f>F1119/G1119</f>
        <v>0</v>
      </c>
      <c r="O1119" t="s">
        <v>0</v>
      </c>
      <c r="P1119" s="299">
        <f>'Schippers 2005&amp;2006 all'!O192</f>
        <v>15.32</v>
      </c>
      <c r="Q1119" s="301" t="b">
        <v>1</v>
      </c>
      <c r="R1119" s="304" t="s">
        <v>1395</v>
      </c>
      <c r="S1119" s="304" t="s">
        <v>52</v>
      </c>
      <c r="T1119" t="s">
        <v>51</v>
      </c>
      <c r="U1119" t="s">
        <v>51</v>
      </c>
      <c r="V1119" s="313">
        <v>0.55000000000000004</v>
      </c>
      <c r="W1119" s="313">
        <v>0.55000000000000004</v>
      </c>
      <c r="X1119" s="306" t="s">
        <v>248</v>
      </c>
      <c r="Y1119" s="334" t="s">
        <v>96</v>
      </c>
      <c r="Z1119" s="314" t="s">
        <v>100</v>
      </c>
      <c r="AB1119" s="334" t="s">
        <v>311</v>
      </c>
      <c r="AC1119" s="334" t="s">
        <v>1702</v>
      </c>
      <c r="AQ1119">
        <v>153</v>
      </c>
    </row>
    <row r="1120" spans="1:51">
      <c r="A1120" s="277" t="s">
        <v>1287</v>
      </c>
      <c r="B1120" s="334" t="s">
        <v>1669</v>
      </c>
      <c r="C1120" s="277">
        <f>'Schippers 2005&amp;2006 all'!B193</f>
        <v>6.28</v>
      </c>
      <c r="D1120" s="301">
        <f>'Schippers 2005&amp;2006 all'!C193</f>
        <v>43153471.083323047</v>
      </c>
      <c r="P1120" s="304">
        <f>'Schippers 2005&amp;2006 all'!O193</f>
        <v>15.7</v>
      </c>
      <c r="R1120" s="304" t="s">
        <v>1395</v>
      </c>
      <c r="S1120" s="304"/>
      <c r="V1120" s="313"/>
      <c r="W1120" s="313"/>
      <c r="X1120" s="306"/>
      <c r="Y1120" s="334"/>
      <c r="Z1120" s="314"/>
      <c r="AQ1120">
        <v>153</v>
      </c>
    </row>
    <row r="1121" spans="1:51">
      <c r="A1121" s="277" t="s">
        <v>1287</v>
      </c>
      <c r="B1121" s="334" t="s">
        <v>1669</v>
      </c>
      <c r="C1121" s="277">
        <f>'Schippers 2005&amp;2006 all'!B194</f>
        <v>6.5</v>
      </c>
      <c r="D1121" s="301">
        <f>'Schippers 2005&amp;2006 all'!C194</f>
        <v>43153471.083323047</v>
      </c>
      <c r="I1121" s="301">
        <f>'Schippers 2005&amp;2006 all'!H194</f>
        <v>10925218.7202319</v>
      </c>
      <c r="J1121" s="301">
        <f>'Schippers 2005&amp;2006 all'!I194</f>
        <v>1562050.75175391</v>
      </c>
      <c r="K1121" s="301">
        <f>I1121+J1121</f>
        <v>12487269.47198581</v>
      </c>
      <c r="N1121" s="27">
        <f>J1121/K1121</f>
        <v>0.12509145856572135</v>
      </c>
      <c r="P1121" s="303">
        <f>'Schippers 2005&amp;2006 all'!O194</f>
        <v>15.7</v>
      </c>
      <c r="R1121" s="304" t="s">
        <v>1395</v>
      </c>
      <c r="S1121" s="304"/>
      <c r="V1121" s="313"/>
      <c r="W1121" s="313"/>
      <c r="X1121" s="306"/>
      <c r="Y1121" s="334"/>
      <c r="Z1121" s="314"/>
      <c r="AA1121" s="326" t="s">
        <v>1495</v>
      </c>
      <c r="AD1121" s="326" t="s">
        <v>1717</v>
      </c>
      <c r="AE1121" s="326" t="s">
        <v>1725</v>
      </c>
      <c r="AF1121" s="326" t="s">
        <v>1735</v>
      </c>
      <c r="AG1121" s="326" t="s">
        <v>1707</v>
      </c>
      <c r="AH1121" s="326" t="s">
        <v>1714</v>
      </c>
      <c r="AI1121" s="326" t="s">
        <v>1496</v>
      </c>
      <c r="AJ1121" s="326" t="s">
        <v>1487</v>
      </c>
      <c r="AK1121" s="326" t="s">
        <v>1488</v>
      </c>
      <c r="AL1121" s="326" t="s">
        <v>1497</v>
      </c>
      <c r="AO1121" s="326" t="s">
        <v>1494</v>
      </c>
      <c r="AQ1121">
        <v>153</v>
      </c>
      <c r="AV1121" s="326" t="b">
        <v>1</v>
      </c>
      <c r="AW1121" t="b">
        <v>1</v>
      </c>
      <c r="AX1121" t="b">
        <v>1</v>
      </c>
      <c r="AY1121" t="b">
        <v>1</v>
      </c>
    </row>
    <row r="1122" spans="1:51">
      <c r="A1122" s="277" t="s">
        <v>1287</v>
      </c>
      <c r="B1122" s="334" t="s">
        <v>1669</v>
      </c>
      <c r="C1122" s="277">
        <f>'Schippers 2005&amp;2006 all'!B195</f>
        <v>6.8</v>
      </c>
      <c r="D1122" s="301">
        <f>'Schippers 2005&amp;2006 all'!C195</f>
        <v>44551375.753410995</v>
      </c>
      <c r="I1122" s="301">
        <f>'Schippers 2005&amp;2006 all'!H195</f>
        <v>5483282.7371917097</v>
      </c>
      <c r="J1122" s="301">
        <f>'Schippers 2005&amp;2006 all'!I195</f>
        <v>795892.00153355475</v>
      </c>
      <c r="K1122" s="301">
        <f>I1122+J1122</f>
        <v>6279174.7387252646</v>
      </c>
      <c r="N1122" s="27">
        <f>J1122/K1122</f>
        <v>0.12675105163503203</v>
      </c>
      <c r="P1122" s="299">
        <f>'Schippers 2005&amp;2006 all'!O195</f>
        <v>15.18</v>
      </c>
      <c r="R1122" s="304" t="s">
        <v>1395</v>
      </c>
      <c r="S1122" s="304"/>
      <c r="V1122" s="313"/>
      <c r="W1122" s="313"/>
      <c r="X1122" s="306"/>
      <c r="Y1122" s="334"/>
      <c r="Z1122" s="314"/>
      <c r="AA1122" s="326" t="s">
        <v>1495</v>
      </c>
      <c r="AD1122" s="326" t="s">
        <v>1717</v>
      </c>
      <c r="AE1122" s="326" t="s">
        <v>1725</v>
      </c>
      <c r="AF1122" s="326" t="s">
        <v>1735</v>
      </c>
      <c r="AG1122" s="326" t="s">
        <v>1707</v>
      </c>
      <c r="AH1122" s="326" t="s">
        <v>1714</v>
      </c>
      <c r="AI1122" s="326" t="s">
        <v>1496</v>
      </c>
      <c r="AJ1122" s="326" t="s">
        <v>1487</v>
      </c>
      <c r="AK1122" s="326" t="s">
        <v>1488</v>
      </c>
      <c r="AL1122" s="326" t="s">
        <v>1497</v>
      </c>
      <c r="AO1122" s="326" t="s">
        <v>1494</v>
      </c>
      <c r="AQ1122">
        <v>153</v>
      </c>
      <c r="AV1122" s="326" t="b">
        <v>1</v>
      </c>
      <c r="AW1122" t="b">
        <v>1</v>
      </c>
      <c r="AX1122" t="b">
        <v>1</v>
      </c>
      <c r="AY1122" t="b">
        <v>1</v>
      </c>
    </row>
    <row r="1123" spans="1:51">
      <c r="A1123" s="277" t="s">
        <v>1287</v>
      </c>
      <c r="B1123" s="334" t="s">
        <v>1669</v>
      </c>
      <c r="C1123" s="277">
        <f>'Schippers 2005&amp;2006 all'!B196</f>
        <v>7</v>
      </c>
      <c r="D1123" s="301">
        <f>'Schippers 2005&amp;2006 all'!C196</f>
        <v>44551375.753410995</v>
      </c>
      <c r="E1123" s="301">
        <f>'Schippers 2005&amp;2006 all'!E196</f>
        <v>902047.00316451711</v>
      </c>
      <c r="G1123" s="301">
        <f>E1123+F1123</f>
        <v>902047.00316451711</v>
      </c>
      <c r="H1123" s="27">
        <f>G1123/D1123</f>
        <v>2.0247343385247842E-2</v>
      </c>
      <c r="M1123" s="27">
        <f>F1123/G1123</f>
        <v>0</v>
      </c>
      <c r="O1123" t="s">
        <v>0</v>
      </c>
      <c r="P1123" s="299">
        <f>'Schippers 2005&amp;2006 all'!O196</f>
        <v>15.18</v>
      </c>
      <c r="Q1123" s="301" t="b">
        <v>1</v>
      </c>
      <c r="R1123" s="304" t="s">
        <v>1395</v>
      </c>
      <c r="S1123" s="304" t="s">
        <v>52</v>
      </c>
      <c r="T1123" t="s">
        <v>51</v>
      </c>
      <c r="U1123" t="s">
        <v>51</v>
      </c>
      <c r="V1123" s="313">
        <v>0.55000000000000004</v>
      </c>
      <c r="W1123" s="313">
        <v>0.55000000000000004</v>
      </c>
      <c r="X1123" s="306" t="s">
        <v>248</v>
      </c>
      <c r="Y1123" s="334" t="s">
        <v>96</v>
      </c>
      <c r="Z1123" s="314" t="s">
        <v>100</v>
      </c>
      <c r="AB1123" s="334" t="s">
        <v>311</v>
      </c>
      <c r="AC1123" s="334" t="s">
        <v>1702</v>
      </c>
      <c r="AQ1123">
        <v>153</v>
      </c>
    </row>
    <row r="1124" spans="1:51">
      <c r="A1124" s="277" t="s">
        <v>1287</v>
      </c>
      <c r="B1124" s="334" t="s">
        <v>1669</v>
      </c>
      <c r="C1124" s="277">
        <f>'Schippers 2005&amp;2006 all'!B197</f>
        <v>7</v>
      </c>
      <c r="D1124" s="301">
        <f>'Schippers 2005&amp;2006 all'!C197</f>
        <v>44551375.753410995</v>
      </c>
      <c r="E1124" s="301">
        <f>'Schippers 2005&amp;2006 all'!E197</f>
        <v>2879271.446427675</v>
      </c>
      <c r="G1124" s="301">
        <f>E1124+F1124</f>
        <v>2879271.446427675</v>
      </c>
      <c r="H1124" s="27">
        <f>G1124/D1124</f>
        <v>6.4628115243045639E-2</v>
      </c>
      <c r="M1124" s="27">
        <f>F1124/G1124</f>
        <v>0</v>
      </c>
      <c r="O1124" t="s">
        <v>0</v>
      </c>
      <c r="P1124" s="299">
        <f>'Schippers 2005&amp;2006 all'!O197</f>
        <v>15.18</v>
      </c>
      <c r="Q1124" s="301" t="b">
        <v>1</v>
      </c>
      <c r="R1124" s="304" t="s">
        <v>1395</v>
      </c>
      <c r="S1124" s="304" t="s">
        <v>52</v>
      </c>
      <c r="T1124" t="s">
        <v>51</v>
      </c>
      <c r="U1124" t="s">
        <v>51</v>
      </c>
      <c r="V1124" s="313">
        <v>0.55000000000000004</v>
      </c>
      <c r="W1124" s="313">
        <v>0.55000000000000004</v>
      </c>
      <c r="X1124" s="306" t="s">
        <v>248</v>
      </c>
      <c r="Y1124" s="334" t="s">
        <v>96</v>
      </c>
      <c r="Z1124" s="314" t="s">
        <v>100</v>
      </c>
      <c r="AB1124" s="334" t="s">
        <v>311</v>
      </c>
      <c r="AC1124" s="334" t="s">
        <v>1702</v>
      </c>
      <c r="AQ1124">
        <v>153</v>
      </c>
    </row>
    <row r="1125" spans="1:51">
      <c r="A1125" s="277" t="s">
        <v>1287</v>
      </c>
      <c r="B1125" s="334" t="s">
        <v>1669</v>
      </c>
      <c r="C1125" s="277">
        <f>'Schippers 2005&amp;2006 all'!B198</f>
        <v>7.61</v>
      </c>
      <c r="D1125" s="301">
        <f>'Schippers 2005&amp;2006 all'!C198</f>
        <v>44551375.753410995</v>
      </c>
      <c r="P1125" s="303">
        <f>'Schippers 2005&amp;2006 all'!O198</f>
        <v>15.18</v>
      </c>
      <c r="R1125" s="304" t="s">
        <v>1395</v>
      </c>
      <c r="S1125" s="304"/>
      <c r="V1125" s="313"/>
      <c r="W1125" s="313"/>
      <c r="X1125" s="306"/>
      <c r="Y1125" s="334"/>
      <c r="Z1125" s="314"/>
      <c r="AQ1125">
        <v>153</v>
      </c>
    </row>
    <row r="1126" spans="1:51">
      <c r="A1126" s="277" t="s">
        <v>1287</v>
      </c>
      <c r="B1126" s="334" t="s">
        <v>1669</v>
      </c>
      <c r="C1126" s="277">
        <f>'Schippers 2005&amp;2006 all'!B199</f>
        <v>11.2</v>
      </c>
      <c r="D1126" s="301">
        <f>'Schippers 2005&amp;2006 all'!C199</f>
        <v>26195400.237999383</v>
      </c>
      <c r="I1126" s="301">
        <f>'Schippers 2005&amp;2006 all'!H199</f>
        <v>4347615.6179272402</v>
      </c>
      <c r="J1126" s="301">
        <f>'Schippers 2005&amp;2006 all'!I199</f>
        <v>1384319.9366008299</v>
      </c>
      <c r="K1126" s="301">
        <f>I1126+J1126</f>
        <v>5731935.5545280706</v>
      </c>
      <c r="N1126" s="27">
        <f>J1126/K1126</f>
        <v>0.24151003154724157</v>
      </c>
      <c r="P1126" s="303">
        <f>'Schippers 2005&amp;2006 all'!O199</f>
        <v>14.33</v>
      </c>
      <c r="R1126" s="304" t="s">
        <v>1395</v>
      </c>
      <c r="S1126" s="304"/>
      <c r="V1126" s="313"/>
      <c r="W1126" s="313"/>
      <c r="X1126" s="306"/>
      <c r="Y1126" s="326"/>
      <c r="Z1126" s="314"/>
      <c r="AA1126" s="326" t="s">
        <v>1495</v>
      </c>
      <c r="AD1126" s="326" t="s">
        <v>1717</v>
      </c>
      <c r="AE1126" s="326" t="s">
        <v>1725</v>
      </c>
      <c r="AF1126" s="326" t="s">
        <v>1735</v>
      </c>
      <c r="AG1126" s="326" t="s">
        <v>1707</v>
      </c>
      <c r="AH1126" s="326" t="s">
        <v>1714</v>
      </c>
      <c r="AI1126" s="326" t="s">
        <v>1496</v>
      </c>
      <c r="AJ1126" s="326" t="s">
        <v>1487</v>
      </c>
      <c r="AK1126" s="326" t="s">
        <v>1488</v>
      </c>
      <c r="AL1126" s="326" t="s">
        <v>1497</v>
      </c>
      <c r="AO1126" s="326" t="s">
        <v>1494</v>
      </c>
      <c r="AQ1126">
        <v>153</v>
      </c>
      <c r="AV1126" s="326" t="b">
        <v>1</v>
      </c>
      <c r="AW1126" t="b">
        <v>1</v>
      </c>
      <c r="AX1126" t="b">
        <v>1</v>
      </c>
      <c r="AY1126" t="b">
        <v>1</v>
      </c>
    </row>
    <row r="1127" spans="1:51">
      <c r="A1127" s="277" t="s">
        <v>1287</v>
      </c>
      <c r="B1127" s="334" t="s">
        <v>1669</v>
      </c>
      <c r="C1127" s="277">
        <f>'Schippers 2005&amp;2006 all'!B200</f>
        <v>11.68</v>
      </c>
      <c r="D1127" s="301">
        <f>'Schippers 2005&amp;2006 all'!C200</f>
        <v>26195400.237999383</v>
      </c>
      <c r="P1127" s="299">
        <f>'Schippers 2005&amp;2006 all'!O200</f>
        <v>14.33</v>
      </c>
      <c r="R1127" t="s">
        <v>1395</v>
      </c>
      <c r="V1127" s="313"/>
      <c r="W1127" s="313"/>
      <c r="X1127" s="306"/>
      <c r="Y1127" s="326"/>
      <c r="Z1127" s="314"/>
      <c r="AQ1127">
        <v>153</v>
      </c>
    </row>
    <row r="1128" spans="1:51">
      <c r="A1128" s="277" t="s">
        <v>1287</v>
      </c>
      <c r="B1128" s="334" t="s">
        <v>1669</v>
      </c>
      <c r="C1128" s="277">
        <f>'Schippers 2005&amp;2006 all'!B201</f>
        <v>13</v>
      </c>
      <c r="D1128" s="301">
        <f>'Schippers 2005&amp;2006 all'!C201</f>
        <v>26195400.237999383</v>
      </c>
      <c r="E1128" s="301">
        <f>'Schippers 2005&amp;2006 all'!E201</f>
        <v>475747.23677305615</v>
      </c>
      <c r="G1128" s="301">
        <f>E1128+F1128</f>
        <v>475747.23677305615</v>
      </c>
      <c r="H1128" s="27">
        <f>G1128/D1128</f>
        <v>1.816147997169866E-2</v>
      </c>
      <c r="M1128" s="27">
        <f>F1128/G1128</f>
        <v>0</v>
      </c>
      <c r="O1128" t="s">
        <v>0</v>
      </c>
      <c r="P1128" s="299">
        <f>'Schippers 2005&amp;2006 all'!O201</f>
        <v>13.31</v>
      </c>
      <c r="Q1128" s="301" t="b">
        <v>1</v>
      </c>
      <c r="R1128" t="s">
        <v>1395</v>
      </c>
      <c r="S1128" t="s">
        <v>52</v>
      </c>
      <c r="T1128" t="s">
        <v>51</v>
      </c>
      <c r="U1128" t="s">
        <v>51</v>
      </c>
      <c r="V1128" s="313">
        <v>0.55000000000000004</v>
      </c>
      <c r="W1128" s="313">
        <v>0.55000000000000004</v>
      </c>
      <c r="X1128" s="306" t="s">
        <v>248</v>
      </c>
      <c r="Y1128" s="326" t="s">
        <v>96</v>
      </c>
      <c r="Z1128" s="314" t="s">
        <v>100</v>
      </c>
      <c r="AB1128" s="334" t="s">
        <v>311</v>
      </c>
      <c r="AC1128" s="334" t="s">
        <v>1702</v>
      </c>
      <c r="AQ1128">
        <v>153</v>
      </c>
    </row>
    <row r="1129" spans="1:51">
      <c r="A1129" s="277" t="s">
        <v>1287</v>
      </c>
      <c r="B1129" s="334" t="s">
        <v>1669</v>
      </c>
      <c r="C1129" s="277">
        <f>'Schippers 2005&amp;2006 all'!B202</f>
        <v>16.2</v>
      </c>
      <c r="D1129" s="301">
        <f>'Schippers 2005&amp;2006 all'!C202</f>
        <v>22987415.200734541</v>
      </c>
      <c r="I1129" s="301">
        <f>'Schippers 2005&amp;2006 all'!H202</f>
        <v>1230456.1469409899</v>
      </c>
      <c r="J1129" s="301">
        <f>'Schippers 2005&amp;2006 all'!I202</f>
        <v>798965.09590820223</v>
      </c>
      <c r="K1129" s="301">
        <f>I1129+J1129</f>
        <v>2029421.2428491921</v>
      </c>
      <c r="N1129" s="27">
        <f>J1129/K1129</f>
        <v>0.39369110711904276</v>
      </c>
      <c r="P1129" s="299">
        <f>'Schippers 2005&amp;2006 all'!O202</f>
        <v>12.71</v>
      </c>
      <c r="R1129" t="s">
        <v>1395</v>
      </c>
      <c r="V1129" s="313"/>
      <c r="W1129" s="313"/>
      <c r="X1129" s="306"/>
      <c r="Y1129" s="326"/>
      <c r="Z1129" s="314"/>
      <c r="AA1129" s="326" t="s">
        <v>1495</v>
      </c>
      <c r="AD1129" s="326" t="s">
        <v>1717</v>
      </c>
      <c r="AE1129" s="326" t="s">
        <v>1725</v>
      </c>
      <c r="AF1129" s="326" t="s">
        <v>1735</v>
      </c>
      <c r="AG1129" s="326" t="s">
        <v>1707</v>
      </c>
      <c r="AH1129" s="326" t="s">
        <v>1714</v>
      </c>
      <c r="AI1129" s="326" t="s">
        <v>1496</v>
      </c>
      <c r="AJ1129" s="326" t="s">
        <v>1487</v>
      </c>
      <c r="AK1129" s="326" t="s">
        <v>1488</v>
      </c>
      <c r="AL1129" s="326" t="s">
        <v>1497</v>
      </c>
      <c r="AO1129" s="326" t="s">
        <v>1494</v>
      </c>
      <c r="AQ1129">
        <v>153</v>
      </c>
      <c r="AV1129" s="326" t="b">
        <v>1</v>
      </c>
      <c r="AW1129" t="b">
        <v>1</v>
      </c>
      <c r="AX1129" t="b">
        <v>1</v>
      </c>
      <c r="AY1129" t="b">
        <v>1</v>
      </c>
    </row>
    <row r="1130" spans="1:51">
      <c r="A1130" s="277" t="s">
        <v>1287</v>
      </c>
      <c r="B1130" s="334" t="s">
        <v>1669</v>
      </c>
      <c r="C1130" s="277">
        <f>'Schippers 2005&amp;2006 all'!B203</f>
        <v>16.920000000000002</v>
      </c>
      <c r="D1130" s="301">
        <f>'Schippers 2005&amp;2006 all'!C203</f>
        <v>22987415.200734541</v>
      </c>
      <c r="P1130" s="327">
        <f>'Schippers 2005&amp;2006 all'!O203</f>
        <v>12.71</v>
      </c>
      <c r="R1130" t="s">
        <v>1395</v>
      </c>
      <c r="V1130" s="313"/>
      <c r="W1130" s="313"/>
      <c r="X1130" s="306"/>
      <c r="Y1130" s="321"/>
      <c r="Z1130" s="314"/>
      <c r="AQ1130">
        <v>153</v>
      </c>
    </row>
    <row r="1131" spans="1:51">
      <c r="A1131" s="277" t="s">
        <v>1287</v>
      </c>
      <c r="B1131" s="334" t="s">
        <v>1669</v>
      </c>
      <c r="C1131" s="277">
        <f>'Schippers 2005&amp;2006 all'!B204</f>
        <v>17</v>
      </c>
      <c r="D1131" s="301">
        <f>'Schippers 2005&amp;2006 all'!C204</f>
        <v>22987415.200734541</v>
      </c>
      <c r="E1131" s="301">
        <f>'Schippers 2005&amp;2006 all'!E204</f>
        <v>3673429.3629296971</v>
      </c>
      <c r="G1131" s="301">
        <f>E1131+F1131</f>
        <v>3673429.3629296971</v>
      </c>
      <c r="H1131" s="27">
        <f>G1131/D1131</f>
        <v>0.15980175808597724</v>
      </c>
      <c r="M1131" s="27">
        <f>F1131/G1131</f>
        <v>0</v>
      </c>
      <c r="O1131" t="s">
        <v>0</v>
      </c>
      <c r="P1131" s="327">
        <f>'Schippers 2005&amp;2006 all'!O204</f>
        <v>8.43</v>
      </c>
      <c r="Q1131" s="301" t="b">
        <v>1</v>
      </c>
      <c r="R1131" t="s">
        <v>1395</v>
      </c>
      <c r="S1131" t="s">
        <v>52</v>
      </c>
      <c r="T1131" t="s">
        <v>51</v>
      </c>
      <c r="U1131" t="s">
        <v>51</v>
      </c>
      <c r="V1131" s="313">
        <v>0.55000000000000004</v>
      </c>
      <c r="W1131" s="313">
        <v>0.55000000000000004</v>
      </c>
      <c r="X1131" s="306" t="s">
        <v>248</v>
      </c>
      <c r="Y1131" s="323" t="s">
        <v>96</v>
      </c>
      <c r="Z1131" s="314" t="s">
        <v>100</v>
      </c>
      <c r="AB1131" s="334" t="s">
        <v>311</v>
      </c>
      <c r="AC1131" s="334" t="s">
        <v>1702</v>
      </c>
      <c r="AQ1131">
        <v>153</v>
      </c>
    </row>
    <row r="1132" spans="1:51">
      <c r="A1132" s="277" t="s">
        <v>1287</v>
      </c>
      <c r="B1132" s="334" t="s">
        <v>1669</v>
      </c>
      <c r="C1132" s="277">
        <f>'Schippers 2005&amp;2006 all'!B205</f>
        <v>20.7</v>
      </c>
      <c r="D1132" s="301">
        <f>'Schippers 2005&amp;2006 all'!C205</f>
        <v>14978139.971110297</v>
      </c>
      <c r="I1132" s="301">
        <f>'Schippers 2005&amp;2006 all'!H205</f>
        <v>6015297.9014943698</v>
      </c>
      <c r="J1132" s="301">
        <f>'Schippers 2005&amp;2006 all'!I205</f>
        <v>1081645.9791552401</v>
      </c>
      <c r="K1132" s="301">
        <f>I1132+J1132</f>
        <v>7096943.8806496095</v>
      </c>
      <c r="N1132" s="27">
        <f>J1132/K1132</f>
        <v>0.15241010741319727</v>
      </c>
      <c r="P1132" s="299">
        <f>'Schippers 2005&amp;2006 all'!O205</f>
        <v>6.14</v>
      </c>
      <c r="R1132" t="s">
        <v>1395</v>
      </c>
      <c r="V1132" s="313"/>
      <c r="W1132" s="313"/>
      <c r="X1132" s="306"/>
      <c r="Z1132" s="314"/>
      <c r="AA1132" s="326" t="s">
        <v>1495</v>
      </c>
      <c r="AD1132" s="326" t="s">
        <v>1717</v>
      </c>
      <c r="AE1132" s="326" t="s">
        <v>1725</v>
      </c>
      <c r="AF1132" s="326" t="s">
        <v>1735</v>
      </c>
      <c r="AG1132" s="326" t="s">
        <v>1707</v>
      </c>
      <c r="AH1132" s="326" t="s">
        <v>1714</v>
      </c>
      <c r="AI1132" s="326" t="s">
        <v>1496</v>
      </c>
      <c r="AJ1132" s="326" t="s">
        <v>1487</v>
      </c>
      <c r="AK1132" s="326" t="s">
        <v>1488</v>
      </c>
      <c r="AL1132" s="326" t="s">
        <v>1497</v>
      </c>
      <c r="AO1132" s="326" t="s">
        <v>1494</v>
      </c>
      <c r="AQ1132">
        <v>153</v>
      </c>
      <c r="AV1132" s="326" t="b">
        <v>1</v>
      </c>
      <c r="AW1132" t="b">
        <v>1</v>
      </c>
      <c r="AX1132" t="b">
        <v>1</v>
      </c>
      <c r="AY1132" t="b">
        <v>1</v>
      </c>
    </row>
    <row r="1133" spans="1:51">
      <c r="A1133" s="277" t="s">
        <v>1287</v>
      </c>
      <c r="B1133" s="334" t="s">
        <v>1669</v>
      </c>
      <c r="C1133" s="277">
        <f>'Schippers 2005&amp;2006 all'!B206</f>
        <v>20.98</v>
      </c>
      <c r="D1133" s="301">
        <f>'Schippers 2005&amp;2006 all'!C206</f>
        <v>14978139.971110297</v>
      </c>
      <c r="P1133" s="299">
        <f>'Schippers 2005&amp;2006 all'!O206</f>
        <v>6.14</v>
      </c>
      <c r="R1133" t="s">
        <v>1395</v>
      </c>
      <c r="V1133" s="313"/>
      <c r="W1133" s="313"/>
      <c r="X1133" s="306"/>
      <c r="Z1133" s="314"/>
      <c r="AQ1133">
        <v>153</v>
      </c>
    </row>
    <row r="1134" spans="1:51">
      <c r="A1134" s="277" t="s">
        <v>1287</v>
      </c>
      <c r="B1134" s="334" t="s">
        <v>1669</v>
      </c>
      <c r="C1134" s="277">
        <f>'Schippers 2005&amp;2006 all'!B207</f>
        <v>25.7</v>
      </c>
      <c r="D1134" s="301">
        <f>'Schippers 2005&amp;2006 all'!C207</f>
        <v>118083205.89871101</v>
      </c>
      <c r="I1134" s="301">
        <f>'Schippers 2005&amp;2006 all'!H207</f>
        <v>1236095.8267982299</v>
      </c>
      <c r="J1134" s="301">
        <f>'Schippers 2005&amp;2006 all'!I207</f>
        <v>548949.17938699899</v>
      </c>
      <c r="K1134" s="301">
        <f>I1134+J1134</f>
        <v>1785045.0061852289</v>
      </c>
      <c r="N1134" s="27">
        <f>J1134/K1134</f>
        <v>0.30752680043633374</v>
      </c>
      <c r="P1134" s="299">
        <f>'Schippers 2005&amp;2006 all'!O207</f>
        <v>2.88</v>
      </c>
      <c r="R1134" t="s">
        <v>1395</v>
      </c>
      <c r="V1134" s="313"/>
      <c r="W1134" s="313"/>
      <c r="X1134" s="306"/>
      <c r="Z1134" s="314"/>
      <c r="AA1134" s="326" t="s">
        <v>1495</v>
      </c>
      <c r="AD1134" s="326" t="s">
        <v>1717</v>
      </c>
      <c r="AE1134" s="326" t="s">
        <v>1725</v>
      </c>
      <c r="AF1134" s="326" t="s">
        <v>1735</v>
      </c>
      <c r="AG1134" s="326" t="s">
        <v>1707</v>
      </c>
      <c r="AH1134" s="326" t="s">
        <v>1714</v>
      </c>
      <c r="AI1134" s="326" t="s">
        <v>1496</v>
      </c>
      <c r="AJ1134" s="326" t="s">
        <v>1487</v>
      </c>
      <c r="AK1134" s="326" t="s">
        <v>1488</v>
      </c>
      <c r="AL1134" s="326" t="s">
        <v>1497</v>
      </c>
      <c r="AO1134" s="326" t="s">
        <v>1494</v>
      </c>
      <c r="AQ1134">
        <v>153</v>
      </c>
      <c r="AV1134" s="326" t="b">
        <v>1</v>
      </c>
      <c r="AW1134" t="b">
        <v>1</v>
      </c>
      <c r="AX1134" t="b">
        <v>1</v>
      </c>
      <c r="AY1134" t="b">
        <v>1</v>
      </c>
    </row>
    <row r="1135" spans="1:51">
      <c r="A1135" s="277" t="s">
        <v>1287</v>
      </c>
      <c r="B1135" s="334" t="s">
        <v>1669</v>
      </c>
      <c r="C1135" s="277">
        <f>'Schippers 2005&amp;2006 all'!B208</f>
        <v>26</v>
      </c>
      <c r="D1135" s="301">
        <f>'Schippers 2005&amp;2006 all'!C208</f>
        <v>118083205.89871101</v>
      </c>
      <c r="E1135" s="301">
        <f>'Schippers 2005&amp;2006 all'!E208</f>
        <v>1291926.2312181545</v>
      </c>
      <c r="G1135" s="301">
        <f>E1135+F1135</f>
        <v>1291926.2312181545</v>
      </c>
      <c r="H1135" s="27">
        <f>G1135/D1135</f>
        <v>1.0940812636187557E-2</v>
      </c>
      <c r="M1135" s="27">
        <f>F1135/G1135</f>
        <v>0</v>
      </c>
      <c r="O1135" t="s">
        <v>0</v>
      </c>
      <c r="P1135" s="303">
        <f>'Schippers 2005&amp;2006 all'!O208</f>
        <v>2.88</v>
      </c>
      <c r="Q1135" s="301" t="b">
        <v>1</v>
      </c>
      <c r="R1135" t="s">
        <v>1395</v>
      </c>
      <c r="S1135" t="s">
        <v>52</v>
      </c>
      <c r="T1135" t="s">
        <v>51</v>
      </c>
      <c r="U1135" t="s">
        <v>51</v>
      </c>
      <c r="V1135" s="313">
        <v>0.55000000000000004</v>
      </c>
      <c r="W1135" s="313">
        <v>0.55000000000000004</v>
      </c>
      <c r="X1135" s="306" t="s">
        <v>248</v>
      </c>
      <c r="Y1135" s="328" t="s">
        <v>96</v>
      </c>
      <c r="Z1135" s="314" t="s">
        <v>100</v>
      </c>
      <c r="AB1135" s="334" t="s">
        <v>311</v>
      </c>
      <c r="AC1135" s="334" t="s">
        <v>1702</v>
      </c>
      <c r="AQ1135">
        <v>153</v>
      </c>
    </row>
    <row r="1136" spans="1:51">
      <c r="A1136" s="277" t="s">
        <v>1287</v>
      </c>
      <c r="B1136" s="334" t="s">
        <v>1669</v>
      </c>
      <c r="C1136" s="277">
        <f>'Schippers 2005&amp;2006 all'!B209</f>
        <v>29</v>
      </c>
      <c r="D1136" s="301">
        <f>'Schippers 2005&amp;2006 all'!C209</f>
        <v>118083205.89871101</v>
      </c>
      <c r="E1136" s="301">
        <f>'Schippers 2005&amp;2006 all'!E209</f>
        <v>274777.95263496996</v>
      </c>
      <c r="G1136" s="301">
        <f>E1136+F1136</f>
        <v>274777.95263496996</v>
      </c>
      <c r="H1136" s="27">
        <f>G1136/D1136</f>
        <v>2.3269858786749745E-3</v>
      </c>
      <c r="M1136" s="27">
        <f>F1136/G1136</f>
        <v>0</v>
      </c>
      <c r="O1136" t="s">
        <v>0</v>
      </c>
      <c r="P1136" s="299">
        <f>'Schippers 2005&amp;2006 all'!O209</f>
        <v>1.35</v>
      </c>
      <c r="Q1136" s="301" t="b">
        <v>1</v>
      </c>
      <c r="R1136" t="s">
        <v>1395</v>
      </c>
      <c r="S1136" t="s">
        <v>52</v>
      </c>
      <c r="T1136" t="s">
        <v>51</v>
      </c>
      <c r="U1136" t="s">
        <v>51</v>
      </c>
      <c r="V1136" s="313">
        <v>0.55000000000000004</v>
      </c>
      <c r="W1136" s="313">
        <v>0.55000000000000004</v>
      </c>
      <c r="X1136" s="306" t="s">
        <v>248</v>
      </c>
      <c r="Y1136" s="328" t="s">
        <v>96</v>
      </c>
      <c r="Z1136" s="314" t="s">
        <v>100</v>
      </c>
      <c r="AB1136" s="334" t="s">
        <v>311</v>
      </c>
      <c r="AC1136" s="334" t="s">
        <v>1702</v>
      </c>
      <c r="AQ1136">
        <v>153</v>
      </c>
    </row>
    <row r="1137" spans="1:51">
      <c r="A1137" s="277" t="s">
        <v>1287</v>
      </c>
      <c r="B1137" s="334" t="s">
        <v>1669</v>
      </c>
      <c r="C1137" s="277">
        <f>'Schippers 2005&amp;2006 all'!B210</f>
        <v>29.81</v>
      </c>
      <c r="D1137" s="301">
        <f>'Schippers 2005&amp;2006 all'!C210</f>
        <v>118083205.89871101</v>
      </c>
      <c r="P1137" s="299">
        <f>'Schippers 2005&amp;2006 all'!O210</f>
        <v>1.35</v>
      </c>
      <c r="R1137" t="s">
        <v>1395</v>
      </c>
      <c r="V1137" s="313"/>
      <c r="W1137" s="313"/>
      <c r="X1137" s="306"/>
      <c r="Y1137" s="334"/>
      <c r="Z1137" s="314"/>
      <c r="AQ1137">
        <v>153</v>
      </c>
    </row>
    <row r="1138" spans="1:51">
      <c r="A1138" s="277" t="s">
        <v>1287</v>
      </c>
      <c r="B1138" s="334" t="s">
        <v>1669</v>
      </c>
      <c r="C1138" s="277">
        <f>'Schippers 2005&amp;2006 all'!B211</f>
        <v>30</v>
      </c>
      <c r="D1138" s="301">
        <f>'Schippers 2005&amp;2006 all'!C211</f>
        <v>118083205.89871101</v>
      </c>
      <c r="J1138" s="301">
        <f>'Schippers 2005&amp;2006 all'!I211</f>
        <v>5480480.9065833902</v>
      </c>
      <c r="P1138" s="299">
        <f>'Schippers 2005&amp;2006 all'!O211</f>
        <v>0.73</v>
      </c>
      <c r="R1138" t="s">
        <v>1395</v>
      </c>
      <c r="V1138" s="313"/>
      <c r="W1138" s="313"/>
      <c r="X1138" s="306"/>
      <c r="Y1138" s="328"/>
      <c r="Z1138" s="314"/>
      <c r="AA1138" s="326" t="s">
        <v>1495</v>
      </c>
      <c r="AD1138" s="326" t="s">
        <v>1717</v>
      </c>
      <c r="AE1138" s="326" t="s">
        <v>1725</v>
      </c>
      <c r="AF1138" s="326" t="s">
        <v>1735</v>
      </c>
      <c r="AG1138" s="326" t="s">
        <v>1707</v>
      </c>
      <c r="AH1138" s="326" t="s">
        <v>1714</v>
      </c>
      <c r="AI1138" s="326" t="s">
        <v>1496</v>
      </c>
      <c r="AJ1138" s="326" t="s">
        <v>1487</v>
      </c>
      <c r="AK1138" s="326" t="s">
        <v>1488</v>
      </c>
      <c r="AL1138" s="326" t="s">
        <v>1497</v>
      </c>
      <c r="AO1138" s="326" t="s">
        <v>1494</v>
      </c>
      <c r="AQ1138">
        <v>153</v>
      </c>
      <c r="AV1138" s="326" t="b">
        <v>1</v>
      </c>
      <c r="AW1138" t="b">
        <v>1</v>
      </c>
      <c r="AX1138" t="b">
        <v>1</v>
      </c>
      <c r="AY1138" t="b">
        <v>1</v>
      </c>
    </row>
    <row r="1139" spans="1:51">
      <c r="A1139" s="277" t="s">
        <v>1287</v>
      </c>
      <c r="B1139" s="334" t="s">
        <v>1669</v>
      </c>
      <c r="C1139" s="277">
        <f>'Schippers 2005&amp;2006 all'!B212</f>
        <v>30.1</v>
      </c>
      <c r="D1139" s="301">
        <f>'Schippers 2005&amp;2006 all'!C212</f>
        <v>118083205.89871101</v>
      </c>
      <c r="I1139" s="301">
        <f>'Schippers 2005&amp;2006 all'!H212</f>
        <v>104083.19850129379</v>
      </c>
      <c r="J1139" s="301">
        <f>'Schippers 2005&amp;2006 all'!I212</f>
        <v>87127.976867793957</v>
      </c>
      <c r="K1139" s="301">
        <f>I1139+J1139</f>
        <v>191211.17536908775</v>
      </c>
      <c r="N1139" s="27">
        <f>J1139/K1139</f>
        <v>0.45566362269158223</v>
      </c>
      <c r="P1139" s="299">
        <f>'Schippers 2005&amp;2006 all'!O212</f>
        <v>0.73</v>
      </c>
      <c r="R1139" t="s">
        <v>1395</v>
      </c>
      <c r="V1139" s="313"/>
      <c r="W1139" s="313"/>
      <c r="X1139" s="306"/>
      <c r="Y1139" s="328"/>
      <c r="Z1139" s="314"/>
      <c r="AA1139" s="326" t="s">
        <v>1495</v>
      </c>
      <c r="AD1139" s="326" t="s">
        <v>1717</v>
      </c>
      <c r="AE1139" s="326" t="s">
        <v>1725</v>
      </c>
      <c r="AF1139" s="326" t="s">
        <v>1735</v>
      </c>
      <c r="AG1139" s="326" t="s">
        <v>1707</v>
      </c>
      <c r="AH1139" s="326" t="s">
        <v>1714</v>
      </c>
      <c r="AI1139" s="326" t="s">
        <v>1496</v>
      </c>
      <c r="AJ1139" s="326" t="s">
        <v>1487</v>
      </c>
      <c r="AK1139" s="326" t="s">
        <v>1488</v>
      </c>
      <c r="AL1139" s="326" t="s">
        <v>1497</v>
      </c>
      <c r="AO1139" s="326" t="s">
        <v>1494</v>
      </c>
      <c r="AQ1139">
        <v>153</v>
      </c>
      <c r="AV1139" s="326" t="b">
        <v>1</v>
      </c>
      <c r="AW1139" t="b">
        <v>1</v>
      </c>
      <c r="AX1139" t="b">
        <v>1</v>
      </c>
      <c r="AY1139" t="b">
        <v>1</v>
      </c>
    </row>
    <row r="1140" spans="1:51">
      <c r="A1140" s="277" t="s">
        <v>1287</v>
      </c>
      <c r="B1140" s="334" t="s">
        <v>1669</v>
      </c>
      <c r="C1140" s="277">
        <f>'Schippers 2005&amp;2006 all'!B213</f>
        <v>30.2</v>
      </c>
      <c r="D1140" s="301">
        <f>'Schippers 2005&amp;2006 all'!C213</f>
        <v>86492480.112921551</v>
      </c>
      <c r="I1140" s="301">
        <f>'Schippers 2005&amp;2006 all'!H213</f>
        <v>3859811.8952126498</v>
      </c>
      <c r="J1140" s="301">
        <f>'Schippers 2005&amp;2006 all'!I213</f>
        <v>606823.1495131331</v>
      </c>
      <c r="K1140" s="301">
        <f>I1140+J1140</f>
        <v>4466635.0447257832</v>
      </c>
      <c r="N1140" s="27">
        <f>J1140/K1140</f>
        <v>0.13585689079963489</v>
      </c>
      <c r="P1140" s="299">
        <f>'Schippers 2005&amp;2006 all'!O213</f>
        <v>0.73</v>
      </c>
      <c r="R1140" t="s">
        <v>1395</v>
      </c>
      <c r="V1140" s="313"/>
      <c r="W1140" s="313"/>
      <c r="X1140" s="306"/>
      <c r="Y1140" s="328"/>
      <c r="Z1140" s="314"/>
      <c r="AA1140" s="326" t="s">
        <v>1495</v>
      </c>
      <c r="AD1140" s="326" t="s">
        <v>1717</v>
      </c>
      <c r="AE1140" s="326" t="s">
        <v>1725</v>
      </c>
      <c r="AF1140" s="326" t="s">
        <v>1735</v>
      </c>
      <c r="AG1140" s="326" t="s">
        <v>1707</v>
      </c>
      <c r="AH1140" s="326" t="s">
        <v>1714</v>
      </c>
      <c r="AI1140" s="326" t="s">
        <v>1496</v>
      </c>
      <c r="AJ1140" s="326" t="s">
        <v>1487</v>
      </c>
      <c r="AK1140" s="326" t="s">
        <v>1488</v>
      </c>
      <c r="AL1140" s="326" t="s">
        <v>1497</v>
      </c>
      <c r="AO1140" s="326" t="s">
        <v>1494</v>
      </c>
      <c r="AQ1140">
        <v>153</v>
      </c>
      <c r="AV1140" s="326" t="b">
        <v>1</v>
      </c>
      <c r="AW1140" t="b">
        <v>1</v>
      </c>
      <c r="AX1140" t="b">
        <v>1</v>
      </c>
      <c r="AY1140" t="b">
        <v>1</v>
      </c>
    </row>
    <row r="1141" spans="1:51">
      <c r="A1141" s="277" t="s">
        <v>1287</v>
      </c>
      <c r="B1141" s="334" t="s">
        <v>1669</v>
      </c>
      <c r="C1141" s="277">
        <f>'Schippers 2005&amp;2006 all'!B214</f>
        <v>30.2</v>
      </c>
      <c r="D1141" s="301">
        <f>'Schippers 2005&amp;2006 all'!C214</f>
        <v>86492480.112921551</v>
      </c>
      <c r="I1141" s="301">
        <f>'Schippers 2005&amp;2006 all'!H214</f>
        <v>17850100.6407093</v>
      </c>
      <c r="J1141" s="301">
        <f>'Schippers 2005&amp;2006 all'!I214</f>
        <v>4415575.7108852603</v>
      </c>
      <c r="K1141" s="301">
        <f>I1141+J1141</f>
        <v>22265676.35159456</v>
      </c>
      <c r="N1141" s="27">
        <f>J1141/K1141</f>
        <v>0.19831311841416568</v>
      </c>
      <c r="P1141" s="299">
        <f>'Schippers 2005&amp;2006 all'!O214</f>
        <v>0.73</v>
      </c>
      <c r="R1141" t="s">
        <v>1395</v>
      </c>
      <c r="V1141" s="313"/>
      <c r="W1141" s="313"/>
      <c r="X1141" s="306"/>
      <c r="Y1141" s="328"/>
      <c r="Z1141" s="314"/>
      <c r="AA1141" s="326" t="s">
        <v>1495</v>
      </c>
      <c r="AD1141" s="326" t="s">
        <v>1717</v>
      </c>
      <c r="AE1141" s="326" t="s">
        <v>1725</v>
      </c>
      <c r="AF1141" s="326" t="s">
        <v>1735</v>
      </c>
      <c r="AG1141" s="326" t="s">
        <v>1707</v>
      </c>
      <c r="AH1141" s="326" t="s">
        <v>1714</v>
      </c>
      <c r="AI1141" s="326" t="s">
        <v>1496</v>
      </c>
      <c r="AJ1141" s="326" t="s">
        <v>1487</v>
      </c>
      <c r="AK1141" s="326" t="s">
        <v>1488</v>
      </c>
      <c r="AL1141" s="326" t="s">
        <v>1497</v>
      </c>
      <c r="AO1141" s="326" t="s">
        <v>1494</v>
      </c>
      <c r="AQ1141">
        <v>153</v>
      </c>
      <c r="AV1141" s="326" t="b">
        <v>1</v>
      </c>
      <c r="AW1141" t="b">
        <v>1</v>
      </c>
      <c r="AX1141" t="b">
        <v>1</v>
      </c>
      <c r="AY1141" t="b">
        <v>1</v>
      </c>
    </row>
    <row r="1142" spans="1:51">
      <c r="A1142" s="277" t="s">
        <v>1287</v>
      </c>
      <c r="B1142" s="334" t="s">
        <v>1669</v>
      </c>
      <c r="C1142" s="277">
        <f>'Schippers 2005&amp;2006 all'!B215</f>
        <v>30.57</v>
      </c>
      <c r="D1142" s="301">
        <f>'Schippers 2005&amp;2006 all'!C215</f>
        <v>86492480.112921551</v>
      </c>
      <c r="P1142" s="299">
        <f>'Schippers 2005&amp;2006 all'!O215</f>
        <v>0.73</v>
      </c>
      <c r="R1142" t="s">
        <v>1395</v>
      </c>
      <c r="V1142" s="313"/>
      <c r="W1142" s="313"/>
      <c r="X1142" s="306"/>
      <c r="Y1142" s="334"/>
      <c r="Z1142" s="314"/>
      <c r="AQ1142">
        <v>153</v>
      </c>
    </row>
    <row r="1143" spans="1:51">
      <c r="A1143" s="277" t="s">
        <v>1287</v>
      </c>
      <c r="B1143" s="334" t="s">
        <v>1669</v>
      </c>
      <c r="C1143" s="277">
        <f>'Schippers 2005&amp;2006 all'!B216</f>
        <v>30.87</v>
      </c>
      <c r="D1143" s="301">
        <f>'Schippers 2005&amp;2006 all'!C216</f>
        <v>81886789.560731426</v>
      </c>
      <c r="P1143" s="304">
        <f>'Schippers 2005&amp;2006 all'!O216</f>
        <v>0.73</v>
      </c>
      <c r="R1143" t="s">
        <v>1395</v>
      </c>
      <c r="V1143" s="313"/>
      <c r="W1143" s="313"/>
      <c r="X1143" s="306"/>
      <c r="Y1143" s="323"/>
      <c r="Z1143" s="314"/>
      <c r="AQ1143">
        <v>153</v>
      </c>
    </row>
    <row r="1144" spans="1:51">
      <c r="A1144" s="277" t="s">
        <v>1287</v>
      </c>
      <c r="B1144" s="334" t="s">
        <v>1669</v>
      </c>
      <c r="C1144" s="277">
        <f>'Schippers 2005&amp;2006 all'!B217</f>
        <v>31</v>
      </c>
      <c r="D1144" s="301">
        <f>'Schippers 2005&amp;2006 all'!C217</f>
        <v>86492480.112921551</v>
      </c>
      <c r="E1144" s="301">
        <f>'Schippers 2005&amp;2006 all'!E217</f>
        <v>967232.5038523823</v>
      </c>
      <c r="G1144" s="301">
        <f>E1144+F1144</f>
        <v>967232.5038523823</v>
      </c>
      <c r="H1144" s="27">
        <f>G1144/D1144</f>
        <v>1.1182850839629034E-2</v>
      </c>
      <c r="M1144" s="27">
        <f>F1144/G1144</f>
        <v>0</v>
      </c>
      <c r="O1144" t="s">
        <v>0</v>
      </c>
      <c r="P1144" s="304">
        <f>'Schippers 2005&amp;2006 all'!O217</f>
        <v>1</v>
      </c>
      <c r="Q1144" s="301" t="b">
        <v>1</v>
      </c>
      <c r="R1144" t="s">
        <v>1395</v>
      </c>
      <c r="S1144" t="s">
        <v>52</v>
      </c>
      <c r="T1144" t="s">
        <v>51</v>
      </c>
      <c r="U1144" t="s">
        <v>51</v>
      </c>
      <c r="V1144" s="313">
        <v>0.55000000000000004</v>
      </c>
      <c r="W1144" s="313">
        <v>0.55000000000000004</v>
      </c>
      <c r="X1144" s="306" t="s">
        <v>248</v>
      </c>
      <c r="Y1144" s="323" t="s">
        <v>96</v>
      </c>
      <c r="Z1144" s="314" t="s">
        <v>100</v>
      </c>
      <c r="AB1144" s="334" t="s">
        <v>311</v>
      </c>
      <c r="AC1144" s="334" t="s">
        <v>1702</v>
      </c>
      <c r="AQ1144">
        <v>153</v>
      </c>
    </row>
    <row r="1145" spans="1:51">
      <c r="A1145" s="277" t="s">
        <v>1287</v>
      </c>
      <c r="B1145" s="334" t="s">
        <v>1669</v>
      </c>
      <c r="C1145" s="277">
        <f>'Schippers 2005&amp;2006 all'!B218</f>
        <v>31.5</v>
      </c>
      <c r="D1145" s="301">
        <f>'Schippers 2005&amp;2006 all'!C218</f>
        <v>86492480.112921551</v>
      </c>
      <c r="J1145" s="301">
        <f>'Schippers 2005&amp;2006 all'!I218</f>
        <v>3062514.52767601</v>
      </c>
      <c r="P1145" s="293">
        <f>'Schippers 2005&amp;2006 all'!O218</f>
        <v>0.62</v>
      </c>
      <c r="R1145" t="s">
        <v>1395</v>
      </c>
      <c r="V1145" s="313"/>
      <c r="W1145" s="313"/>
      <c r="X1145" s="306"/>
      <c r="Y1145" s="323"/>
      <c r="Z1145" s="314"/>
      <c r="AA1145" s="326" t="s">
        <v>1495</v>
      </c>
      <c r="AD1145" s="326" t="s">
        <v>1717</v>
      </c>
      <c r="AE1145" s="326" t="s">
        <v>1725</v>
      </c>
      <c r="AF1145" s="326" t="s">
        <v>1735</v>
      </c>
      <c r="AG1145" s="326" t="s">
        <v>1707</v>
      </c>
      <c r="AH1145" s="326" t="s">
        <v>1714</v>
      </c>
      <c r="AI1145" s="326" t="s">
        <v>1496</v>
      </c>
      <c r="AJ1145" s="326" t="s">
        <v>1487</v>
      </c>
      <c r="AK1145" s="326" t="s">
        <v>1488</v>
      </c>
      <c r="AL1145" s="326" t="s">
        <v>1497</v>
      </c>
      <c r="AO1145" s="326" t="s">
        <v>1494</v>
      </c>
      <c r="AQ1145">
        <v>153</v>
      </c>
      <c r="AV1145" s="326" t="b">
        <v>1</v>
      </c>
      <c r="AW1145" t="b">
        <v>1</v>
      </c>
      <c r="AX1145" t="b">
        <v>1</v>
      </c>
      <c r="AY1145" t="b">
        <v>1</v>
      </c>
    </row>
    <row r="1146" spans="1:51">
      <c r="A1146" s="277" t="s">
        <v>1287</v>
      </c>
      <c r="B1146" s="334" t="s">
        <v>1669</v>
      </c>
      <c r="C1146" s="277">
        <f>'Schippers 2005&amp;2006 all'!B219</f>
        <v>31.6</v>
      </c>
      <c r="D1146" s="301">
        <f>'Schippers 2005&amp;2006 all'!C219</f>
        <v>86492480.112921551</v>
      </c>
      <c r="I1146" s="301">
        <f>'Schippers 2005&amp;2006 all'!H219</f>
        <v>26494709.2235744</v>
      </c>
      <c r="J1146" s="301">
        <f>'Schippers 2005&amp;2006 all'!I219</f>
        <v>3212741.8030680399</v>
      </c>
      <c r="K1146" s="301">
        <f>I1146+J1146</f>
        <v>29707451.026642442</v>
      </c>
      <c r="N1146" s="27">
        <f>J1146/K1146</f>
        <v>0.10814599341379934</v>
      </c>
      <c r="P1146" s="324">
        <f>'Schippers 2005&amp;2006 all'!O219</f>
        <v>0.62</v>
      </c>
      <c r="R1146" t="s">
        <v>1395</v>
      </c>
      <c r="V1146" s="313"/>
      <c r="W1146" s="313"/>
      <c r="X1146" s="306"/>
      <c r="Z1146" s="314"/>
      <c r="AA1146" s="326" t="s">
        <v>1495</v>
      </c>
      <c r="AD1146" s="326" t="s">
        <v>1717</v>
      </c>
      <c r="AE1146" s="326" t="s">
        <v>1725</v>
      </c>
      <c r="AF1146" s="326" t="s">
        <v>1735</v>
      </c>
      <c r="AG1146" s="326" t="s">
        <v>1707</v>
      </c>
      <c r="AH1146" s="326" t="s">
        <v>1714</v>
      </c>
      <c r="AI1146" s="326" t="s">
        <v>1496</v>
      </c>
      <c r="AJ1146" s="326" t="s">
        <v>1487</v>
      </c>
      <c r="AK1146" s="326" t="s">
        <v>1488</v>
      </c>
      <c r="AL1146" s="326" t="s">
        <v>1497</v>
      </c>
      <c r="AO1146" s="326" t="s">
        <v>1494</v>
      </c>
      <c r="AQ1146">
        <v>153</v>
      </c>
      <c r="AV1146" s="326" t="b">
        <v>1</v>
      </c>
      <c r="AW1146" t="b">
        <v>1</v>
      </c>
      <c r="AX1146" t="b">
        <v>1</v>
      </c>
      <c r="AY1146" t="b">
        <v>1</v>
      </c>
    </row>
    <row r="1147" spans="1:51">
      <c r="A1147" s="277" t="s">
        <v>1287</v>
      </c>
      <c r="B1147" s="334" t="s">
        <v>1669</v>
      </c>
      <c r="C1147" s="277">
        <f>'Schippers 2005&amp;2006 all'!B220</f>
        <v>32.1</v>
      </c>
      <c r="D1147" s="301">
        <f>'Schippers 2005&amp;2006 all'!C220</f>
        <v>86492480.112921551</v>
      </c>
      <c r="J1147" s="301">
        <f>'Schippers 2005&amp;2006 all'!I220</f>
        <v>1058856.6496339999</v>
      </c>
      <c r="P1147" s="304">
        <f>'Schippers 2005&amp;2006 all'!O220</f>
        <v>0.62</v>
      </c>
      <c r="R1147" t="s">
        <v>1395</v>
      </c>
      <c r="V1147" s="313"/>
      <c r="W1147" s="313"/>
      <c r="X1147" s="306"/>
      <c r="Z1147" s="314"/>
      <c r="AA1147" s="326" t="s">
        <v>1495</v>
      </c>
      <c r="AD1147" s="326" t="s">
        <v>1717</v>
      </c>
      <c r="AE1147" s="326" t="s">
        <v>1725</v>
      </c>
      <c r="AF1147" s="326" t="s">
        <v>1735</v>
      </c>
      <c r="AG1147" s="326" t="s">
        <v>1707</v>
      </c>
      <c r="AH1147" s="326" t="s">
        <v>1714</v>
      </c>
      <c r="AI1147" s="326" t="s">
        <v>1496</v>
      </c>
      <c r="AJ1147" s="326" t="s">
        <v>1487</v>
      </c>
      <c r="AK1147" s="326" t="s">
        <v>1488</v>
      </c>
      <c r="AL1147" s="326" t="s">
        <v>1497</v>
      </c>
      <c r="AO1147" s="326" t="s">
        <v>1494</v>
      </c>
      <c r="AQ1147">
        <v>153</v>
      </c>
      <c r="AV1147" s="326" t="b">
        <v>1</v>
      </c>
      <c r="AW1147" t="b">
        <v>1</v>
      </c>
      <c r="AX1147" t="b">
        <v>1</v>
      </c>
      <c r="AY1147" t="b">
        <v>1</v>
      </c>
    </row>
    <row r="1148" spans="1:51">
      <c r="A1148" s="277" t="s">
        <v>1287</v>
      </c>
      <c r="B1148" s="334" t="s">
        <v>1669</v>
      </c>
      <c r="C1148" s="277">
        <f>'Schippers 2005&amp;2006 all'!B221</f>
        <v>32.200000000000003</v>
      </c>
      <c r="D1148" s="301">
        <f>'Schippers 2005&amp;2006 all'!C221</f>
        <v>86492480.112921551</v>
      </c>
      <c r="I1148" s="301">
        <f>'Schippers 2005&amp;2006 all'!H221</f>
        <v>20391124.127094001</v>
      </c>
      <c r="J1148" s="301">
        <f>'Schippers 2005&amp;2006 all'!I221</f>
        <v>1043637.08158662</v>
      </c>
      <c r="K1148" s="301">
        <f>I1148+J1148</f>
        <v>21434761.208680622</v>
      </c>
      <c r="N1148" s="27">
        <f>J1148/K1148</f>
        <v>4.8688999677960913E-2</v>
      </c>
      <c r="P1148" s="293">
        <f>'Schippers 2005&amp;2006 all'!O221</f>
        <v>0.62</v>
      </c>
      <c r="R1148" t="s">
        <v>1395</v>
      </c>
      <c r="V1148" s="313"/>
      <c r="W1148" s="313"/>
      <c r="X1148" s="306"/>
      <c r="Z1148" s="314"/>
      <c r="AA1148" s="326" t="s">
        <v>1495</v>
      </c>
      <c r="AD1148" s="326" t="s">
        <v>1717</v>
      </c>
      <c r="AE1148" s="326" t="s">
        <v>1725</v>
      </c>
      <c r="AF1148" s="326" t="s">
        <v>1735</v>
      </c>
      <c r="AG1148" s="326" t="s">
        <v>1707</v>
      </c>
      <c r="AH1148" s="326" t="s">
        <v>1714</v>
      </c>
      <c r="AI1148" s="326" t="s">
        <v>1496</v>
      </c>
      <c r="AJ1148" s="326" t="s">
        <v>1487</v>
      </c>
      <c r="AK1148" s="326" t="s">
        <v>1488</v>
      </c>
      <c r="AL1148" s="326" t="s">
        <v>1497</v>
      </c>
      <c r="AO1148" s="326" t="s">
        <v>1494</v>
      </c>
      <c r="AQ1148">
        <v>153</v>
      </c>
      <c r="AV1148" s="326" t="b">
        <v>1</v>
      </c>
      <c r="AW1148" t="b">
        <v>1</v>
      </c>
      <c r="AX1148" t="b">
        <v>1</v>
      </c>
      <c r="AY1148" t="b">
        <v>1</v>
      </c>
    </row>
    <row r="1149" spans="1:51">
      <c r="A1149" s="277" t="s">
        <v>1287</v>
      </c>
      <c r="B1149" s="334" t="s">
        <v>1669</v>
      </c>
      <c r="C1149" s="277">
        <f>'Schippers 2005&amp;2006 all'!B222</f>
        <v>37.590000000000003</v>
      </c>
      <c r="D1149" s="301">
        <f>'Schippers 2005&amp;2006 all'!C222</f>
        <v>39704433.152838625</v>
      </c>
      <c r="P1149" s="304">
        <f>'Schippers 2005&amp;2006 all'!O222</f>
        <v>0</v>
      </c>
      <c r="R1149" t="s">
        <v>1395</v>
      </c>
      <c r="V1149" s="313"/>
      <c r="W1149" s="313"/>
      <c r="X1149" s="306"/>
      <c r="Z1149" s="314"/>
      <c r="AQ1149">
        <v>153</v>
      </c>
    </row>
    <row r="1150" spans="1:51">
      <c r="A1150" s="277" t="s">
        <v>1287</v>
      </c>
      <c r="B1150" s="334" t="s">
        <v>1669</v>
      </c>
      <c r="C1150" s="277">
        <f>'Schippers 2005&amp;2006 all'!B223</f>
        <v>39.700000000000003</v>
      </c>
      <c r="D1150" s="301">
        <f>'Schippers 2005&amp;2006 all'!C223</f>
        <v>21945263.585962635</v>
      </c>
      <c r="I1150" s="301">
        <f>'Schippers 2005&amp;2006 all'!H223</f>
        <v>4807763.9890573705</v>
      </c>
      <c r="J1150" s="301">
        <f>'Schippers 2005&amp;2006 all'!I223</f>
        <v>172969.61026541344</v>
      </c>
      <c r="K1150" s="301">
        <f>I1150+J1150</f>
        <v>4980733.5993227838</v>
      </c>
      <c r="N1150" s="27">
        <f>J1150/K1150</f>
        <v>3.4727737755123389E-2</v>
      </c>
      <c r="P1150" s="299">
        <f>'Schippers 2005&amp;2006 all'!O223</f>
        <v>0</v>
      </c>
      <c r="R1150" t="s">
        <v>1395</v>
      </c>
      <c r="V1150" s="313"/>
      <c r="W1150" s="313"/>
      <c r="X1150" s="306"/>
      <c r="Y1150" s="327"/>
      <c r="Z1150" s="314"/>
      <c r="AA1150" s="326" t="s">
        <v>1495</v>
      </c>
      <c r="AD1150" s="326" t="s">
        <v>1717</v>
      </c>
      <c r="AE1150" s="326" t="s">
        <v>1725</v>
      </c>
      <c r="AF1150" s="326" t="s">
        <v>1735</v>
      </c>
      <c r="AG1150" s="326" t="s">
        <v>1707</v>
      </c>
      <c r="AH1150" s="326" t="s">
        <v>1714</v>
      </c>
      <c r="AI1150" s="326" t="s">
        <v>1496</v>
      </c>
      <c r="AJ1150" s="326" t="s">
        <v>1487</v>
      </c>
      <c r="AK1150" s="326" t="s">
        <v>1488</v>
      </c>
      <c r="AL1150" s="326" t="s">
        <v>1497</v>
      </c>
      <c r="AO1150" s="326" t="s">
        <v>1494</v>
      </c>
      <c r="AQ1150">
        <v>153</v>
      </c>
      <c r="AV1150" s="326" t="b">
        <v>1</v>
      </c>
      <c r="AW1150" t="b">
        <v>1</v>
      </c>
      <c r="AX1150" t="b">
        <v>1</v>
      </c>
      <c r="AY1150" t="b">
        <v>1</v>
      </c>
    </row>
    <row r="1151" spans="1:51">
      <c r="A1151" s="277" t="s">
        <v>1287</v>
      </c>
      <c r="B1151" s="334" t="s">
        <v>1669</v>
      </c>
      <c r="C1151" s="277">
        <f>'Schippers 2005&amp;2006 all'!B224</f>
        <v>40</v>
      </c>
      <c r="D1151" s="301">
        <f>'Schippers 2005&amp;2006 all'!C224</f>
        <v>21945263.585962635</v>
      </c>
      <c r="E1151" s="301">
        <f>'Schippers 2005&amp;2006 all'!E224</f>
        <v>5524215.861875603</v>
      </c>
      <c r="G1151" s="301">
        <f>E1151+F1151</f>
        <v>5524215.861875603</v>
      </c>
      <c r="H1151" s="27">
        <f>G1151/D1151</f>
        <v>0.25172702256395713</v>
      </c>
      <c r="M1151" s="27">
        <f>F1151/G1151</f>
        <v>0</v>
      </c>
      <c r="O1151" t="s">
        <v>0</v>
      </c>
      <c r="P1151" s="289">
        <f>'Schippers 2005&amp;2006 all'!O224</f>
        <v>0</v>
      </c>
      <c r="Q1151" s="301" t="b">
        <v>1</v>
      </c>
      <c r="R1151" t="s">
        <v>1395</v>
      </c>
      <c r="S1151" t="s">
        <v>52</v>
      </c>
      <c r="T1151" t="s">
        <v>51</v>
      </c>
      <c r="U1151" t="s">
        <v>51</v>
      </c>
      <c r="V1151" s="313">
        <v>0.55000000000000004</v>
      </c>
      <c r="W1151" s="313">
        <v>0.55000000000000004</v>
      </c>
      <c r="X1151" s="306" t="s">
        <v>248</v>
      </c>
      <c r="Y1151" s="311" t="s">
        <v>96</v>
      </c>
      <c r="Z1151" s="314" t="s">
        <v>100</v>
      </c>
      <c r="AB1151" s="334" t="s">
        <v>311</v>
      </c>
      <c r="AC1151" s="334" t="s">
        <v>1702</v>
      </c>
      <c r="AQ1151">
        <v>153</v>
      </c>
    </row>
    <row r="1152" spans="1:51">
      <c r="A1152" s="277" t="s">
        <v>1287</v>
      </c>
      <c r="B1152" s="334" t="s">
        <v>1669</v>
      </c>
      <c r="C1152" s="277">
        <f>'Schippers 2005&amp;2006 all'!B225</f>
        <v>40.35</v>
      </c>
      <c r="D1152" s="301">
        <f>'Schippers 2005&amp;2006 all'!C225</f>
        <v>21945263.585962635</v>
      </c>
      <c r="P1152" s="324">
        <f>'Schippers 2005&amp;2006 all'!O225</f>
        <v>0</v>
      </c>
      <c r="R1152" t="s">
        <v>1395</v>
      </c>
      <c r="V1152" s="313"/>
      <c r="W1152" s="313"/>
      <c r="X1152" s="306"/>
      <c r="Z1152" s="314"/>
      <c r="AQ1152">
        <v>153</v>
      </c>
    </row>
    <row r="1153" spans="1:51">
      <c r="A1153" s="277" t="s">
        <v>1287</v>
      </c>
      <c r="B1153" s="334" t="s">
        <v>1669</v>
      </c>
      <c r="C1153" s="277">
        <f>'Schippers 2005&amp;2006 all'!B226</f>
        <v>41.7</v>
      </c>
      <c r="D1153" s="301">
        <f>'Schippers 2005&amp;2006 all'!C226</f>
        <v>7097378.6204197761</v>
      </c>
      <c r="I1153" s="301">
        <f>'Schippers 2005&amp;2006 all'!H226</f>
        <v>331195.28103099315</v>
      </c>
      <c r="J1153" s="301">
        <f>'Schippers 2005&amp;2006 all'!I226</f>
        <v>49193.773839341302</v>
      </c>
      <c r="K1153" s="301">
        <f>I1153+J1153</f>
        <v>380389.05487033445</v>
      </c>
      <c r="N1153" s="27">
        <f>J1153/K1153</f>
        <v>0.12932489305222067</v>
      </c>
      <c r="P1153" s="324">
        <f>'Schippers 2005&amp;2006 all'!O226</f>
        <v>0</v>
      </c>
      <c r="R1153" t="s">
        <v>1395</v>
      </c>
      <c r="V1153" s="313"/>
      <c r="W1153" s="313"/>
      <c r="X1153" s="306"/>
      <c r="Z1153" s="314"/>
      <c r="AA1153" s="326" t="s">
        <v>1495</v>
      </c>
      <c r="AD1153" s="326" t="s">
        <v>1717</v>
      </c>
      <c r="AE1153" s="326" t="s">
        <v>1725</v>
      </c>
      <c r="AF1153" s="326" t="s">
        <v>1735</v>
      </c>
      <c r="AG1153" s="326" t="s">
        <v>1707</v>
      </c>
      <c r="AH1153" s="326" t="s">
        <v>1714</v>
      </c>
      <c r="AI1153" s="326" t="s">
        <v>1496</v>
      </c>
      <c r="AJ1153" s="326" t="s">
        <v>1487</v>
      </c>
      <c r="AK1153" s="326" t="s">
        <v>1488</v>
      </c>
      <c r="AL1153" s="326" t="s">
        <v>1497</v>
      </c>
      <c r="AO1153" s="326" t="s">
        <v>1494</v>
      </c>
      <c r="AQ1153">
        <v>153</v>
      </c>
      <c r="AV1153" s="326" t="b">
        <v>1</v>
      </c>
      <c r="AW1153" t="b">
        <v>1</v>
      </c>
      <c r="AX1153" t="b">
        <v>1</v>
      </c>
      <c r="AY1153" t="b">
        <v>1</v>
      </c>
    </row>
    <row r="1154" spans="1:51">
      <c r="A1154" s="277" t="s">
        <v>1287</v>
      </c>
      <c r="B1154" s="334" t="s">
        <v>1669</v>
      </c>
      <c r="C1154" s="277">
        <f>'Schippers 2005&amp;2006 all'!B227</f>
        <v>42</v>
      </c>
      <c r="D1154" s="301">
        <f>'Schippers 2005&amp;2006 all'!C227</f>
        <v>7097378.6204197761</v>
      </c>
      <c r="E1154" s="301">
        <f>'Schippers 2005&amp;2006 all'!E227</f>
        <v>3249587.335275949</v>
      </c>
      <c r="G1154" s="301">
        <f>E1154+F1154</f>
        <v>3249587.335275949</v>
      </c>
      <c r="H1154" s="27">
        <f>G1154/D1154</f>
        <v>0.45785740187603963</v>
      </c>
      <c r="M1154" s="27">
        <f>F1154/G1154</f>
        <v>0</v>
      </c>
      <c r="O1154" t="s">
        <v>0</v>
      </c>
      <c r="P1154" s="299">
        <f>'Schippers 2005&amp;2006 all'!O227</f>
        <v>0</v>
      </c>
      <c r="Q1154" s="301" t="b">
        <v>1</v>
      </c>
      <c r="R1154" t="s">
        <v>1395</v>
      </c>
      <c r="S1154" t="s">
        <v>52</v>
      </c>
      <c r="T1154" t="s">
        <v>51</v>
      </c>
      <c r="U1154" t="s">
        <v>51</v>
      </c>
      <c r="V1154" s="313">
        <v>0.55000000000000004</v>
      </c>
      <c r="W1154" s="313">
        <v>0.55000000000000004</v>
      </c>
      <c r="X1154" s="306" t="s">
        <v>248</v>
      </c>
      <c r="Y1154" s="311" t="s">
        <v>96</v>
      </c>
      <c r="Z1154" s="314" t="s">
        <v>100</v>
      </c>
      <c r="AB1154" s="334" t="s">
        <v>311</v>
      </c>
      <c r="AC1154" s="334" t="s">
        <v>1702</v>
      </c>
      <c r="AQ1154">
        <v>153</v>
      </c>
    </row>
    <row r="1155" spans="1:51">
      <c r="A1155" s="277" t="s">
        <v>1287</v>
      </c>
      <c r="B1155" s="334" t="s">
        <v>1669</v>
      </c>
      <c r="C1155" s="277">
        <f>'Schippers 2005&amp;2006 all'!B228</f>
        <v>42.2</v>
      </c>
      <c r="D1155" s="301">
        <f>'Schippers 2005&amp;2006 all'!C228</f>
        <v>7097378.6204197761</v>
      </c>
      <c r="J1155" s="301">
        <f>'Schippers 2005&amp;2006 all'!I228</f>
        <v>666797.47557539458</v>
      </c>
      <c r="P1155" s="304">
        <f>'Schippers 2005&amp;2006 all'!O228</f>
        <v>0</v>
      </c>
      <c r="R1155" t="s">
        <v>1395</v>
      </c>
      <c r="V1155" s="313"/>
      <c r="W1155" s="313"/>
      <c r="X1155" s="306"/>
      <c r="Z1155" s="314"/>
      <c r="AA1155" s="326" t="s">
        <v>1495</v>
      </c>
      <c r="AD1155" s="326" t="s">
        <v>1717</v>
      </c>
      <c r="AE1155" s="326" t="s">
        <v>1725</v>
      </c>
      <c r="AF1155" s="326" t="s">
        <v>1735</v>
      </c>
      <c r="AG1155" s="326" t="s">
        <v>1707</v>
      </c>
      <c r="AH1155" s="326" t="s">
        <v>1714</v>
      </c>
      <c r="AI1155" s="326" t="s">
        <v>1496</v>
      </c>
      <c r="AJ1155" s="326" t="s">
        <v>1487</v>
      </c>
      <c r="AK1155" s="326" t="s">
        <v>1488</v>
      </c>
      <c r="AL1155" s="326" t="s">
        <v>1497</v>
      </c>
      <c r="AO1155" s="326" t="s">
        <v>1494</v>
      </c>
      <c r="AQ1155">
        <v>153</v>
      </c>
      <c r="AV1155" s="326" t="b">
        <v>1</v>
      </c>
      <c r="AW1155" t="b">
        <v>1</v>
      </c>
      <c r="AX1155" t="b">
        <v>1</v>
      </c>
      <c r="AY1155" t="b">
        <v>1</v>
      </c>
    </row>
    <row r="1156" spans="1:51">
      <c r="A1156" s="277" t="s">
        <v>1287</v>
      </c>
      <c r="B1156" s="334" t="s">
        <v>1669</v>
      </c>
      <c r="C1156" s="277">
        <f>'Schippers 2005&amp;2006 all'!B229</f>
        <v>42.300000000000004</v>
      </c>
      <c r="D1156" s="301">
        <f>'Schippers 2005&amp;2006 all'!C229</f>
        <v>7097378.6204197761</v>
      </c>
      <c r="I1156" s="301">
        <f>'Schippers 2005&amp;2006 all'!H229</f>
        <v>38980189.579095401</v>
      </c>
      <c r="J1156" s="301">
        <f>'Schippers 2005&amp;2006 all'!I229</f>
        <v>669774.5073989497</v>
      </c>
      <c r="K1156" s="301">
        <f>I1156+J1156</f>
        <v>39649964.086494349</v>
      </c>
      <c r="N1156" s="27">
        <f>J1156/K1156</f>
        <v>1.68921844654858E-2</v>
      </c>
      <c r="P1156" s="304">
        <f>'Schippers 2005&amp;2006 all'!O229</f>
        <v>0</v>
      </c>
      <c r="R1156" t="s">
        <v>1395</v>
      </c>
      <c r="V1156" s="313"/>
      <c r="W1156" s="313"/>
      <c r="X1156" s="306"/>
      <c r="Z1156" s="314"/>
      <c r="AA1156" s="326" t="s">
        <v>1495</v>
      </c>
      <c r="AD1156" s="326" t="s">
        <v>1717</v>
      </c>
      <c r="AE1156" s="326" t="s">
        <v>1725</v>
      </c>
      <c r="AF1156" s="326" t="s">
        <v>1735</v>
      </c>
      <c r="AG1156" s="326" t="s">
        <v>1707</v>
      </c>
      <c r="AH1156" s="326" t="s">
        <v>1714</v>
      </c>
      <c r="AI1156" s="326" t="s">
        <v>1496</v>
      </c>
      <c r="AJ1156" s="326" t="s">
        <v>1487</v>
      </c>
      <c r="AK1156" s="326" t="s">
        <v>1488</v>
      </c>
      <c r="AL1156" s="326" t="s">
        <v>1497</v>
      </c>
      <c r="AO1156" s="326" t="s">
        <v>1494</v>
      </c>
      <c r="AQ1156">
        <v>153</v>
      </c>
      <c r="AV1156" s="326" t="b">
        <v>1</v>
      </c>
      <c r="AW1156" t="b">
        <v>1</v>
      </c>
      <c r="AX1156" t="b">
        <v>1</v>
      </c>
      <c r="AY1156" t="b">
        <v>1</v>
      </c>
    </row>
    <row r="1157" spans="1:51">
      <c r="A1157" s="277" t="s">
        <v>1287</v>
      </c>
      <c r="B1157" s="334" t="s">
        <v>1669</v>
      </c>
      <c r="C1157" s="277">
        <f>'Schippers 2005&amp;2006 all'!B230</f>
        <v>42.47</v>
      </c>
      <c r="D1157" s="301">
        <f>'Schippers 2005&amp;2006 all'!C230</f>
        <v>7097378.6204197761</v>
      </c>
      <c r="P1157" s="299">
        <f>'Schippers 2005&amp;2006 all'!O230</f>
        <v>0</v>
      </c>
      <c r="R1157" t="s">
        <v>1395</v>
      </c>
      <c r="V1157" s="313"/>
      <c r="W1157" s="313"/>
      <c r="X1157" s="306"/>
      <c r="Z1157" s="314"/>
      <c r="AQ1157">
        <v>153</v>
      </c>
    </row>
    <row r="1158" spans="1:51">
      <c r="A1158" s="277" t="s">
        <v>1287</v>
      </c>
      <c r="B1158" s="334" t="s">
        <v>1669</v>
      </c>
      <c r="C1158" s="277">
        <f>'Schippers 2005&amp;2006 all'!B231</f>
        <v>50</v>
      </c>
      <c r="D1158" s="301">
        <f>'Schippers 2005&amp;2006 all'!C231</f>
        <v>26030575.648851238</v>
      </c>
      <c r="E1158" s="301">
        <f>'Schippers 2005&amp;2006 all'!E231</f>
        <v>1073697.8280259273</v>
      </c>
      <c r="G1158" s="301">
        <f>E1158+F1158</f>
        <v>1073697.8280259273</v>
      </c>
      <c r="H1158" s="27">
        <f>G1158/D1158</f>
        <v>4.1247563730820183E-2</v>
      </c>
      <c r="M1158" s="27">
        <f>F1158/G1158</f>
        <v>0</v>
      </c>
      <c r="O1158" t="s">
        <v>0</v>
      </c>
      <c r="P1158" s="299">
        <f>'Schippers 2005&amp;2006 all'!O231</f>
        <v>0</v>
      </c>
      <c r="Q1158" s="301" t="b">
        <v>1</v>
      </c>
      <c r="R1158" t="s">
        <v>1395</v>
      </c>
      <c r="S1158" t="s">
        <v>52</v>
      </c>
      <c r="T1158" t="s">
        <v>51</v>
      </c>
      <c r="U1158" t="s">
        <v>51</v>
      </c>
      <c r="V1158" s="313">
        <v>0.55000000000000004</v>
      </c>
      <c r="W1158" s="313">
        <v>0.55000000000000004</v>
      </c>
      <c r="X1158" s="306" t="s">
        <v>248</v>
      </c>
      <c r="Y1158" s="327" t="s">
        <v>96</v>
      </c>
      <c r="Z1158" s="314" t="s">
        <v>100</v>
      </c>
      <c r="AB1158" s="334" t="s">
        <v>311</v>
      </c>
      <c r="AC1158" s="334" t="s">
        <v>1702</v>
      </c>
      <c r="AQ1158">
        <v>153</v>
      </c>
    </row>
    <row r="1159" spans="1:51">
      <c r="A1159" s="277" t="s">
        <v>1287</v>
      </c>
      <c r="B1159" s="334" t="s">
        <v>1669</v>
      </c>
      <c r="C1159" s="277">
        <f>'Schippers 2005&amp;2006 all'!B232</f>
        <v>53.86</v>
      </c>
      <c r="D1159" s="301">
        <f>'Schippers 2005&amp;2006 all'!C232</f>
        <v>26030575.648851238</v>
      </c>
      <c r="P1159">
        <f>'Schippers 2005&amp;2006 all'!O232</f>
        <v>0</v>
      </c>
      <c r="R1159" t="s">
        <v>1395</v>
      </c>
      <c r="V1159" s="313"/>
      <c r="W1159" s="313"/>
      <c r="X1159" s="306"/>
      <c r="Y1159" s="327"/>
      <c r="Z1159" s="314"/>
      <c r="AQ1159">
        <v>153</v>
      </c>
    </row>
    <row r="1160" spans="1:51">
      <c r="A1160" s="277" t="s">
        <v>1287</v>
      </c>
      <c r="B1160" s="334" t="s">
        <v>1669</v>
      </c>
      <c r="C1160" s="277">
        <f>'Schippers 2005&amp;2006 all'!B233</f>
        <v>54</v>
      </c>
      <c r="D1160" s="301">
        <f>'Schippers 2005&amp;2006 all'!C233</f>
        <v>26030575.648851238</v>
      </c>
      <c r="E1160" s="301">
        <f>'Schippers 2005&amp;2006 all'!E233</f>
        <v>1705918.3688995529</v>
      </c>
      <c r="G1160" s="301">
        <f>E1160+F1160</f>
        <v>1705918.3688995529</v>
      </c>
      <c r="H1160" s="27">
        <f>G1160/D1160</f>
        <v>6.553517647524007E-2</v>
      </c>
      <c r="M1160" s="27">
        <f>F1160/G1160</f>
        <v>0</v>
      </c>
      <c r="O1160" s="299" t="s">
        <v>0</v>
      </c>
      <c r="P1160" s="324">
        <f>'Schippers 2005&amp;2006 all'!O233</f>
        <v>0</v>
      </c>
      <c r="Q1160" s="301" t="b">
        <v>1</v>
      </c>
      <c r="R1160" t="s">
        <v>1395</v>
      </c>
      <c r="S1160" t="s">
        <v>52</v>
      </c>
      <c r="T1160" t="s">
        <v>51</v>
      </c>
      <c r="U1160" t="s">
        <v>51</v>
      </c>
      <c r="V1160" s="313">
        <v>0.55000000000000004</v>
      </c>
      <c r="W1160" s="313">
        <v>0.55000000000000004</v>
      </c>
      <c r="X1160" s="306" t="s">
        <v>248</v>
      </c>
      <c r="Y1160" s="327" t="s">
        <v>96</v>
      </c>
      <c r="Z1160" s="314" t="s">
        <v>100</v>
      </c>
      <c r="AB1160" s="334" t="s">
        <v>311</v>
      </c>
      <c r="AC1160" s="334" t="s">
        <v>1702</v>
      </c>
      <c r="AQ1160">
        <v>153</v>
      </c>
    </row>
    <row r="1161" spans="1:51">
      <c r="A1161" s="277" t="s">
        <v>1287</v>
      </c>
      <c r="B1161" s="334" t="s">
        <v>1669</v>
      </c>
      <c r="C1161" s="277">
        <f>'Schippers 2005&amp;2006 all'!B234</f>
        <v>55</v>
      </c>
      <c r="D1161" s="301">
        <f>'Schippers 2005&amp;2006 all'!C234</f>
        <v>26030575.648851238</v>
      </c>
      <c r="I1161" s="301">
        <f>'Schippers 2005&amp;2006 all'!H234</f>
        <v>411076.49054560892</v>
      </c>
      <c r="J1161" s="301">
        <f>'Schippers 2005&amp;2006 all'!I234</f>
        <v>208034.11369439188</v>
      </c>
      <c r="K1161" s="301">
        <f>I1161+J1161</f>
        <v>619110.60424000083</v>
      </c>
      <c r="N1161" s="27">
        <f>J1161/K1161</f>
        <v>0.33602091818434848</v>
      </c>
      <c r="O1161" s="299"/>
      <c r="P1161" s="324">
        <f>'Schippers 2005&amp;2006 all'!O234</f>
        <v>0</v>
      </c>
      <c r="R1161" t="s">
        <v>1395</v>
      </c>
      <c r="V1161" s="313"/>
      <c r="W1161" s="313"/>
      <c r="X1161" s="306"/>
      <c r="Y1161" s="334"/>
      <c r="Z1161" s="314"/>
      <c r="AA1161" s="326" t="s">
        <v>1495</v>
      </c>
      <c r="AD1161" s="326" t="s">
        <v>1717</v>
      </c>
      <c r="AE1161" s="326" t="s">
        <v>1725</v>
      </c>
      <c r="AF1161" s="326" t="s">
        <v>1735</v>
      </c>
      <c r="AG1161" s="326" t="s">
        <v>1707</v>
      </c>
      <c r="AH1161" s="326" t="s">
        <v>1714</v>
      </c>
      <c r="AI1161" s="326" t="s">
        <v>1496</v>
      </c>
      <c r="AJ1161" s="326" t="s">
        <v>1487</v>
      </c>
      <c r="AK1161" s="326" t="s">
        <v>1488</v>
      </c>
      <c r="AL1161" s="326" t="s">
        <v>1497</v>
      </c>
      <c r="AO1161" s="326" t="s">
        <v>1494</v>
      </c>
      <c r="AQ1161">
        <v>153</v>
      </c>
      <c r="AV1161" s="326" t="b">
        <v>1</v>
      </c>
      <c r="AW1161" t="b">
        <v>1</v>
      </c>
      <c r="AX1161" t="b">
        <v>1</v>
      </c>
      <c r="AY1161" t="b">
        <v>1</v>
      </c>
    </row>
    <row r="1162" spans="1:51">
      <c r="A1162" s="277" t="s">
        <v>1287</v>
      </c>
      <c r="B1162" s="334" t="s">
        <v>1669</v>
      </c>
      <c r="C1162" s="277">
        <f>'Schippers 2005&amp;2006 all'!B235</f>
        <v>55.5</v>
      </c>
      <c r="D1162" s="301">
        <f>'Schippers 2005&amp;2006 all'!C235</f>
        <v>26030575.648851238</v>
      </c>
      <c r="I1162" s="301">
        <f>'Schippers 2005&amp;2006 all'!H235</f>
        <v>8568929.2479142006</v>
      </c>
      <c r="J1162" s="301">
        <f>'Schippers 2005&amp;2006 all'!I235</f>
        <v>216303.1730194946</v>
      </c>
      <c r="K1162" s="301">
        <f>I1162+J1162</f>
        <v>8785232.4209336955</v>
      </c>
      <c r="N1162" s="27">
        <f>J1162/K1162</f>
        <v>2.462122373724358E-2</v>
      </c>
      <c r="O1162" s="299"/>
      <c r="P1162" s="299">
        <f>'Schippers 2005&amp;2006 all'!O235</f>
        <v>0</v>
      </c>
      <c r="R1162" t="s">
        <v>1395</v>
      </c>
      <c r="V1162" s="313"/>
      <c r="W1162" s="313"/>
      <c r="X1162" s="306"/>
      <c r="Y1162" s="327"/>
      <c r="Z1162" s="314"/>
      <c r="AA1162" s="326" t="s">
        <v>1495</v>
      </c>
      <c r="AD1162" s="326" t="s">
        <v>1717</v>
      </c>
      <c r="AE1162" s="326" t="s">
        <v>1725</v>
      </c>
      <c r="AF1162" s="326" t="s">
        <v>1735</v>
      </c>
      <c r="AG1162" s="326" t="s">
        <v>1707</v>
      </c>
      <c r="AH1162" s="326" t="s">
        <v>1714</v>
      </c>
      <c r="AI1162" s="326" t="s">
        <v>1496</v>
      </c>
      <c r="AJ1162" s="326" t="s">
        <v>1487</v>
      </c>
      <c r="AK1162" s="326" t="s">
        <v>1488</v>
      </c>
      <c r="AL1162" s="326" t="s">
        <v>1497</v>
      </c>
      <c r="AO1162" s="326" t="s">
        <v>1494</v>
      </c>
      <c r="AQ1162">
        <v>153</v>
      </c>
      <c r="AV1162" s="326" t="b">
        <v>1</v>
      </c>
      <c r="AW1162" t="b">
        <v>1</v>
      </c>
      <c r="AX1162" t="b">
        <v>1</v>
      </c>
      <c r="AY1162" t="b">
        <v>1</v>
      </c>
    </row>
    <row r="1163" spans="1:51">
      <c r="A1163" s="277" t="s">
        <v>1287</v>
      </c>
      <c r="B1163" s="334" t="s">
        <v>1669</v>
      </c>
      <c r="C1163" s="277">
        <f>'Schippers 2005&amp;2006 all'!B236</f>
        <v>60.7</v>
      </c>
      <c r="D1163" s="301">
        <f>'Schippers 2005&amp;2006 all'!C236</f>
        <v>6771702.5032536993</v>
      </c>
      <c r="I1163" s="301">
        <f>'Schippers 2005&amp;2006 all'!H236</f>
        <v>30332.111250514838</v>
      </c>
      <c r="J1163" s="301">
        <f>'Schippers 2005&amp;2006 all'!I236</f>
        <v>6738.5295967126522</v>
      </c>
      <c r="K1163" s="301">
        <f>I1163+J1163</f>
        <v>37070.640847227492</v>
      </c>
      <c r="N1163" s="27">
        <f>J1163/K1163</f>
        <v>0.18177537379197009</v>
      </c>
      <c r="O1163" s="299"/>
      <c r="P1163" s="299">
        <f>'Schippers 2005&amp;2006 all'!O236</f>
        <v>0</v>
      </c>
      <c r="R1163" t="s">
        <v>1395</v>
      </c>
      <c r="V1163" s="313"/>
      <c r="W1163" s="313"/>
      <c r="X1163" s="306"/>
      <c r="Y1163" s="327"/>
      <c r="Z1163" s="314"/>
      <c r="AA1163" s="326" t="s">
        <v>1495</v>
      </c>
      <c r="AD1163" s="326" t="s">
        <v>1717</v>
      </c>
      <c r="AE1163" s="326" t="s">
        <v>1725</v>
      </c>
      <c r="AF1163" s="326" t="s">
        <v>1735</v>
      </c>
      <c r="AG1163" s="326" t="s">
        <v>1707</v>
      </c>
      <c r="AH1163" s="326" t="s">
        <v>1714</v>
      </c>
      <c r="AI1163" s="326" t="s">
        <v>1496</v>
      </c>
      <c r="AJ1163" s="326" t="s">
        <v>1487</v>
      </c>
      <c r="AK1163" s="326" t="s">
        <v>1488</v>
      </c>
      <c r="AL1163" s="326" t="s">
        <v>1497</v>
      </c>
      <c r="AO1163" s="326" t="s">
        <v>1494</v>
      </c>
      <c r="AQ1163">
        <v>153</v>
      </c>
      <c r="AV1163" s="326" t="b">
        <v>1</v>
      </c>
      <c r="AW1163" t="b">
        <v>1</v>
      </c>
      <c r="AX1163" t="b">
        <v>1</v>
      </c>
      <c r="AY1163" t="b">
        <v>1</v>
      </c>
    </row>
    <row r="1164" spans="1:51">
      <c r="A1164" s="277" t="s">
        <v>1287</v>
      </c>
      <c r="B1164" s="334" t="s">
        <v>1669</v>
      </c>
      <c r="C1164" s="277">
        <f>'Schippers 2005&amp;2006 all'!B237</f>
        <v>61</v>
      </c>
      <c r="D1164" s="301">
        <f>'Schippers 2005&amp;2006 all'!C237</f>
        <v>6771702.5032536993</v>
      </c>
      <c r="E1164" s="301">
        <f>'Schippers 2005&amp;2006 all'!E237</f>
        <v>2674895.7779823858</v>
      </c>
      <c r="G1164" s="301">
        <f>E1164+F1164</f>
        <v>2674895.7779823858</v>
      </c>
      <c r="H1164" s="27">
        <f>G1164/D1164</f>
        <v>0.39501082286133204</v>
      </c>
      <c r="M1164" s="27">
        <f>F1164/G1164</f>
        <v>0</v>
      </c>
      <c r="O1164" s="299" t="s">
        <v>0</v>
      </c>
      <c r="P1164" s="299">
        <f>'Schippers 2005&amp;2006 all'!O237</f>
        <v>0</v>
      </c>
      <c r="Q1164" s="301" t="b">
        <v>1</v>
      </c>
      <c r="R1164" t="s">
        <v>1395</v>
      </c>
      <c r="S1164" t="s">
        <v>52</v>
      </c>
      <c r="T1164" t="s">
        <v>51</v>
      </c>
      <c r="U1164" t="s">
        <v>51</v>
      </c>
      <c r="V1164" s="313">
        <v>0.55000000000000004</v>
      </c>
      <c r="W1164" s="313">
        <v>0.55000000000000004</v>
      </c>
      <c r="X1164" s="306" t="s">
        <v>248</v>
      </c>
      <c r="Y1164" s="327" t="s">
        <v>96</v>
      </c>
      <c r="Z1164" s="314" t="s">
        <v>100</v>
      </c>
      <c r="AB1164" s="334" t="s">
        <v>311</v>
      </c>
      <c r="AC1164" s="334" t="s">
        <v>1702</v>
      </c>
      <c r="AQ1164">
        <v>153</v>
      </c>
    </row>
    <row r="1165" spans="1:51">
      <c r="A1165" s="277" t="s">
        <v>1287</v>
      </c>
      <c r="B1165" s="334" t="s">
        <v>1669</v>
      </c>
      <c r="C1165" s="277">
        <f>'Schippers 2005&amp;2006 all'!B238</f>
        <v>61.24</v>
      </c>
      <c r="D1165" s="301">
        <f>'Schippers 2005&amp;2006 all'!C238</f>
        <v>6771702.5032536993</v>
      </c>
      <c r="O1165" s="299"/>
      <c r="P1165" s="324">
        <f>'Schippers 2005&amp;2006 all'!O238</f>
        <v>0</v>
      </c>
      <c r="R1165" t="s">
        <v>1395</v>
      </c>
      <c r="V1165" s="313"/>
      <c r="W1165" s="313"/>
      <c r="X1165" s="306"/>
      <c r="Y1165" s="327"/>
      <c r="Z1165" s="314"/>
      <c r="AQ1165">
        <v>153</v>
      </c>
    </row>
    <row r="1166" spans="1:51">
      <c r="A1166" s="277" t="s">
        <v>1287</v>
      </c>
      <c r="B1166" s="334" t="s">
        <v>1669</v>
      </c>
      <c r="C1166" s="277">
        <f>'Schippers 2005&amp;2006 all'!B239</f>
        <v>65.2</v>
      </c>
      <c r="D1166" s="301">
        <f>'Schippers 2005&amp;2006 all'!C239</f>
        <v>31660183.574510597</v>
      </c>
      <c r="I1166" s="301">
        <f>'Schippers 2005&amp;2006 all'!H239</f>
        <v>60228.582247048937</v>
      </c>
      <c r="J1166" s="301">
        <f>'Schippers 2005&amp;2006 all'!I239</f>
        <v>47260.48130356265</v>
      </c>
      <c r="K1166" s="301">
        <f>I1166+J1166</f>
        <v>107489.06355061158</v>
      </c>
      <c r="N1166" s="27">
        <f>J1166/K1166</f>
        <v>0.43967711451230473</v>
      </c>
      <c r="O1166" s="299"/>
      <c r="P1166" s="324">
        <f>'Schippers 2005&amp;2006 all'!O239</f>
        <v>0</v>
      </c>
      <c r="R1166" t="s">
        <v>1395</v>
      </c>
      <c r="V1166" s="313"/>
      <c r="W1166" s="313"/>
      <c r="X1166" s="306"/>
      <c r="Y1166" s="327"/>
      <c r="Z1166" s="314"/>
      <c r="AA1166" s="326" t="s">
        <v>1495</v>
      </c>
      <c r="AD1166" s="326" t="s">
        <v>1717</v>
      </c>
      <c r="AE1166" s="326" t="s">
        <v>1725</v>
      </c>
      <c r="AF1166" s="326" t="s">
        <v>1735</v>
      </c>
      <c r="AG1166" s="326" t="s">
        <v>1707</v>
      </c>
      <c r="AH1166" s="326" t="s">
        <v>1714</v>
      </c>
      <c r="AI1166" s="326" t="s">
        <v>1496</v>
      </c>
      <c r="AJ1166" s="326" t="s">
        <v>1487</v>
      </c>
      <c r="AK1166" s="326" t="s">
        <v>1488</v>
      </c>
      <c r="AL1166" s="326" t="s">
        <v>1497</v>
      </c>
      <c r="AO1166" s="326" t="s">
        <v>1494</v>
      </c>
      <c r="AQ1166">
        <v>153</v>
      </c>
      <c r="AV1166" s="326" t="b">
        <v>1</v>
      </c>
      <c r="AW1166" t="b">
        <v>1</v>
      </c>
      <c r="AX1166" t="b">
        <v>1</v>
      </c>
      <c r="AY1166" t="b">
        <v>1</v>
      </c>
    </row>
    <row r="1167" spans="1:51">
      <c r="A1167" s="277" t="s">
        <v>1287</v>
      </c>
      <c r="B1167" s="334" t="s">
        <v>1669</v>
      </c>
      <c r="C1167" s="277">
        <f>'Schippers 2005&amp;2006 all'!B240</f>
        <v>65.680000000000007</v>
      </c>
      <c r="D1167" s="301">
        <f>'Schippers 2005&amp;2006 all'!C240</f>
        <v>31660183.574510597</v>
      </c>
      <c r="O1167" s="303"/>
      <c r="P1167" s="303">
        <f>'Schippers 2005&amp;2006 all'!O240</f>
        <v>0</v>
      </c>
      <c r="R1167" t="s">
        <v>1395</v>
      </c>
      <c r="V1167" s="313"/>
      <c r="W1167" s="313"/>
      <c r="X1167" s="306"/>
      <c r="Y1167" s="327"/>
      <c r="Z1167" s="314"/>
      <c r="AQ1167">
        <v>153</v>
      </c>
    </row>
    <row r="1168" spans="1:51">
      <c r="A1168" s="277" t="s">
        <v>1287</v>
      </c>
      <c r="B1168" s="334" t="s">
        <v>1669</v>
      </c>
      <c r="C1168" s="277">
        <f>'Schippers 2005&amp;2006 all'!B241</f>
        <v>70.2</v>
      </c>
      <c r="D1168" s="301">
        <f>'Schippers 2005&amp;2006 all'!C241</f>
        <v>55462571.295791067</v>
      </c>
      <c r="I1168" s="301">
        <f>'Schippers 2005&amp;2006 all'!H241</f>
        <v>1984280.8459286999</v>
      </c>
      <c r="J1168" s="301">
        <f>'Schippers 2005&amp;2006 all'!I241</f>
        <v>64052.950581911377</v>
      </c>
      <c r="K1168" s="301">
        <f>I1168+J1168</f>
        <v>2048333.7965106114</v>
      </c>
      <c r="N1168" s="27">
        <f>J1168/K1168</f>
        <v>3.1270758062493138E-2</v>
      </c>
      <c r="O1168" s="303"/>
      <c r="P1168" s="303">
        <f>'Schippers 2005&amp;2006 all'!O241</f>
        <v>0</v>
      </c>
      <c r="R1168" t="s">
        <v>1395</v>
      </c>
      <c r="V1168" s="313"/>
      <c r="W1168" s="313"/>
      <c r="X1168" s="306"/>
      <c r="Y1168" s="327"/>
      <c r="Z1168" s="314"/>
      <c r="AA1168" s="326" t="s">
        <v>1495</v>
      </c>
      <c r="AD1168" s="326" t="s">
        <v>1717</v>
      </c>
      <c r="AE1168" s="326" t="s">
        <v>1725</v>
      </c>
      <c r="AF1168" s="326" t="s">
        <v>1735</v>
      </c>
      <c r="AG1168" s="326" t="s">
        <v>1707</v>
      </c>
      <c r="AH1168" s="326" t="s">
        <v>1714</v>
      </c>
      <c r="AI1168" s="326" t="s">
        <v>1496</v>
      </c>
      <c r="AJ1168" s="326" t="s">
        <v>1487</v>
      </c>
      <c r="AK1168" s="326" t="s">
        <v>1488</v>
      </c>
      <c r="AL1168" s="326" t="s">
        <v>1497</v>
      </c>
      <c r="AO1168" s="326" t="s">
        <v>1494</v>
      </c>
      <c r="AQ1168">
        <v>153</v>
      </c>
      <c r="AV1168" s="326" t="b">
        <v>1</v>
      </c>
      <c r="AW1168" t="b">
        <v>1</v>
      </c>
      <c r="AX1168" t="b">
        <v>1</v>
      </c>
      <c r="AY1168" t="b">
        <v>1</v>
      </c>
    </row>
    <row r="1169" spans="1:51">
      <c r="A1169" s="277" t="s">
        <v>1287</v>
      </c>
      <c r="B1169" s="334" t="s">
        <v>1669</v>
      </c>
      <c r="C1169" s="277">
        <f>'Schippers 2005&amp;2006 all'!B242</f>
        <v>70.88</v>
      </c>
      <c r="D1169" s="301">
        <f>'Schippers 2005&amp;2006 all'!C242</f>
        <v>55462571.295791067</v>
      </c>
      <c r="O1169" s="303"/>
      <c r="P1169" s="303">
        <f>'Schippers 2005&amp;2006 all'!O242</f>
        <v>0</v>
      </c>
      <c r="R1169" t="s">
        <v>1395</v>
      </c>
      <c r="V1169" s="313"/>
      <c r="W1169" s="313"/>
      <c r="X1169" s="306"/>
      <c r="Y1169" s="327"/>
      <c r="Z1169" s="314"/>
      <c r="AQ1169">
        <v>153</v>
      </c>
    </row>
    <row r="1170" spans="1:51">
      <c r="A1170" s="277" t="s">
        <v>1287</v>
      </c>
      <c r="B1170" s="334" t="s">
        <v>1669</v>
      </c>
      <c r="C1170" s="277">
        <f>'Schippers 2005&amp;2006 all'!B243</f>
        <v>71</v>
      </c>
      <c r="D1170" s="301">
        <f>'Schippers 2005&amp;2006 all'!C243</f>
        <v>55462571.295791067</v>
      </c>
      <c r="E1170" s="301">
        <f>'Schippers 2005&amp;2006 all'!E243</f>
        <v>3258944.762785661</v>
      </c>
      <c r="G1170" s="301">
        <f>E1170+F1170</f>
        <v>3258944.762785661</v>
      </c>
      <c r="H1170" s="27">
        <f>G1170/D1170</f>
        <v>5.875935223783927E-2</v>
      </c>
      <c r="M1170" s="27">
        <f>F1170/G1170</f>
        <v>0</v>
      </c>
      <c r="O1170" s="303" t="s">
        <v>0</v>
      </c>
      <c r="P1170" s="324">
        <f>'Schippers 2005&amp;2006 all'!O243</f>
        <v>0</v>
      </c>
      <c r="Q1170" s="301" t="b">
        <v>1</v>
      </c>
      <c r="R1170" t="s">
        <v>1395</v>
      </c>
      <c r="S1170" t="s">
        <v>52</v>
      </c>
      <c r="T1170" t="s">
        <v>51</v>
      </c>
      <c r="U1170" t="s">
        <v>51</v>
      </c>
      <c r="V1170" s="313">
        <v>0.55000000000000004</v>
      </c>
      <c r="W1170" s="313">
        <v>0.55000000000000004</v>
      </c>
      <c r="X1170" s="306" t="s">
        <v>248</v>
      </c>
      <c r="Y1170" s="327" t="s">
        <v>96</v>
      </c>
      <c r="Z1170" s="314" t="s">
        <v>100</v>
      </c>
      <c r="AB1170" s="334" t="s">
        <v>311</v>
      </c>
      <c r="AC1170" s="334" t="s">
        <v>1702</v>
      </c>
      <c r="AQ1170">
        <v>153</v>
      </c>
    </row>
    <row r="1171" spans="1:51">
      <c r="A1171" s="277" t="s">
        <v>1287</v>
      </c>
      <c r="B1171" s="334" t="s">
        <v>1669</v>
      </c>
      <c r="C1171" s="277">
        <f>'Schippers 2005&amp;2006 all'!B244</f>
        <v>74.98</v>
      </c>
      <c r="D1171" s="301">
        <f>'Schippers 2005&amp;2006 all'!C244</f>
        <v>99169804.001384929</v>
      </c>
      <c r="O1171" s="303"/>
      <c r="P1171" s="324">
        <f>'Schippers 2005&amp;2006 all'!O244</f>
        <v>0</v>
      </c>
      <c r="R1171" t="s">
        <v>1395</v>
      </c>
      <c r="V1171" s="313"/>
      <c r="W1171" s="313"/>
      <c r="X1171" s="306"/>
      <c r="Y1171" s="327"/>
      <c r="Z1171" s="314"/>
      <c r="AQ1171">
        <v>153</v>
      </c>
    </row>
    <row r="1172" spans="1:51">
      <c r="A1172" s="277" t="s">
        <v>1287</v>
      </c>
      <c r="B1172" s="334" t="s">
        <v>1669</v>
      </c>
      <c r="C1172" s="277">
        <f>'Schippers 2005&amp;2006 all'!B245</f>
        <v>75.3</v>
      </c>
      <c r="D1172" s="301">
        <f>'Schippers 2005&amp;2006 all'!C245</f>
        <v>99169804.001384929</v>
      </c>
      <c r="I1172" s="301">
        <f>'Schippers 2005&amp;2006 all'!H245</f>
        <v>385143.1164066855</v>
      </c>
      <c r="J1172" s="301">
        <f>'Schippers 2005&amp;2006 all'!I245</f>
        <v>4335.4396005419194</v>
      </c>
      <c r="K1172" s="301">
        <f>I1172+J1172</f>
        <v>389478.55600722739</v>
      </c>
      <c r="N1172" s="27">
        <f>J1172/K1172</f>
        <v>1.1131394870585554E-2</v>
      </c>
      <c r="O1172" s="303"/>
      <c r="P1172" s="304">
        <f>'Schippers 2005&amp;2006 all'!O245</f>
        <v>0</v>
      </c>
      <c r="R1172" t="s">
        <v>1395</v>
      </c>
      <c r="V1172" s="313"/>
      <c r="W1172" s="313"/>
      <c r="X1172" s="306"/>
      <c r="Y1172" s="327"/>
      <c r="Z1172" s="314"/>
      <c r="AA1172" s="326" t="s">
        <v>1495</v>
      </c>
      <c r="AD1172" s="326" t="s">
        <v>1717</v>
      </c>
      <c r="AE1172" s="326" t="s">
        <v>1725</v>
      </c>
      <c r="AF1172" s="326" t="s">
        <v>1735</v>
      </c>
      <c r="AG1172" s="326" t="s">
        <v>1707</v>
      </c>
      <c r="AH1172" s="326" t="s">
        <v>1714</v>
      </c>
      <c r="AI1172" s="326" t="s">
        <v>1496</v>
      </c>
      <c r="AJ1172" s="326" t="s">
        <v>1487</v>
      </c>
      <c r="AK1172" s="326" t="s">
        <v>1488</v>
      </c>
      <c r="AL1172" s="326" t="s">
        <v>1497</v>
      </c>
      <c r="AO1172" s="326" t="s">
        <v>1494</v>
      </c>
      <c r="AQ1172">
        <v>153</v>
      </c>
      <c r="AV1172" s="326" t="b">
        <v>1</v>
      </c>
      <c r="AW1172" t="b">
        <v>1</v>
      </c>
      <c r="AX1172" t="b">
        <v>1</v>
      </c>
      <c r="AY1172" t="b">
        <v>1</v>
      </c>
    </row>
    <row r="1173" spans="1:51">
      <c r="A1173" s="277" t="s">
        <v>1287</v>
      </c>
      <c r="B1173" s="334" t="s">
        <v>1669</v>
      </c>
      <c r="C1173" s="277">
        <f>'Schippers 2005&amp;2006 all'!B246</f>
        <v>81.099999999999994</v>
      </c>
      <c r="D1173" s="301">
        <f>'Schippers 2005&amp;2006 all'!C246</f>
        <v>41783036.664662287</v>
      </c>
      <c r="I1173" s="301">
        <f>'Schippers 2005&amp;2006 all'!H246</f>
        <v>15727.653705056651</v>
      </c>
      <c r="J1173" s="301">
        <f>'Schippers 2005&amp;2006 all'!I246</f>
        <v>7400.1627562191634</v>
      </c>
      <c r="K1173" s="301">
        <f>I1173+J1173</f>
        <v>23127.816461275816</v>
      </c>
      <c r="N1173" s="27">
        <f>J1173/K1173</f>
        <v>0.31996806826142304</v>
      </c>
      <c r="O1173" s="303"/>
      <c r="P1173" s="304">
        <f>'Schippers 2005&amp;2006 all'!O246</f>
        <v>0</v>
      </c>
      <c r="R1173" t="s">
        <v>1395</v>
      </c>
      <c r="V1173" s="313"/>
      <c r="W1173" s="313"/>
      <c r="X1173" s="306"/>
      <c r="Y1173" s="327"/>
      <c r="Z1173" s="314"/>
      <c r="AA1173" s="326" t="s">
        <v>1495</v>
      </c>
      <c r="AD1173" s="326" t="s">
        <v>1717</v>
      </c>
      <c r="AE1173" s="326" t="s">
        <v>1725</v>
      </c>
      <c r="AF1173" s="326" t="s">
        <v>1735</v>
      </c>
      <c r="AG1173" s="326" t="s">
        <v>1707</v>
      </c>
      <c r="AH1173" s="326" t="s">
        <v>1714</v>
      </c>
      <c r="AI1173" s="326" t="s">
        <v>1496</v>
      </c>
      <c r="AJ1173" s="326" t="s">
        <v>1487</v>
      </c>
      <c r="AK1173" s="326" t="s">
        <v>1488</v>
      </c>
      <c r="AL1173" s="326" t="s">
        <v>1497</v>
      </c>
      <c r="AO1173" s="326" t="s">
        <v>1494</v>
      </c>
      <c r="AQ1173">
        <v>153</v>
      </c>
      <c r="AV1173" s="326" t="b">
        <v>1</v>
      </c>
      <c r="AW1173" t="b">
        <v>1</v>
      </c>
      <c r="AX1173" t="b">
        <v>1</v>
      </c>
      <c r="AY1173" t="b">
        <v>1</v>
      </c>
    </row>
    <row r="1174" spans="1:51">
      <c r="A1174" s="277" t="s">
        <v>1287</v>
      </c>
      <c r="B1174" s="334" t="s">
        <v>1669</v>
      </c>
      <c r="C1174" s="277">
        <f>'Schippers 2005&amp;2006 all'!B247</f>
        <v>81.2</v>
      </c>
      <c r="D1174" s="301">
        <f>'Schippers 2005&amp;2006 all'!C247</f>
        <v>41783036.664662287</v>
      </c>
      <c r="I1174" s="301">
        <f>'Schippers 2005&amp;2006 all'!H247</f>
        <v>3556.0277402215843</v>
      </c>
      <c r="J1174" s="301">
        <f>'Schippers 2005&amp;2006 all'!I247</f>
        <v>5022.0049934220933</v>
      </c>
      <c r="K1174" s="301">
        <f>I1174+J1174</f>
        <v>8578.0327336436785</v>
      </c>
      <c r="N1174" s="27">
        <f>J1174/K1174</f>
        <v>0.58544950215979219</v>
      </c>
      <c r="O1174" s="303"/>
      <c r="P1174" s="304">
        <f>'Schippers 2005&amp;2006 all'!O247</f>
        <v>0</v>
      </c>
      <c r="R1174" t="s">
        <v>1395</v>
      </c>
      <c r="V1174" s="313"/>
      <c r="W1174" s="313"/>
      <c r="X1174" s="306"/>
      <c r="Y1174" s="327"/>
      <c r="Z1174" s="314"/>
      <c r="AA1174" s="326" t="s">
        <v>1495</v>
      </c>
      <c r="AD1174" s="326" t="s">
        <v>1717</v>
      </c>
      <c r="AE1174" s="326" t="s">
        <v>1725</v>
      </c>
      <c r="AF1174" s="326" t="s">
        <v>1735</v>
      </c>
      <c r="AG1174" s="326" t="s">
        <v>1707</v>
      </c>
      <c r="AH1174" s="326" t="s">
        <v>1714</v>
      </c>
      <c r="AI1174" s="326" t="s">
        <v>1496</v>
      </c>
      <c r="AJ1174" s="326" t="s">
        <v>1487</v>
      </c>
      <c r="AK1174" s="326" t="s">
        <v>1488</v>
      </c>
      <c r="AL1174" s="326" t="s">
        <v>1497</v>
      </c>
      <c r="AO1174" s="326" t="s">
        <v>1494</v>
      </c>
      <c r="AQ1174">
        <v>153</v>
      </c>
      <c r="AV1174" s="326" t="b">
        <v>1</v>
      </c>
      <c r="AW1174" t="b">
        <v>1</v>
      </c>
      <c r="AX1174" t="b">
        <v>1</v>
      </c>
      <c r="AY1174" t="b">
        <v>1</v>
      </c>
    </row>
    <row r="1175" spans="1:51">
      <c r="A1175" s="277" t="s">
        <v>1287</v>
      </c>
      <c r="B1175" s="334" t="s">
        <v>1669</v>
      </c>
      <c r="C1175" s="277">
        <f>'Schippers 2005&amp;2006 all'!B248</f>
        <v>81.89</v>
      </c>
      <c r="D1175" s="301">
        <f>'Schippers 2005&amp;2006 all'!C248</f>
        <v>41783036.664662287</v>
      </c>
      <c r="O1175" s="303"/>
      <c r="P1175" s="304">
        <f>'Schippers 2005&amp;2006 all'!O248</f>
        <v>0</v>
      </c>
      <c r="R1175" t="s">
        <v>1395</v>
      </c>
      <c r="V1175" s="313"/>
      <c r="W1175" s="313"/>
      <c r="X1175" s="306"/>
      <c r="Y1175" s="327"/>
      <c r="Z1175" s="314"/>
      <c r="AQ1175">
        <v>153</v>
      </c>
    </row>
    <row r="1176" spans="1:51">
      <c r="A1176" s="277" t="s">
        <v>1287</v>
      </c>
      <c r="B1176" s="334" t="s">
        <v>1669</v>
      </c>
      <c r="C1176" s="277">
        <f>'Schippers 2005&amp;2006 all'!B249</f>
        <v>82</v>
      </c>
      <c r="D1176" s="301">
        <f>'Schippers 2005&amp;2006 all'!C249</f>
        <v>41783036.664662287</v>
      </c>
      <c r="E1176" s="301">
        <f>'Schippers 2005&amp;2006 all'!E249</f>
        <v>728691.5536234004</v>
      </c>
      <c r="G1176" s="301">
        <f>E1176+F1176</f>
        <v>728691.5536234004</v>
      </c>
      <c r="H1176" s="27">
        <f>G1176/D1176</f>
        <v>1.7439889768464011E-2</v>
      </c>
      <c r="M1176" s="27">
        <f>F1176/G1176</f>
        <v>0</v>
      </c>
      <c r="O1176" s="303" t="s">
        <v>0</v>
      </c>
      <c r="P1176" s="324">
        <f>'Schippers 2005&amp;2006 all'!O249</f>
        <v>0</v>
      </c>
      <c r="Q1176" s="301" t="b">
        <v>1</v>
      </c>
      <c r="R1176" t="s">
        <v>1395</v>
      </c>
      <c r="S1176" t="s">
        <v>52</v>
      </c>
      <c r="T1176" t="s">
        <v>51</v>
      </c>
      <c r="U1176" t="s">
        <v>51</v>
      </c>
      <c r="V1176" s="313">
        <v>0.55000000000000004</v>
      </c>
      <c r="W1176" s="313">
        <v>0.55000000000000004</v>
      </c>
      <c r="X1176" s="306" t="s">
        <v>248</v>
      </c>
      <c r="Y1176" s="327" t="s">
        <v>96</v>
      </c>
      <c r="Z1176" s="314" t="s">
        <v>100</v>
      </c>
      <c r="AB1176" s="334" t="s">
        <v>311</v>
      </c>
      <c r="AC1176" s="334" t="s">
        <v>1702</v>
      </c>
      <c r="AQ1176">
        <v>153</v>
      </c>
    </row>
    <row r="1177" spans="1:51">
      <c r="A1177" s="277" t="s">
        <v>1287</v>
      </c>
      <c r="B1177" s="334" t="s">
        <v>1669</v>
      </c>
      <c r="C1177" s="277">
        <f>'Schippers 2005&amp;2006 all'!B250</f>
        <v>84.2</v>
      </c>
      <c r="D1177" s="301">
        <f>'Schippers 2005&amp;2006 all'!C250</f>
        <v>36643757.464783385</v>
      </c>
      <c r="I1177" s="301">
        <f>'Schippers 2005&amp;2006 all'!H250</f>
        <v>2566348.5512874699</v>
      </c>
      <c r="J1177" s="301">
        <f>'Schippers 2005&amp;2006 all'!I250</f>
        <v>40527.71703424913</v>
      </c>
      <c r="K1177" s="301">
        <f>I1177+J1177</f>
        <v>2606876.268321719</v>
      </c>
      <c r="N1177" s="27">
        <f>J1177/K1177</f>
        <v>1.5546467443328436E-2</v>
      </c>
      <c r="O1177" s="303"/>
      <c r="P1177" s="324">
        <f>'Schippers 2005&amp;2006 all'!O250</f>
        <v>0</v>
      </c>
      <c r="R1177" t="s">
        <v>1395</v>
      </c>
      <c r="V1177" s="313"/>
      <c r="W1177" s="313"/>
      <c r="X1177" s="306"/>
      <c r="Y1177" s="327"/>
      <c r="Z1177" s="314"/>
      <c r="AA1177" s="326" t="s">
        <v>1495</v>
      </c>
      <c r="AD1177" s="326" t="s">
        <v>1717</v>
      </c>
      <c r="AE1177" s="326" t="s">
        <v>1725</v>
      </c>
      <c r="AF1177" s="326" t="s">
        <v>1735</v>
      </c>
      <c r="AG1177" s="326" t="s">
        <v>1707</v>
      </c>
      <c r="AH1177" s="326" t="s">
        <v>1714</v>
      </c>
      <c r="AI1177" s="326" t="s">
        <v>1496</v>
      </c>
      <c r="AJ1177" s="326" t="s">
        <v>1487</v>
      </c>
      <c r="AK1177" s="326" t="s">
        <v>1488</v>
      </c>
      <c r="AL1177" s="326" t="s">
        <v>1497</v>
      </c>
      <c r="AO1177" s="326" t="s">
        <v>1494</v>
      </c>
      <c r="AQ1177">
        <v>153</v>
      </c>
      <c r="AV1177" s="326" t="b">
        <v>1</v>
      </c>
      <c r="AW1177" t="b">
        <v>1</v>
      </c>
      <c r="AX1177" t="b">
        <v>1</v>
      </c>
      <c r="AY1177" t="b">
        <v>1</v>
      </c>
    </row>
    <row r="1178" spans="1:51">
      <c r="A1178" s="277" t="s">
        <v>1287</v>
      </c>
      <c r="B1178" s="334" t="s">
        <v>1669</v>
      </c>
      <c r="C1178" s="277">
        <f>'Schippers 2005&amp;2006 all'!B251</f>
        <v>84.48</v>
      </c>
      <c r="D1178" s="301">
        <f>'Schippers 2005&amp;2006 all'!C251</f>
        <v>36643757.464783385</v>
      </c>
      <c r="O1178" s="303"/>
      <c r="P1178" s="303">
        <f>'Schippers 2005&amp;2006 all'!O251</f>
        <v>0</v>
      </c>
      <c r="R1178" t="s">
        <v>1395</v>
      </c>
      <c r="V1178" s="313"/>
      <c r="W1178" s="313"/>
      <c r="X1178" s="306"/>
      <c r="Y1178" s="327"/>
      <c r="Z1178" s="314"/>
      <c r="AQ1178">
        <v>153</v>
      </c>
    </row>
    <row r="1179" spans="1:51">
      <c r="A1179" s="277" t="s">
        <v>1287</v>
      </c>
      <c r="B1179" s="334" t="s">
        <v>1669</v>
      </c>
      <c r="C1179" s="277">
        <f>'Schippers 2005&amp;2006 all'!B252</f>
        <v>85</v>
      </c>
      <c r="D1179" s="301">
        <f>'Schippers 2005&amp;2006 all'!C252</f>
        <v>36643757.464783385</v>
      </c>
      <c r="E1179" s="301">
        <f>'Schippers 2005&amp;2006 all'!E252</f>
        <v>415687.45765582658</v>
      </c>
      <c r="G1179" s="301">
        <f>E1179+F1179</f>
        <v>415687.45765582658</v>
      </c>
      <c r="H1179" s="27">
        <f>G1179/D1179</f>
        <v>1.1344018365347071E-2</v>
      </c>
      <c r="M1179" s="27">
        <f>F1179/G1179</f>
        <v>0</v>
      </c>
      <c r="O1179" s="303" t="s">
        <v>0</v>
      </c>
      <c r="P1179" s="303">
        <f>'Schippers 2005&amp;2006 all'!O252</f>
        <v>0</v>
      </c>
      <c r="Q1179" s="301" t="b">
        <v>1</v>
      </c>
      <c r="R1179" t="s">
        <v>1395</v>
      </c>
      <c r="S1179" t="s">
        <v>52</v>
      </c>
      <c r="T1179" t="s">
        <v>51</v>
      </c>
      <c r="U1179" t="s">
        <v>51</v>
      </c>
      <c r="V1179" s="313">
        <v>0.55000000000000004</v>
      </c>
      <c r="W1179" s="313">
        <v>0.55000000000000004</v>
      </c>
      <c r="X1179" s="306" t="s">
        <v>248</v>
      </c>
      <c r="Y1179" s="327" t="s">
        <v>96</v>
      </c>
      <c r="Z1179" s="314" t="s">
        <v>100</v>
      </c>
      <c r="AB1179" s="334" t="s">
        <v>311</v>
      </c>
      <c r="AC1179" s="334" t="s">
        <v>1702</v>
      </c>
      <c r="AQ1179">
        <v>153</v>
      </c>
    </row>
    <row r="1180" spans="1:51">
      <c r="A1180" s="277" t="s">
        <v>1287</v>
      </c>
      <c r="B1180" s="334" t="s">
        <v>1669</v>
      </c>
      <c r="C1180" s="277">
        <f>'Schippers 2005&amp;2006 all'!B253</f>
        <v>85.1</v>
      </c>
      <c r="D1180" s="301">
        <f>'Schippers 2005&amp;2006 all'!C253</f>
        <v>36643757.464783385</v>
      </c>
      <c r="J1180" s="301">
        <f>'Schippers 2005&amp;2006 all'!I253</f>
        <v>140145.40507058793</v>
      </c>
      <c r="O1180" s="303"/>
      <c r="P1180" s="303">
        <f>'Schippers 2005&amp;2006 all'!O253</f>
        <v>0</v>
      </c>
      <c r="R1180" t="s">
        <v>1395</v>
      </c>
      <c r="V1180" s="313"/>
      <c r="W1180" s="313"/>
      <c r="X1180" s="306"/>
      <c r="Y1180" s="334"/>
      <c r="Z1180" s="314"/>
      <c r="AA1180" s="326" t="s">
        <v>1495</v>
      </c>
      <c r="AD1180" s="326" t="s">
        <v>1717</v>
      </c>
      <c r="AE1180" s="326" t="s">
        <v>1725</v>
      </c>
      <c r="AF1180" s="326" t="s">
        <v>1735</v>
      </c>
      <c r="AG1180" s="326" t="s">
        <v>1707</v>
      </c>
      <c r="AH1180" s="326" t="s">
        <v>1714</v>
      </c>
      <c r="AI1180" s="326" t="s">
        <v>1496</v>
      </c>
      <c r="AJ1180" s="326" t="s">
        <v>1487</v>
      </c>
      <c r="AK1180" s="326" t="s">
        <v>1488</v>
      </c>
      <c r="AL1180" s="326" t="s">
        <v>1497</v>
      </c>
      <c r="AO1180" s="326" t="s">
        <v>1494</v>
      </c>
      <c r="AQ1180">
        <v>153</v>
      </c>
      <c r="AV1180" s="326" t="b">
        <v>1</v>
      </c>
      <c r="AW1180" t="b">
        <v>1</v>
      </c>
      <c r="AX1180" t="b">
        <v>1</v>
      </c>
      <c r="AY1180" t="b">
        <v>1</v>
      </c>
    </row>
    <row r="1181" spans="1:51">
      <c r="A1181" s="277" t="s">
        <v>1287</v>
      </c>
      <c r="B1181" s="334" t="s">
        <v>1669</v>
      </c>
      <c r="C1181" s="277">
        <f>'Schippers 2005&amp;2006 all'!B254</f>
        <v>85.2</v>
      </c>
      <c r="D1181" s="301">
        <f>'Schippers 2005&amp;2006 all'!C254</f>
        <v>36643757.464783385</v>
      </c>
      <c r="I1181" s="301">
        <f>'Schippers 2005&amp;2006 all'!H254</f>
        <v>12607148.347306</v>
      </c>
      <c r="J1181" s="301">
        <f>'Schippers 2005&amp;2006 all'!I254</f>
        <v>134937.97750089029</v>
      </c>
      <c r="K1181" s="301">
        <f>I1181+J1181</f>
        <v>12742086.32480689</v>
      </c>
      <c r="N1181" s="27">
        <f>J1181/K1181</f>
        <v>1.0589943754986711E-2</v>
      </c>
      <c r="O1181" s="303"/>
      <c r="P1181" s="303">
        <f>'Schippers 2005&amp;2006 all'!O254</f>
        <v>0</v>
      </c>
      <c r="R1181" t="s">
        <v>1395</v>
      </c>
      <c r="V1181" s="313"/>
      <c r="W1181" s="313"/>
      <c r="X1181" s="306"/>
      <c r="Y1181" s="327"/>
      <c r="Z1181" s="314"/>
      <c r="AA1181" s="326" t="s">
        <v>1495</v>
      </c>
      <c r="AD1181" s="326" t="s">
        <v>1717</v>
      </c>
      <c r="AE1181" s="326" t="s">
        <v>1725</v>
      </c>
      <c r="AF1181" s="326" t="s">
        <v>1735</v>
      </c>
      <c r="AG1181" s="326" t="s">
        <v>1707</v>
      </c>
      <c r="AH1181" s="326" t="s">
        <v>1714</v>
      </c>
      <c r="AI1181" s="326" t="s">
        <v>1496</v>
      </c>
      <c r="AJ1181" s="326" t="s">
        <v>1487</v>
      </c>
      <c r="AK1181" s="326" t="s">
        <v>1488</v>
      </c>
      <c r="AL1181" s="326" t="s">
        <v>1497</v>
      </c>
      <c r="AO1181" s="326" t="s">
        <v>1494</v>
      </c>
      <c r="AQ1181">
        <v>153</v>
      </c>
      <c r="AV1181" s="326" t="b">
        <v>1</v>
      </c>
      <c r="AW1181" t="b">
        <v>1</v>
      </c>
      <c r="AX1181" t="b">
        <v>1</v>
      </c>
      <c r="AY1181" t="b">
        <v>1</v>
      </c>
    </row>
    <row r="1182" spans="1:51">
      <c r="A1182" s="277" t="s">
        <v>1287</v>
      </c>
      <c r="B1182" s="334" t="s">
        <v>1669</v>
      </c>
      <c r="C1182" s="277">
        <f>'Schippers 2005&amp;2006 all'!B255</f>
        <v>86.6</v>
      </c>
      <c r="D1182" s="301">
        <f>'Schippers 2005&amp;2006 all'!C255</f>
        <v>36643757.464783385</v>
      </c>
      <c r="I1182" s="301">
        <f>'Schippers 2005&amp;2006 all'!H255</f>
        <v>239922.58953018818</v>
      </c>
      <c r="J1182" s="301">
        <f>'Schippers 2005&amp;2006 all'!I255</f>
        <v>7532.3728075857625</v>
      </c>
      <c r="K1182" s="301">
        <f>I1182+J1182</f>
        <v>247454.96233777393</v>
      </c>
      <c r="N1182" s="27">
        <f>J1182/K1182</f>
        <v>3.0439368588228741E-2</v>
      </c>
      <c r="O1182" s="303"/>
      <c r="P1182" s="324">
        <f>'Schippers 2005&amp;2006 all'!O255</f>
        <v>0</v>
      </c>
      <c r="R1182" t="s">
        <v>1395</v>
      </c>
      <c r="V1182" s="313"/>
      <c r="W1182" s="313"/>
      <c r="X1182" s="306"/>
      <c r="Y1182" s="327"/>
      <c r="Z1182" s="314"/>
      <c r="AA1182" s="326" t="s">
        <v>1495</v>
      </c>
      <c r="AD1182" s="326" t="s">
        <v>1717</v>
      </c>
      <c r="AE1182" s="326" t="s">
        <v>1725</v>
      </c>
      <c r="AF1182" s="326" t="s">
        <v>1735</v>
      </c>
      <c r="AG1182" s="326" t="s">
        <v>1707</v>
      </c>
      <c r="AH1182" s="326" t="s">
        <v>1714</v>
      </c>
      <c r="AI1182" s="326" t="s">
        <v>1496</v>
      </c>
      <c r="AJ1182" s="326" t="s">
        <v>1487</v>
      </c>
      <c r="AK1182" s="326" t="s">
        <v>1488</v>
      </c>
      <c r="AL1182" s="326" t="s">
        <v>1497</v>
      </c>
      <c r="AO1182" s="326" t="s">
        <v>1494</v>
      </c>
      <c r="AQ1182">
        <v>153</v>
      </c>
      <c r="AV1182" s="326" t="b">
        <v>1</v>
      </c>
      <c r="AW1182" t="b">
        <v>1</v>
      </c>
      <c r="AX1182" t="b">
        <v>1</v>
      </c>
      <c r="AY1182" t="b">
        <v>1</v>
      </c>
    </row>
    <row r="1183" spans="1:51">
      <c r="A1183" s="277" t="s">
        <v>1287</v>
      </c>
      <c r="B1183" s="334" t="s">
        <v>1669</v>
      </c>
      <c r="C1183" s="277">
        <f>'Schippers 2005&amp;2006 all'!B256</f>
        <v>87</v>
      </c>
      <c r="D1183" s="301">
        <f>'Schippers 2005&amp;2006 all'!C256</f>
        <v>36643757.464783385</v>
      </c>
      <c r="E1183" s="301">
        <f>'Schippers 2005&amp;2006 all'!E256</f>
        <v>210766.20968875685</v>
      </c>
      <c r="G1183" s="301">
        <f>E1183+F1183</f>
        <v>210766.20968875685</v>
      </c>
      <c r="H1183" s="27">
        <f>G1183/D1183</f>
        <v>5.7517630360727733E-3</v>
      </c>
      <c r="M1183" s="27">
        <f>F1183/G1183</f>
        <v>0</v>
      </c>
      <c r="O1183" s="303" t="s">
        <v>0</v>
      </c>
      <c r="P1183" s="324">
        <f>'Schippers 2005&amp;2006 all'!O256</f>
        <v>0</v>
      </c>
      <c r="Q1183" s="301" t="b">
        <v>1</v>
      </c>
      <c r="R1183" t="s">
        <v>1395</v>
      </c>
      <c r="S1183" t="s">
        <v>52</v>
      </c>
      <c r="T1183" t="s">
        <v>51</v>
      </c>
      <c r="U1183" t="s">
        <v>51</v>
      </c>
      <c r="V1183" s="313">
        <v>0.55000000000000004</v>
      </c>
      <c r="W1183" s="313">
        <v>0.55000000000000004</v>
      </c>
      <c r="X1183" s="306" t="s">
        <v>248</v>
      </c>
      <c r="Y1183" s="327" t="s">
        <v>96</v>
      </c>
      <c r="Z1183" s="314" t="s">
        <v>100</v>
      </c>
      <c r="AB1183" s="334" t="s">
        <v>311</v>
      </c>
      <c r="AC1183" s="334" t="s">
        <v>1702</v>
      </c>
      <c r="AQ1183">
        <v>153</v>
      </c>
    </row>
    <row r="1184" spans="1:51">
      <c r="A1184" s="277" t="s">
        <v>1287</v>
      </c>
      <c r="B1184" s="334" t="s">
        <v>1669</v>
      </c>
      <c r="C1184" s="277">
        <f>'Schippers 2005&amp;2006 all'!B257</f>
        <v>89.8</v>
      </c>
      <c r="D1184" s="301">
        <f>'Schippers 2005&amp;2006 all'!C257</f>
        <v>9484513274.5354176</v>
      </c>
      <c r="J1184" s="301">
        <f>'Schippers 2005&amp;2006 all'!I257</f>
        <v>28145.150938989224</v>
      </c>
      <c r="O1184" s="303"/>
      <c r="P1184" s="303">
        <f>'Schippers 2005&amp;2006 all'!O257</f>
        <v>0</v>
      </c>
      <c r="R1184" t="s">
        <v>1395</v>
      </c>
      <c r="V1184" s="313"/>
      <c r="W1184" s="313"/>
      <c r="X1184" s="306"/>
      <c r="Y1184" s="328"/>
      <c r="Z1184" s="314"/>
      <c r="AA1184" s="326" t="s">
        <v>1495</v>
      </c>
      <c r="AD1184" s="326" t="s">
        <v>1717</v>
      </c>
      <c r="AE1184" s="326" t="s">
        <v>1725</v>
      </c>
      <c r="AF1184" s="326" t="s">
        <v>1735</v>
      </c>
      <c r="AG1184" s="326" t="s">
        <v>1707</v>
      </c>
      <c r="AH1184" s="326" t="s">
        <v>1714</v>
      </c>
      <c r="AI1184" s="326" t="s">
        <v>1496</v>
      </c>
      <c r="AJ1184" s="326" t="s">
        <v>1487</v>
      </c>
      <c r="AK1184" s="326" t="s">
        <v>1488</v>
      </c>
      <c r="AL1184" s="326" t="s">
        <v>1497</v>
      </c>
      <c r="AO1184" s="326" t="s">
        <v>1494</v>
      </c>
      <c r="AQ1184">
        <v>153</v>
      </c>
      <c r="AV1184" s="326" t="b">
        <v>1</v>
      </c>
      <c r="AW1184" t="b">
        <v>1</v>
      </c>
      <c r="AX1184" t="b">
        <v>1</v>
      </c>
      <c r="AY1184" t="b">
        <v>1</v>
      </c>
    </row>
    <row r="1185" spans="1:51">
      <c r="A1185" s="277" t="s">
        <v>1287</v>
      </c>
      <c r="B1185" s="334" t="s">
        <v>1669</v>
      </c>
      <c r="C1185" s="277">
        <f>'Schippers 2005&amp;2006 all'!B258</f>
        <v>89.9</v>
      </c>
      <c r="D1185" s="301">
        <f>'Schippers 2005&amp;2006 all'!C258</f>
        <v>9484513274.5354176</v>
      </c>
      <c r="I1185" s="301">
        <f>'Schippers 2005&amp;2006 all'!H258</f>
        <v>38627290.765351497</v>
      </c>
      <c r="J1185" s="301">
        <f>'Schippers 2005&amp;2006 all'!I258</f>
        <v>28145.150938989224</v>
      </c>
      <c r="K1185" s="301">
        <f>I1185+J1185</f>
        <v>38655435.916290484</v>
      </c>
      <c r="N1185" s="27">
        <f>J1185/K1185</f>
        <v>7.2810331255708505E-4</v>
      </c>
      <c r="O1185" s="303"/>
      <c r="P1185" s="304">
        <f>'Schippers 2005&amp;2006 all'!O258</f>
        <v>0</v>
      </c>
      <c r="R1185" t="s">
        <v>1395</v>
      </c>
      <c r="V1185" s="313"/>
      <c r="W1185" s="313"/>
      <c r="X1185" s="306"/>
      <c r="Z1185" s="314"/>
      <c r="AA1185" s="326" t="s">
        <v>1495</v>
      </c>
      <c r="AD1185" s="326" t="s">
        <v>1717</v>
      </c>
      <c r="AE1185" s="326" t="s">
        <v>1725</v>
      </c>
      <c r="AF1185" s="326" t="s">
        <v>1735</v>
      </c>
      <c r="AG1185" s="326" t="s">
        <v>1707</v>
      </c>
      <c r="AH1185" s="326" t="s">
        <v>1714</v>
      </c>
      <c r="AI1185" s="326" t="s">
        <v>1496</v>
      </c>
      <c r="AJ1185" s="326" t="s">
        <v>1487</v>
      </c>
      <c r="AK1185" s="326" t="s">
        <v>1488</v>
      </c>
      <c r="AL1185" s="326" t="s">
        <v>1497</v>
      </c>
      <c r="AO1185" s="326" t="s">
        <v>1494</v>
      </c>
      <c r="AQ1185">
        <v>153</v>
      </c>
      <c r="AV1185" s="326" t="b">
        <v>1</v>
      </c>
      <c r="AW1185" t="b">
        <v>1</v>
      </c>
      <c r="AX1185" t="b">
        <v>1</v>
      </c>
      <c r="AY1185" t="b">
        <v>1</v>
      </c>
    </row>
    <row r="1186" spans="1:51">
      <c r="A1186" s="277" t="s">
        <v>1287</v>
      </c>
      <c r="B1186" s="334" t="s">
        <v>1669</v>
      </c>
      <c r="C1186" s="277">
        <f>'Schippers 2005&amp;2006 all'!B259</f>
        <v>90</v>
      </c>
      <c r="D1186" s="301">
        <f>'Schippers 2005&amp;2006 all'!C259</f>
        <v>9484513274.5354176</v>
      </c>
      <c r="O1186" s="303"/>
      <c r="P1186" s="324">
        <f>'Schippers 2005&amp;2006 all'!O259</f>
        <v>0.62</v>
      </c>
      <c r="R1186" t="s">
        <v>1395</v>
      </c>
      <c r="V1186" s="313"/>
      <c r="W1186" s="313"/>
      <c r="X1186" s="306"/>
      <c r="Z1186" s="314"/>
      <c r="AQ1186">
        <v>153</v>
      </c>
    </row>
    <row r="1187" spans="1:51">
      <c r="A1187" s="277" t="s">
        <v>1287</v>
      </c>
      <c r="B1187" s="334" t="s">
        <v>1669</v>
      </c>
      <c r="C1187" s="277">
        <f>'Schippers 2005&amp;2006 all'!B260</f>
        <v>90.2</v>
      </c>
      <c r="D1187" s="301">
        <f>'Schippers 2005&amp;2006 all'!C260</f>
        <v>9484513274.5354176</v>
      </c>
      <c r="O1187" s="303"/>
      <c r="P1187" s="324">
        <f>'Schippers 2005&amp;2006 all'!O260</f>
        <v>0.62</v>
      </c>
      <c r="R1187" t="s">
        <v>1395</v>
      </c>
      <c r="V1187" s="313"/>
      <c r="W1187" s="313"/>
      <c r="X1187" s="306"/>
      <c r="Z1187" s="314"/>
      <c r="AQ1187">
        <v>153</v>
      </c>
    </row>
    <row r="1188" spans="1:51">
      <c r="A1188" s="277" t="s">
        <v>1287</v>
      </c>
      <c r="B1188" s="334" t="s">
        <v>1669</v>
      </c>
      <c r="C1188" s="277">
        <f>'Schippers 2005&amp;2006 all'!B261</f>
        <v>90.4</v>
      </c>
      <c r="D1188" s="301">
        <f>'Schippers 2005&amp;2006 all'!C261</f>
        <v>9484513274.5354176</v>
      </c>
      <c r="O1188" s="303"/>
      <c r="P1188" s="304">
        <f>'Schippers 2005&amp;2006 all'!O261</f>
        <v>0.62</v>
      </c>
      <c r="R1188" s="304" t="s">
        <v>1395</v>
      </c>
      <c r="S1188" s="304"/>
      <c r="T1188" s="304"/>
      <c r="U1188" s="304"/>
      <c r="V1188" s="313"/>
      <c r="W1188" s="313"/>
      <c r="X1188" s="306"/>
      <c r="Z1188" s="314"/>
      <c r="AQ1188">
        <v>153</v>
      </c>
    </row>
    <row r="1189" spans="1:51">
      <c r="A1189" s="277" t="s">
        <v>1287</v>
      </c>
      <c r="B1189" s="334" t="s">
        <v>1669</v>
      </c>
      <c r="C1189" s="277">
        <f>'Schippers 2005&amp;2006 all'!B262</f>
        <v>90.45</v>
      </c>
      <c r="D1189" s="301">
        <f>'Schippers 2005&amp;2006 all'!C262</f>
        <v>9484513274.5354176</v>
      </c>
      <c r="O1189" s="303"/>
      <c r="P1189" s="304">
        <f>'Schippers 2005&amp;2006 all'!O262</f>
        <v>0.62</v>
      </c>
      <c r="R1189" s="304" t="s">
        <v>1395</v>
      </c>
      <c r="S1189" s="304"/>
      <c r="T1189" s="304"/>
      <c r="U1189" s="304"/>
      <c r="V1189" s="313"/>
      <c r="W1189" s="313"/>
      <c r="X1189" s="306"/>
      <c r="Y1189" s="334"/>
      <c r="Z1189" s="314"/>
      <c r="AQ1189">
        <v>153</v>
      </c>
    </row>
    <row r="1190" spans="1:51">
      <c r="A1190" s="277" t="s">
        <v>1287</v>
      </c>
      <c r="B1190" s="334" t="s">
        <v>1669</v>
      </c>
      <c r="C1190" s="277">
        <f>'Schippers 2005&amp;2006 all'!B263</f>
        <v>91</v>
      </c>
      <c r="D1190" s="301">
        <f>'Schippers 2005&amp;2006 all'!C263</f>
        <v>580960283.23562849</v>
      </c>
      <c r="E1190" s="301">
        <f>'Schippers 2005&amp;2006 all'!E263</f>
        <v>246364.3908371244</v>
      </c>
      <c r="G1190" s="301">
        <f>E1190+F1190</f>
        <v>246364.3908371244</v>
      </c>
      <c r="H1190" s="27">
        <f>G1190/D1190</f>
        <v>4.2406408483728106E-4</v>
      </c>
      <c r="M1190" s="27">
        <f>F1190/G1190</f>
        <v>0</v>
      </c>
      <c r="O1190" s="303" t="s">
        <v>0</v>
      </c>
      <c r="P1190" s="304">
        <f>'Schippers 2005&amp;2006 all'!O263</f>
        <v>0.95</v>
      </c>
      <c r="Q1190" s="301" t="b">
        <v>1</v>
      </c>
      <c r="R1190" s="304" t="s">
        <v>1395</v>
      </c>
      <c r="S1190" s="304" t="s">
        <v>52</v>
      </c>
      <c r="T1190" s="304" t="s">
        <v>51</v>
      </c>
      <c r="U1190" s="304" t="s">
        <v>51</v>
      </c>
      <c r="V1190" s="313">
        <v>0.55000000000000004</v>
      </c>
      <c r="W1190" s="313">
        <v>0.55000000000000004</v>
      </c>
      <c r="X1190" s="306" t="s">
        <v>248</v>
      </c>
      <c r="Y1190" s="323" t="s">
        <v>96</v>
      </c>
      <c r="Z1190" s="314" t="s">
        <v>100</v>
      </c>
      <c r="AB1190" s="334" t="s">
        <v>311</v>
      </c>
      <c r="AC1190" s="334" t="s">
        <v>1702</v>
      </c>
      <c r="AQ1190">
        <v>153</v>
      </c>
    </row>
    <row r="1191" spans="1:51">
      <c r="A1191" s="277" t="s">
        <v>1287</v>
      </c>
      <c r="B1191" s="334" t="s">
        <v>1669</v>
      </c>
      <c r="C1191" s="277">
        <f>'Schippers 2005&amp;2006 all'!B264</f>
        <v>91</v>
      </c>
      <c r="D1191" s="301">
        <f>'Schippers 2005&amp;2006 all'!C264</f>
        <v>580960283.23562849</v>
      </c>
      <c r="E1191" s="301">
        <f>'Schippers 2005&amp;2006 all'!E264</f>
        <v>498691.43220272847</v>
      </c>
      <c r="G1191" s="301">
        <f>E1191+F1191</f>
        <v>498691.43220272847</v>
      </c>
      <c r="H1191" s="27">
        <f>G1191/D1191</f>
        <v>8.5839160884680816E-4</v>
      </c>
      <c r="M1191" s="27">
        <f>F1191/G1191</f>
        <v>0</v>
      </c>
      <c r="O1191" s="303" t="s">
        <v>0</v>
      </c>
      <c r="P1191" s="324">
        <f>'Schippers 2005&amp;2006 all'!O264</f>
        <v>0.95</v>
      </c>
      <c r="Q1191" s="301" t="b">
        <v>1</v>
      </c>
      <c r="R1191" s="304" t="s">
        <v>1395</v>
      </c>
      <c r="S1191" s="304" t="s">
        <v>52</v>
      </c>
      <c r="T1191" s="304" t="s">
        <v>51</v>
      </c>
      <c r="U1191" s="304" t="s">
        <v>51</v>
      </c>
      <c r="V1191" s="313">
        <v>0.55000000000000004</v>
      </c>
      <c r="W1191" s="313">
        <v>0.55000000000000004</v>
      </c>
      <c r="X1191" s="306" t="s">
        <v>248</v>
      </c>
      <c r="Y1191" s="323" t="s">
        <v>96</v>
      </c>
      <c r="Z1191" s="314" t="s">
        <v>100</v>
      </c>
      <c r="AB1191" s="334" t="s">
        <v>311</v>
      </c>
      <c r="AC1191" s="334" t="s">
        <v>1702</v>
      </c>
      <c r="AQ1191">
        <v>153</v>
      </c>
    </row>
    <row r="1192" spans="1:51">
      <c r="A1192" s="277" t="s">
        <v>1287</v>
      </c>
      <c r="B1192" s="334" t="s">
        <v>1669</v>
      </c>
      <c r="C1192" s="277">
        <f>'Schippers 2005&amp;2006 all'!B265</f>
        <v>91.14</v>
      </c>
      <c r="D1192" s="301">
        <f>'Schippers 2005&amp;2006 all'!C265</f>
        <v>580960283.23562849</v>
      </c>
      <c r="O1192" s="303"/>
      <c r="P1192" s="304">
        <f>'Schippers 2005&amp;2006 all'!O265</f>
        <v>0.95</v>
      </c>
      <c r="R1192" s="304" t="s">
        <v>1395</v>
      </c>
      <c r="S1192" s="304"/>
      <c r="T1192" s="304"/>
      <c r="U1192" s="304"/>
      <c r="V1192" s="313"/>
      <c r="W1192" s="313"/>
      <c r="X1192" s="306"/>
      <c r="Y1192" s="323"/>
      <c r="Z1192" s="314"/>
      <c r="AQ1192">
        <v>153</v>
      </c>
    </row>
    <row r="1193" spans="1:51">
      <c r="A1193" s="277" t="s">
        <v>1287</v>
      </c>
      <c r="B1193" s="334" t="s">
        <v>1669</v>
      </c>
      <c r="C1193" s="277">
        <f>'Schippers 2005&amp;2006 all'!B266</f>
        <v>91.28</v>
      </c>
      <c r="D1193" s="301">
        <f>'Schippers 2005&amp;2006 all'!C266</f>
        <v>2062530172.1905682</v>
      </c>
      <c r="O1193" s="303"/>
      <c r="P1193" s="304">
        <f>'Schippers 2005&amp;2006 all'!O266</f>
        <v>0.95</v>
      </c>
      <c r="R1193" s="304" t="s">
        <v>1395</v>
      </c>
      <c r="S1193" s="304"/>
      <c r="T1193" s="304"/>
      <c r="U1193" s="304"/>
      <c r="V1193" s="313"/>
      <c r="W1193" s="313"/>
      <c r="X1193" s="306"/>
      <c r="Y1193" s="328"/>
      <c r="Z1193" s="314"/>
      <c r="AQ1193">
        <v>153</v>
      </c>
    </row>
    <row r="1194" spans="1:51">
      <c r="A1194" s="277" t="s">
        <v>1287</v>
      </c>
      <c r="B1194" s="334" t="s">
        <v>1669</v>
      </c>
      <c r="C1194" s="277">
        <f>'Schippers 2005&amp;2006 all'!B267</f>
        <v>92.6</v>
      </c>
      <c r="D1194" s="301">
        <f>'Schippers 2005&amp;2006 all'!C267</f>
        <v>2062530172.1905682</v>
      </c>
      <c r="I1194" s="301">
        <f>'Schippers 2005&amp;2006 all'!H267</f>
        <v>6777926.4861249598</v>
      </c>
      <c r="J1194" s="301">
        <f>'Schippers 2005&amp;2006 all'!I267</f>
        <v>9087.7531288216724</v>
      </c>
      <c r="K1194" s="301">
        <f>I1194+J1194</f>
        <v>6787014.2392537817</v>
      </c>
      <c r="N1194" s="27">
        <f>J1194/K1194</f>
        <v>1.338991316131503E-3</v>
      </c>
      <c r="O1194" s="303"/>
      <c r="P1194" s="303">
        <f>'Schippers 2005&amp;2006 all'!O267</f>
        <v>1.33</v>
      </c>
      <c r="R1194" s="304" t="s">
        <v>1395</v>
      </c>
      <c r="S1194" s="304"/>
      <c r="T1194" s="304"/>
      <c r="U1194" s="304"/>
      <c r="V1194" s="313"/>
      <c r="W1194" s="313"/>
      <c r="X1194" s="306"/>
      <c r="Y1194" s="328"/>
      <c r="Z1194" s="314"/>
      <c r="AA1194" s="326" t="s">
        <v>1495</v>
      </c>
      <c r="AD1194" s="326" t="s">
        <v>1717</v>
      </c>
      <c r="AE1194" s="326" t="s">
        <v>1725</v>
      </c>
      <c r="AF1194" s="326" t="s">
        <v>1735</v>
      </c>
      <c r="AG1194" s="326" t="s">
        <v>1707</v>
      </c>
      <c r="AH1194" s="326" t="s">
        <v>1714</v>
      </c>
      <c r="AI1194" s="326" t="s">
        <v>1496</v>
      </c>
      <c r="AJ1194" s="326" t="s">
        <v>1487</v>
      </c>
      <c r="AK1194" s="326" t="s">
        <v>1488</v>
      </c>
      <c r="AL1194" s="326" t="s">
        <v>1497</v>
      </c>
      <c r="AO1194" s="326" t="s">
        <v>1494</v>
      </c>
      <c r="AQ1194">
        <v>153</v>
      </c>
      <c r="AV1194" s="326" t="b">
        <v>1</v>
      </c>
      <c r="AW1194" t="b">
        <v>1</v>
      </c>
      <c r="AX1194" t="b">
        <v>1</v>
      </c>
      <c r="AY1194" t="b">
        <v>1</v>
      </c>
    </row>
    <row r="1195" spans="1:51">
      <c r="A1195" s="277" t="s">
        <v>1287</v>
      </c>
      <c r="B1195" s="334" t="s">
        <v>1669</v>
      </c>
      <c r="C1195" s="277">
        <f>'Schippers 2005&amp;2006 all'!B268</f>
        <v>95.2</v>
      </c>
      <c r="D1195" s="301">
        <f>'Schippers 2005&amp;2006 all'!C268</f>
        <v>2062530172.1905682</v>
      </c>
      <c r="I1195" s="301">
        <f>'Schippers 2005&amp;2006 all'!H268</f>
        <v>7949762.2426929502</v>
      </c>
      <c r="J1195" s="301">
        <f>'Schippers 2005&amp;2006 all'!I268</f>
        <v>10733.412169890109</v>
      </c>
      <c r="K1195" s="301">
        <f>I1195+J1195</f>
        <v>7960495.6548628407</v>
      </c>
      <c r="N1195" s="27">
        <f>J1195/K1195</f>
        <v>1.3483346559373312E-3</v>
      </c>
      <c r="O1195" s="303"/>
      <c r="P1195" s="304">
        <f>'Schippers 2005&amp;2006 all'!O268</f>
        <v>1.7</v>
      </c>
      <c r="R1195" s="304" t="s">
        <v>1395</v>
      </c>
      <c r="S1195" s="304"/>
      <c r="T1195" s="304"/>
      <c r="U1195" s="304"/>
      <c r="V1195" s="313"/>
      <c r="W1195" s="313"/>
      <c r="X1195" s="306"/>
      <c r="Y1195" s="323"/>
      <c r="Z1195" s="314"/>
      <c r="AA1195" s="326" t="s">
        <v>1495</v>
      </c>
      <c r="AD1195" s="326" t="s">
        <v>1717</v>
      </c>
      <c r="AE1195" s="326" t="s">
        <v>1725</v>
      </c>
      <c r="AF1195" s="326" t="s">
        <v>1735</v>
      </c>
      <c r="AG1195" s="326" t="s">
        <v>1707</v>
      </c>
      <c r="AH1195" s="326" t="s">
        <v>1714</v>
      </c>
      <c r="AI1195" s="326" t="s">
        <v>1496</v>
      </c>
      <c r="AJ1195" s="326" t="s">
        <v>1487</v>
      </c>
      <c r="AK1195" s="326" t="s">
        <v>1488</v>
      </c>
      <c r="AL1195" s="326" t="s">
        <v>1497</v>
      </c>
      <c r="AO1195" s="326" t="s">
        <v>1494</v>
      </c>
      <c r="AQ1195">
        <v>153</v>
      </c>
      <c r="AV1195" s="326" t="b">
        <v>1</v>
      </c>
      <c r="AW1195" t="b">
        <v>1</v>
      </c>
      <c r="AX1195" t="b">
        <v>1</v>
      </c>
      <c r="AY1195" t="b">
        <v>1</v>
      </c>
    </row>
    <row r="1196" spans="1:51">
      <c r="A1196" s="277" t="s">
        <v>1287</v>
      </c>
      <c r="B1196" s="334" t="s">
        <v>1669</v>
      </c>
      <c r="C1196" s="277">
        <f>'Schippers 2005&amp;2006 all'!B269</f>
        <v>101.7</v>
      </c>
      <c r="D1196" s="301">
        <f>'Schippers 2005&amp;2006 all'!C269</f>
        <v>9540072.2370659243</v>
      </c>
      <c r="H1196" s="336"/>
      <c r="I1196" s="301">
        <f>'Schippers 2005&amp;2006 all'!H269</f>
        <v>11597.012898599241</v>
      </c>
      <c r="J1196" s="301">
        <f>'Schippers 2005&amp;2006 all'!I269</f>
        <v>32.277493836469326</v>
      </c>
      <c r="K1196" s="301">
        <f>I1196+J1196</f>
        <v>11629.290392435711</v>
      </c>
      <c r="N1196" s="27">
        <f>J1196/K1196</f>
        <v>2.7755342542193518E-3</v>
      </c>
      <c r="O1196" s="303"/>
      <c r="P1196" s="303">
        <f>'Schippers 2005&amp;2006 all'!O269</f>
        <v>3.33</v>
      </c>
      <c r="R1196" s="304" t="s">
        <v>1395</v>
      </c>
      <c r="S1196" s="304"/>
      <c r="T1196" s="304"/>
      <c r="U1196" s="304"/>
      <c r="V1196" s="313"/>
      <c r="W1196" s="313"/>
      <c r="X1196" s="306"/>
      <c r="Y1196" s="323"/>
      <c r="Z1196" s="314"/>
      <c r="AA1196" s="326" t="s">
        <v>1495</v>
      </c>
      <c r="AD1196" s="326" t="s">
        <v>1717</v>
      </c>
      <c r="AE1196" s="326" t="s">
        <v>1725</v>
      </c>
      <c r="AF1196" s="326" t="s">
        <v>1735</v>
      </c>
      <c r="AG1196" s="326" t="s">
        <v>1707</v>
      </c>
      <c r="AH1196" s="326" t="s">
        <v>1714</v>
      </c>
      <c r="AI1196" s="326" t="s">
        <v>1496</v>
      </c>
      <c r="AJ1196" s="326" t="s">
        <v>1487</v>
      </c>
      <c r="AK1196" s="326" t="s">
        <v>1488</v>
      </c>
      <c r="AL1196" s="326" t="s">
        <v>1497</v>
      </c>
      <c r="AO1196" s="326" t="s">
        <v>1494</v>
      </c>
      <c r="AQ1196">
        <v>153</v>
      </c>
      <c r="AV1196" s="326" t="b">
        <v>1</v>
      </c>
      <c r="AW1196" t="b">
        <v>1</v>
      </c>
      <c r="AX1196" t="b">
        <v>1</v>
      </c>
      <c r="AY1196" t="b">
        <v>1</v>
      </c>
    </row>
    <row r="1197" spans="1:51">
      <c r="A1197" s="277" t="s">
        <v>1287</v>
      </c>
      <c r="B1197" s="334" t="s">
        <v>1669</v>
      </c>
      <c r="C1197" s="277">
        <f>'Schippers 2005&amp;2006 all'!B270</f>
        <v>102</v>
      </c>
      <c r="D1197" s="301">
        <f>'Schippers 2005&amp;2006 all'!C270</f>
        <v>9540072.2370659243</v>
      </c>
      <c r="E1197" s="301">
        <f>'Schippers 2005&amp;2006 all'!E270</f>
        <v>1482522.8838759938</v>
      </c>
      <c r="G1197" s="301">
        <f>E1197+F1197</f>
        <v>1482522.8838759938</v>
      </c>
      <c r="H1197" s="27">
        <f>G1197/D1197</f>
        <v>0.15539954489191035</v>
      </c>
      <c r="M1197" s="27">
        <f>F1197/G1197</f>
        <v>0</v>
      </c>
      <c r="O1197" s="303" t="s">
        <v>0</v>
      </c>
      <c r="P1197" s="303">
        <f>'Schippers 2005&amp;2006 all'!O270</f>
        <v>3.79</v>
      </c>
      <c r="Q1197" s="301" t="b">
        <v>1</v>
      </c>
      <c r="R1197" s="304" t="s">
        <v>1395</v>
      </c>
      <c r="S1197" s="304" t="s">
        <v>52</v>
      </c>
      <c r="T1197" s="304" t="s">
        <v>51</v>
      </c>
      <c r="U1197" s="304" t="s">
        <v>51</v>
      </c>
      <c r="V1197" s="313">
        <v>0.55000000000000004</v>
      </c>
      <c r="W1197" s="313">
        <v>0.55000000000000004</v>
      </c>
      <c r="X1197" s="306" t="s">
        <v>248</v>
      </c>
      <c r="Y1197" s="323" t="s">
        <v>96</v>
      </c>
      <c r="Z1197" s="314" t="s">
        <v>100</v>
      </c>
      <c r="AB1197" s="334" t="s">
        <v>311</v>
      </c>
      <c r="AC1197" s="334" t="s">
        <v>1702</v>
      </c>
      <c r="AQ1197">
        <v>153</v>
      </c>
    </row>
    <row r="1198" spans="1:51">
      <c r="A1198" s="277" t="s">
        <v>1287</v>
      </c>
      <c r="B1198" s="334" t="s">
        <v>1669</v>
      </c>
      <c r="C1198" s="277">
        <f>'Schippers 2005&amp;2006 all'!B271</f>
        <v>102.43</v>
      </c>
      <c r="D1198" s="301">
        <f>'Schippers 2005&amp;2006 all'!C271</f>
        <v>9540072.2370659243</v>
      </c>
      <c r="O1198" s="303"/>
      <c r="P1198" s="304">
        <f>'Schippers 2005&amp;2006 all'!O271</f>
        <v>3.79</v>
      </c>
      <c r="R1198" s="304" t="s">
        <v>1395</v>
      </c>
      <c r="S1198" s="304"/>
      <c r="T1198" s="304"/>
      <c r="U1198" s="304"/>
      <c r="V1198" s="313"/>
      <c r="W1198" s="313"/>
      <c r="X1198" s="306"/>
      <c r="Y1198" s="323"/>
      <c r="Z1198" s="314"/>
      <c r="AQ1198">
        <v>153</v>
      </c>
    </row>
    <row r="1199" spans="1:51">
      <c r="A1199" s="277" t="s">
        <v>1287</v>
      </c>
      <c r="B1199" s="334" t="s">
        <v>1669</v>
      </c>
      <c r="C1199" s="277">
        <f>'Schippers 2005&amp;2006 all'!B272</f>
        <v>109.4</v>
      </c>
      <c r="J1199" s="301">
        <f>'Schippers 2005&amp;2006 all'!I272</f>
        <v>87076.918171369063</v>
      </c>
      <c r="O1199" s="303"/>
      <c r="P1199" s="303">
        <f>'Schippers 2005&amp;2006 all'!O272</f>
        <v>5.17</v>
      </c>
      <c r="R1199" s="304" t="s">
        <v>1395</v>
      </c>
      <c r="S1199" s="304"/>
      <c r="T1199" s="304"/>
      <c r="U1199" s="304"/>
      <c r="V1199" s="313"/>
      <c r="W1199" s="313"/>
      <c r="X1199" s="306"/>
      <c r="Y1199" s="323"/>
      <c r="Z1199" s="314"/>
      <c r="AA1199" s="326" t="s">
        <v>1495</v>
      </c>
      <c r="AD1199" s="326" t="s">
        <v>1717</v>
      </c>
      <c r="AE1199" s="326" t="s">
        <v>1725</v>
      </c>
      <c r="AF1199" s="326" t="s">
        <v>1735</v>
      </c>
      <c r="AG1199" s="326" t="s">
        <v>1707</v>
      </c>
      <c r="AH1199" s="326" t="s">
        <v>1714</v>
      </c>
      <c r="AI1199" s="326" t="s">
        <v>1496</v>
      </c>
      <c r="AJ1199" s="326" t="s">
        <v>1487</v>
      </c>
      <c r="AK1199" s="326" t="s">
        <v>1488</v>
      </c>
      <c r="AL1199" s="326" t="s">
        <v>1497</v>
      </c>
      <c r="AO1199" s="326" t="s">
        <v>1494</v>
      </c>
      <c r="AQ1199">
        <v>153</v>
      </c>
      <c r="AV1199" s="326" t="b">
        <v>1</v>
      </c>
      <c r="AW1199" t="b">
        <v>1</v>
      </c>
      <c r="AX1199" t="b">
        <v>1</v>
      </c>
      <c r="AY1199" t="b">
        <v>1</v>
      </c>
    </row>
    <row r="1200" spans="1:51">
      <c r="A1200" s="277" t="s">
        <v>1287</v>
      </c>
      <c r="B1200" s="334" t="s">
        <v>1669</v>
      </c>
      <c r="C1200" s="277">
        <f>'Schippers 2005&amp;2006 all'!B273</f>
        <v>109.4</v>
      </c>
      <c r="O1200" s="303"/>
      <c r="P1200" s="303">
        <f>'Schippers 2005&amp;2006 all'!O273</f>
        <v>5.17</v>
      </c>
      <c r="R1200" s="304" t="s">
        <v>1395</v>
      </c>
      <c r="S1200" s="304"/>
      <c r="T1200" s="304"/>
      <c r="U1200" s="304"/>
      <c r="V1200" s="313"/>
      <c r="W1200" s="313"/>
      <c r="X1200" s="306"/>
      <c r="Y1200" s="323"/>
      <c r="Z1200" s="314"/>
      <c r="AA1200" s="328"/>
      <c r="AE1200" s="328"/>
      <c r="AQ1200">
        <v>153</v>
      </c>
    </row>
    <row r="1201" spans="1:51">
      <c r="A1201" s="277" t="s">
        <v>1287</v>
      </c>
      <c r="B1201" s="334" t="s">
        <v>1669</v>
      </c>
      <c r="C1201" s="277">
        <f>'Schippers 2005&amp;2006 all'!B274</f>
        <v>109.5</v>
      </c>
      <c r="I1201" s="301">
        <f>'Schippers 2005&amp;2006 all'!H274</f>
        <v>31553827.725063201</v>
      </c>
      <c r="J1201" s="301">
        <f>'Schippers 2005&amp;2006 all'!I274</f>
        <v>87076.918171369063</v>
      </c>
      <c r="K1201" s="301">
        <f>I1201+J1201</f>
        <v>31640904.64323457</v>
      </c>
      <c r="N1201" s="27">
        <f>J1201/K1201</f>
        <v>2.7520363008959599E-3</v>
      </c>
      <c r="O1201" s="303"/>
      <c r="P1201" s="304">
        <f>'Schippers 2005&amp;2006 all'!O274</f>
        <v>5.17</v>
      </c>
      <c r="R1201" s="304" t="s">
        <v>1395</v>
      </c>
      <c r="S1201" s="304"/>
      <c r="T1201" s="304"/>
      <c r="U1201" s="304"/>
      <c r="V1201" s="313"/>
      <c r="W1201" s="313"/>
      <c r="X1201" s="306"/>
      <c r="Y1201" s="323"/>
      <c r="Z1201" s="314"/>
      <c r="AA1201" s="326" t="s">
        <v>1495</v>
      </c>
      <c r="AD1201" s="326" t="s">
        <v>1717</v>
      </c>
      <c r="AE1201" s="326" t="s">
        <v>1725</v>
      </c>
      <c r="AF1201" s="326" t="s">
        <v>1735</v>
      </c>
      <c r="AG1201" s="326" t="s">
        <v>1707</v>
      </c>
      <c r="AH1201" s="326" t="s">
        <v>1714</v>
      </c>
      <c r="AI1201" s="326" t="s">
        <v>1496</v>
      </c>
      <c r="AJ1201" s="326" t="s">
        <v>1487</v>
      </c>
      <c r="AK1201" s="326" t="s">
        <v>1488</v>
      </c>
      <c r="AL1201" s="326" t="s">
        <v>1497</v>
      </c>
      <c r="AO1201" s="326" t="s">
        <v>1494</v>
      </c>
      <c r="AQ1201">
        <v>153</v>
      </c>
      <c r="AV1201" s="326" t="b">
        <v>1</v>
      </c>
      <c r="AW1201" t="b">
        <v>1</v>
      </c>
      <c r="AX1201" t="b">
        <v>1</v>
      </c>
      <c r="AY1201" t="b">
        <v>1</v>
      </c>
    </row>
    <row r="1202" spans="1:51">
      <c r="A1202" s="277" t="s">
        <v>1287</v>
      </c>
      <c r="B1202" s="334" t="s">
        <v>1669</v>
      </c>
      <c r="C1202" s="277">
        <f>'Schippers 2005&amp;2006 all'!B275</f>
        <v>111</v>
      </c>
      <c r="I1202" s="301">
        <f>'Schippers 2005&amp;2006 all'!H275</f>
        <v>399950.86481311783</v>
      </c>
      <c r="J1202" s="301">
        <f>'Schippers 2005&amp;2006 all'!I275</f>
        <v>5974.8793520066911</v>
      </c>
      <c r="K1202" s="301">
        <f>I1202+J1202</f>
        <v>405925.74416512455</v>
      </c>
      <c r="N1202" s="27">
        <f>J1202/K1202</f>
        <v>1.4719143680564884E-2</v>
      </c>
      <c r="O1202" s="303"/>
      <c r="P1202" s="324">
        <f>'Schippers 2005&amp;2006 all'!O275</f>
        <v>5.55</v>
      </c>
      <c r="R1202" s="304" t="s">
        <v>1395</v>
      </c>
      <c r="S1202" s="304"/>
      <c r="T1202" s="304"/>
      <c r="U1202" s="304"/>
      <c r="V1202" s="313"/>
      <c r="W1202" s="313"/>
      <c r="X1202" s="306"/>
      <c r="Y1202" s="323"/>
      <c r="Z1202" s="314"/>
      <c r="AA1202" s="326" t="s">
        <v>1495</v>
      </c>
      <c r="AD1202" s="326" t="s">
        <v>1717</v>
      </c>
      <c r="AE1202" s="326" t="s">
        <v>1725</v>
      </c>
      <c r="AF1202" s="326" t="s">
        <v>1735</v>
      </c>
      <c r="AG1202" s="326" t="s">
        <v>1707</v>
      </c>
      <c r="AH1202" s="326" t="s">
        <v>1714</v>
      </c>
      <c r="AI1202" s="326" t="s">
        <v>1496</v>
      </c>
      <c r="AJ1202" s="326" t="s">
        <v>1487</v>
      </c>
      <c r="AK1202" s="326" t="s">
        <v>1488</v>
      </c>
      <c r="AL1202" s="326" t="s">
        <v>1497</v>
      </c>
      <c r="AO1202" s="326" t="s">
        <v>1494</v>
      </c>
      <c r="AQ1202">
        <v>153</v>
      </c>
      <c r="AV1202" s="326" t="b">
        <v>1</v>
      </c>
      <c r="AW1202" t="b">
        <v>1</v>
      </c>
      <c r="AX1202" t="b">
        <v>1</v>
      </c>
      <c r="AY1202" t="b">
        <v>1</v>
      </c>
    </row>
    <row r="1203" spans="1:51">
      <c r="A1203" s="277" t="s">
        <v>1287</v>
      </c>
      <c r="B1203" s="334" t="s">
        <v>1669</v>
      </c>
      <c r="C1203" s="277">
        <f>'Schippers 2005&amp;2006 all'!B276</f>
        <v>112</v>
      </c>
      <c r="E1203" s="301">
        <f>'Schippers 2005&amp;2006 all'!E276</f>
        <v>1755880.6378742086</v>
      </c>
      <c r="G1203" s="301">
        <f>E1203+F1203</f>
        <v>1755880.6378742086</v>
      </c>
      <c r="M1203" s="27">
        <f>F1203/G1203</f>
        <v>0</v>
      </c>
      <c r="O1203" s="303" t="s">
        <v>0</v>
      </c>
      <c r="P1203" s="324">
        <f>'Schippers 2005&amp;2006 all'!O276</f>
        <v>5.98</v>
      </c>
      <c r="Q1203" s="301" t="b">
        <v>1</v>
      </c>
      <c r="R1203" s="304" t="s">
        <v>1395</v>
      </c>
      <c r="S1203" s="304" t="s">
        <v>52</v>
      </c>
      <c r="T1203" s="304" t="s">
        <v>51</v>
      </c>
      <c r="U1203" s="304" t="s">
        <v>51</v>
      </c>
      <c r="V1203" s="313">
        <v>0.55000000000000004</v>
      </c>
      <c r="W1203" s="313">
        <v>0.55000000000000004</v>
      </c>
      <c r="X1203" s="306" t="s">
        <v>248</v>
      </c>
      <c r="Y1203" s="323" t="s">
        <v>96</v>
      </c>
      <c r="Z1203" s="314" t="s">
        <v>100</v>
      </c>
      <c r="AB1203" s="334" t="s">
        <v>311</v>
      </c>
      <c r="AC1203" s="334" t="s">
        <v>1702</v>
      </c>
      <c r="AQ1203">
        <v>153</v>
      </c>
    </row>
    <row r="1204" spans="1:51">
      <c r="A1204" s="277" t="s">
        <v>1287</v>
      </c>
      <c r="B1204" s="334" t="s">
        <v>1669</v>
      </c>
      <c r="C1204" s="277">
        <f>'Schippers 2005&amp;2006 all'!B277</f>
        <v>120.7</v>
      </c>
      <c r="D1204" s="301">
        <f>'Schippers 2005&amp;2006 all'!C277</f>
        <v>17392465.487313174</v>
      </c>
      <c r="I1204" s="301">
        <f>'Schippers 2005&amp;2006 all'!H277</f>
        <v>5785316.7279511904</v>
      </c>
      <c r="J1204" s="301">
        <f>'Schippers 2005&amp;2006 all'!I277</f>
        <v>12670.803042232063</v>
      </c>
      <c r="K1204" s="301">
        <f>I1204+J1204</f>
        <v>5797987.5309934225</v>
      </c>
      <c r="N1204" s="27">
        <f>J1204/K1204</f>
        <v>2.1853794915045388E-3</v>
      </c>
      <c r="O1204" s="303"/>
      <c r="P1204" s="303">
        <f>'Schippers 2005&amp;2006 all'!O277</f>
        <v>8.7200000000000006</v>
      </c>
      <c r="R1204" s="304" t="s">
        <v>1395</v>
      </c>
      <c r="S1204" s="304"/>
      <c r="T1204" s="304"/>
      <c r="U1204" s="304"/>
      <c r="V1204" s="313"/>
      <c r="W1204" s="313"/>
      <c r="X1204" s="306"/>
      <c r="Y1204" s="323"/>
      <c r="Z1204" s="314"/>
      <c r="AA1204" s="326" t="s">
        <v>1495</v>
      </c>
      <c r="AD1204" s="326" t="s">
        <v>1717</v>
      </c>
      <c r="AE1204" s="326" t="s">
        <v>1725</v>
      </c>
      <c r="AF1204" s="326" t="s">
        <v>1735</v>
      </c>
      <c r="AG1204" s="326" t="s">
        <v>1707</v>
      </c>
      <c r="AH1204" s="326" t="s">
        <v>1714</v>
      </c>
      <c r="AI1204" s="326" t="s">
        <v>1496</v>
      </c>
      <c r="AJ1204" s="326" t="s">
        <v>1487</v>
      </c>
      <c r="AK1204" s="326" t="s">
        <v>1488</v>
      </c>
      <c r="AL1204" s="326" t="s">
        <v>1497</v>
      </c>
      <c r="AO1204" s="326" t="s">
        <v>1494</v>
      </c>
      <c r="AQ1204">
        <v>153</v>
      </c>
      <c r="AV1204" s="326" t="b">
        <v>1</v>
      </c>
      <c r="AW1204" t="b">
        <v>1</v>
      </c>
      <c r="AX1204" t="b">
        <v>1</v>
      </c>
      <c r="AY1204" t="b">
        <v>1</v>
      </c>
    </row>
    <row r="1205" spans="1:51">
      <c r="A1205" s="277" t="s">
        <v>1287</v>
      </c>
      <c r="B1205" s="334" t="s">
        <v>1669</v>
      </c>
      <c r="C1205" s="277">
        <f>'Schippers 2005&amp;2006 all'!B278</f>
        <v>121</v>
      </c>
      <c r="D1205" s="301">
        <f>'Schippers 2005&amp;2006 all'!C278</f>
        <v>17392465.487313174</v>
      </c>
      <c r="E1205" s="301">
        <f>'Schippers 2005&amp;2006 all'!E278</f>
        <v>1597064.7796947625</v>
      </c>
      <c r="G1205" s="301">
        <f>E1205+F1205</f>
        <v>1597064.7796947625</v>
      </c>
      <c r="H1205" s="27">
        <f>G1205/D1205</f>
        <v>9.1825094082246803E-2</v>
      </c>
      <c r="M1205" s="27">
        <f>F1205/G1205</f>
        <v>0</v>
      </c>
      <c r="O1205" s="303" t="s">
        <v>0</v>
      </c>
      <c r="P1205" s="303">
        <f>'Schippers 2005&amp;2006 all'!O278</f>
        <v>8.7200000000000006</v>
      </c>
      <c r="Q1205" s="301" t="b">
        <v>1</v>
      </c>
      <c r="R1205" s="304" t="s">
        <v>1395</v>
      </c>
      <c r="S1205" s="304" t="s">
        <v>52</v>
      </c>
      <c r="T1205" s="304" t="s">
        <v>51</v>
      </c>
      <c r="U1205" s="304" t="s">
        <v>51</v>
      </c>
      <c r="V1205" s="313">
        <v>0.55000000000000004</v>
      </c>
      <c r="W1205" s="313">
        <v>0.55000000000000004</v>
      </c>
      <c r="X1205" s="306" t="s">
        <v>248</v>
      </c>
      <c r="Y1205" s="323" t="s">
        <v>96</v>
      </c>
      <c r="Z1205" s="314" t="s">
        <v>100</v>
      </c>
      <c r="AB1205" s="334" t="s">
        <v>311</v>
      </c>
      <c r="AC1205" s="334" t="s">
        <v>1702</v>
      </c>
      <c r="AQ1205">
        <v>153</v>
      </c>
      <c r="AR1205" s="323"/>
    </row>
    <row r="1206" spans="1:51">
      <c r="A1206" s="277" t="s">
        <v>1287</v>
      </c>
      <c r="B1206" s="334" t="s">
        <v>1669</v>
      </c>
      <c r="C1206" s="277">
        <f>'Schippers 2005&amp;2006 all'!B279</f>
        <v>121.38</v>
      </c>
      <c r="D1206" s="301">
        <f>'Schippers 2005&amp;2006 all'!C279</f>
        <v>17392465.487313174</v>
      </c>
      <c r="O1206" s="303"/>
      <c r="P1206" s="304">
        <f>'Schippers 2005&amp;2006 all'!O279</f>
        <v>8.7200000000000006</v>
      </c>
      <c r="R1206" s="304" t="s">
        <v>1395</v>
      </c>
      <c r="S1206" s="304"/>
      <c r="T1206" s="304"/>
      <c r="U1206" s="304"/>
      <c r="V1206" s="313"/>
      <c r="W1206" s="313"/>
      <c r="X1206" s="306"/>
      <c r="Y1206" s="323"/>
      <c r="Z1206" s="314"/>
      <c r="AQ1206">
        <v>153</v>
      </c>
      <c r="AR1206" s="323"/>
      <c r="AT1206"/>
      <c r="AU1206"/>
      <c r="AV1206"/>
    </row>
    <row r="1207" spans="1:51">
      <c r="A1207" s="277" t="s">
        <v>1287</v>
      </c>
      <c r="B1207" s="334" t="s">
        <v>1669</v>
      </c>
      <c r="C1207" s="277">
        <f>'Schippers 2005&amp;2006 all'!B280</f>
        <v>157.19999999999999</v>
      </c>
      <c r="D1207" s="301">
        <f>'Schippers 2005&amp;2006 all'!C280</f>
        <v>3537513.9957919596</v>
      </c>
      <c r="I1207" s="301">
        <f>'Schippers 2005&amp;2006 all'!H280</f>
        <v>12387855.767518301</v>
      </c>
      <c r="J1207" s="301">
        <f>'Schippers 2005&amp;2006 all'!I280</f>
        <v>6116.2628358771672</v>
      </c>
      <c r="K1207" s="301">
        <f>I1207+J1207</f>
        <v>12393972.030354178</v>
      </c>
      <c r="N1207" s="27">
        <f>J1207/K1207</f>
        <v>4.9348689999443099E-4</v>
      </c>
      <c r="O1207" s="303"/>
      <c r="P1207" s="303">
        <f>'Schippers 2005&amp;2006 all'!O280</f>
        <v>26.94</v>
      </c>
      <c r="R1207" s="304" t="s">
        <v>1395</v>
      </c>
      <c r="S1207" s="304"/>
      <c r="T1207" s="304"/>
      <c r="U1207" s="304"/>
      <c r="V1207" s="313"/>
      <c r="W1207" s="313"/>
      <c r="X1207" s="306"/>
      <c r="Y1207" s="334"/>
      <c r="Z1207" s="314"/>
      <c r="AQ1207">
        <v>153</v>
      </c>
      <c r="AR1207" s="323"/>
      <c r="AT1207"/>
      <c r="AU1207"/>
      <c r="AV1207" t="b">
        <v>1</v>
      </c>
    </row>
    <row r="1208" spans="1:51">
      <c r="A1208" s="277" t="s">
        <v>1287</v>
      </c>
      <c r="B1208" s="334" t="s">
        <v>1669</v>
      </c>
      <c r="C1208" s="277">
        <f>'Schippers 2005&amp;2006 all'!B281</f>
        <v>157.97999999999999</v>
      </c>
      <c r="D1208" s="301">
        <f>'Schippers 2005&amp;2006 all'!C281</f>
        <v>3537513.9957919596</v>
      </c>
      <c r="O1208" s="303"/>
      <c r="P1208" s="304">
        <f>'Schippers 2005&amp;2006 all'!O281</f>
        <v>26.94</v>
      </c>
      <c r="R1208" s="304" t="s">
        <v>1395</v>
      </c>
      <c r="S1208" s="304"/>
      <c r="T1208" s="304"/>
      <c r="U1208" s="304"/>
      <c r="V1208" s="313"/>
      <c r="W1208" s="313"/>
      <c r="X1208" s="306"/>
      <c r="Y1208" s="323"/>
      <c r="Z1208" s="314"/>
      <c r="AQ1208">
        <v>153</v>
      </c>
      <c r="AR1208" s="323"/>
      <c r="AT1208"/>
      <c r="AU1208"/>
      <c r="AV1208"/>
    </row>
    <row r="1209" spans="1:51">
      <c r="A1209" s="277" t="s">
        <v>1287</v>
      </c>
      <c r="B1209" s="334" t="s">
        <v>1669</v>
      </c>
      <c r="C1209" s="277">
        <f>'Schippers 2005&amp;2006 all'!B282</f>
        <v>158</v>
      </c>
      <c r="D1209" s="301">
        <f>'Schippers 2005&amp;2006 all'!C282</f>
        <v>3537513.9957919596</v>
      </c>
      <c r="E1209" s="301">
        <f>'Schippers 2005&amp;2006 all'!E282</f>
        <v>1249433.4765287812</v>
      </c>
      <c r="G1209" s="301">
        <f>E1209+F1209</f>
        <v>1249433.4765287812</v>
      </c>
      <c r="H1209" s="27">
        <f>G1209/D1209</f>
        <v>0.35319534509687922</v>
      </c>
      <c r="M1209" s="27">
        <f>F1209/G1209</f>
        <v>0</v>
      </c>
      <c r="O1209" s="303" t="s">
        <v>0</v>
      </c>
      <c r="P1209" s="324">
        <f>'Schippers 2005&amp;2006 all'!O282</f>
        <v>28.08</v>
      </c>
      <c r="Q1209" s="301" t="b">
        <v>1</v>
      </c>
      <c r="R1209" s="304" t="s">
        <v>1395</v>
      </c>
      <c r="S1209" s="304" t="s">
        <v>52</v>
      </c>
      <c r="T1209" s="304" t="s">
        <v>51</v>
      </c>
      <c r="U1209" s="304" t="s">
        <v>51</v>
      </c>
      <c r="V1209" s="313">
        <v>0.55000000000000004</v>
      </c>
      <c r="W1209" s="313">
        <v>0.55000000000000004</v>
      </c>
      <c r="X1209" s="306" t="s">
        <v>248</v>
      </c>
      <c r="Y1209" s="328" t="s">
        <v>96</v>
      </c>
      <c r="Z1209" s="314" t="s">
        <v>100</v>
      </c>
      <c r="AB1209" s="334" t="s">
        <v>311</v>
      </c>
      <c r="AC1209" s="334" t="s">
        <v>1702</v>
      </c>
      <c r="AQ1209">
        <v>153</v>
      </c>
      <c r="AR1209" s="323"/>
      <c r="AT1209"/>
      <c r="AU1209"/>
      <c r="AV1209"/>
    </row>
    <row r="1210" spans="1:51">
      <c r="A1210" s="277" t="s">
        <v>1287</v>
      </c>
      <c r="B1210" s="334" t="s">
        <v>1669</v>
      </c>
      <c r="C1210" s="277">
        <f>'Schippers 2005&amp;2006 all'!B283</f>
        <v>186</v>
      </c>
      <c r="E1210" s="301">
        <f>'Schippers 2005&amp;2006 all'!E283</f>
        <v>3207395.6478934102</v>
      </c>
      <c r="G1210" s="301">
        <f>E1210+F1210</f>
        <v>3207395.6478934102</v>
      </c>
      <c r="M1210" s="27">
        <f>F1210/G1210</f>
        <v>0</v>
      </c>
      <c r="O1210" s="303" t="s">
        <v>0</v>
      </c>
      <c r="P1210" s="324">
        <f>'Schippers 2005&amp;2006 all'!O283</f>
        <v>38.03</v>
      </c>
      <c r="Q1210" s="301" t="b">
        <v>1</v>
      </c>
      <c r="R1210" s="304" t="s">
        <v>1395</v>
      </c>
      <c r="S1210" s="304" t="s">
        <v>52</v>
      </c>
      <c r="T1210" s="304" t="s">
        <v>51</v>
      </c>
      <c r="U1210" s="304" t="s">
        <v>51</v>
      </c>
      <c r="V1210" s="313">
        <v>0.55000000000000004</v>
      </c>
      <c r="W1210" s="313">
        <v>0.55000000000000004</v>
      </c>
      <c r="X1210" s="306" t="s">
        <v>248</v>
      </c>
      <c r="Y1210" s="323" t="s">
        <v>96</v>
      </c>
      <c r="Z1210" s="314" t="s">
        <v>100</v>
      </c>
      <c r="AB1210" s="334" t="s">
        <v>311</v>
      </c>
      <c r="AC1210" s="334" t="s">
        <v>1702</v>
      </c>
      <c r="AQ1210">
        <v>153</v>
      </c>
      <c r="AR1210" s="323"/>
      <c r="AT1210"/>
      <c r="AU1210"/>
      <c r="AV1210"/>
    </row>
    <row r="1211" spans="1:51">
      <c r="A1211" s="277" t="s">
        <v>1287</v>
      </c>
      <c r="B1211" s="334" t="s">
        <v>1669</v>
      </c>
      <c r="C1211" s="277">
        <f>'Schippers 2005&amp;2006 all'!B284</f>
        <v>187.4</v>
      </c>
      <c r="I1211" s="301">
        <f>'Schippers 2005&amp;2006 all'!H284</f>
        <v>970050.04511247971</v>
      </c>
      <c r="J1211" s="301">
        <f>'Schippers 2005&amp;2006 all'!I284</f>
        <v>858.58205441499035</v>
      </c>
      <c r="K1211" s="301">
        <f>I1211+J1211</f>
        <v>970908.62716689473</v>
      </c>
      <c r="N1211" s="27">
        <f>J1211/K1211</f>
        <v>8.8430778179438712E-4</v>
      </c>
      <c r="O1211" s="303"/>
      <c r="P1211" s="304">
        <f>'Schippers 2005&amp;2006 all'!O284</f>
        <v>38.03</v>
      </c>
      <c r="R1211" s="304" t="s">
        <v>1395</v>
      </c>
      <c r="S1211" s="304"/>
      <c r="T1211" s="304"/>
      <c r="U1211" s="304"/>
      <c r="V1211" s="313"/>
      <c r="W1211" s="313"/>
      <c r="X1211" s="306"/>
      <c r="Z1211" s="314"/>
      <c r="AA1211" s="326" t="s">
        <v>1495</v>
      </c>
      <c r="AD1211" s="326" t="s">
        <v>1717</v>
      </c>
      <c r="AE1211" s="326" t="s">
        <v>1725</v>
      </c>
      <c r="AF1211" s="326" t="s">
        <v>1735</v>
      </c>
      <c r="AG1211" s="326" t="s">
        <v>1707</v>
      </c>
      <c r="AH1211" s="326" t="s">
        <v>1714</v>
      </c>
      <c r="AI1211" s="326" t="s">
        <v>1496</v>
      </c>
      <c r="AJ1211" s="326" t="s">
        <v>1487</v>
      </c>
      <c r="AK1211" s="326" t="s">
        <v>1488</v>
      </c>
      <c r="AL1211" s="326" t="s">
        <v>1497</v>
      </c>
      <c r="AO1211" s="326" t="s">
        <v>1494</v>
      </c>
      <c r="AQ1211">
        <v>153</v>
      </c>
      <c r="AR1211" s="323"/>
      <c r="AT1211"/>
      <c r="AU1211"/>
      <c r="AV1211" t="b">
        <v>1</v>
      </c>
      <c r="AW1211" t="b">
        <v>1</v>
      </c>
      <c r="AX1211" t="b">
        <v>1</v>
      </c>
      <c r="AY1211" t="b">
        <v>1</v>
      </c>
    </row>
    <row r="1212" spans="1:51">
      <c r="A1212" s="277" t="s">
        <v>1324</v>
      </c>
      <c r="B1212" s="273" t="s">
        <v>1480</v>
      </c>
      <c r="C1212" s="273">
        <f>'Schippers RD Fig2 2006'!D3</f>
        <v>1.4999999999999999E-2</v>
      </c>
      <c r="D1212" s="302"/>
      <c r="I1212" s="301">
        <f>'Schippers RD Fig2 2006'!E3</f>
        <v>1995262314.9688866</v>
      </c>
      <c r="J1212" s="301">
        <f>'Schippers RD Fig2 2006'!F3</f>
        <v>39810717.055349804</v>
      </c>
      <c r="K1212" s="301">
        <f>I1212+J1212</f>
        <v>2035073032.0242364</v>
      </c>
      <c r="N1212" s="27">
        <f>J1212/K1212</f>
        <v>1.9562303872579491E-2</v>
      </c>
      <c r="O1212" s="303"/>
      <c r="P1212" s="304"/>
      <c r="R1212" s="304"/>
      <c r="S1212" s="304"/>
      <c r="T1212" s="304"/>
      <c r="U1212" s="304"/>
      <c r="V1212" s="334"/>
      <c r="W1212" s="334"/>
      <c r="X1212" s="334"/>
      <c r="Z1212" s="334"/>
      <c r="AA1212" s="326" t="s">
        <v>1495</v>
      </c>
      <c r="AD1212" s="326" t="s">
        <v>1717</v>
      </c>
      <c r="AE1212" s="326" t="s">
        <v>1725</v>
      </c>
      <c r="AF1212" s="326" t="s">
        <v>1735</v>
      </c>
      <c r="AG1212" s="326" t="s">
        <v>1707</v>
      </c>
      <c r="AH1212" s="326" t="s">
        <v>1714</v>
      </c>
      <c r="AI1212" s="326" t="s">
        <v>1496</v>
      </c>
      <c r="AJ1212" s="326" t="s">
        <v>1487</v>
      </c>
      <c r="AK1212" s="326" t="s">
        <v>1488</v>
      </c>
      <c r="AL1212" s="326" t="s">
        <v>1497</v>
      </c>
      <c r="AO1212" s="326" t="s">
        <v>1494</v>
      </c>
      <c r="AR1212" s="323"/>
      <c r="AT1212"/>
      <c r="AU1212"/>
      <c r="AV1212" t="b">
        <v>1</v>
      </c>
      <c r="AW1212" t="b">
        <v>1</v>
      </c>
      <c r="AX1212" t="b">
        <v>1</v>
      </c>
      <c r="AY1212" t="b">
        <v>1</v>
      </c>
    </row>
    <row r="1213" spans="1:51">
      <c r="A1213" s="277" t="s">
        <v>1324</v>
      </c>
      <c r="B1213" s="273" t="s">
        <v>1480</v>
      </c>
      <c r="C1213" s="273">
        <f>'Schippers RD Fig2 2006'!D4</f>
        <v>2.5000000000000001E-2</v>
      </c>
      <c r="D1213" s="302"/>
      <c r="I1213" s="301">
        <f>'Schippers RD Fig2 2006'!E4</f>
        <v>2511886431.5095868</v>
      </c>
      <c r="J1213" s="301">
        <f>'Schippers RD Fig2 2006'!F4</f>
        <v>39810717.055349804</v>
      </c>
      <c r="K1213" s="301">
        <f>I1213+J1213</f>
        <v>2551697148.5649366</v>
      </c>
      <c r="N1213" s="27">
        <f>J1213/K1213</f>
        <v>1.5601662241829592E-2</v>
      </c>
      <c r="O1213" s="303"/>
      <c r="P1213" s="303"/>
      <c r="R1213" s="304"/>
      <c r="S1213" s="304"/>
      <c r="T1213" s="304"/>
      <c r="U1213" s="304"/>
      <c r="V1213" s="334"/>
      <c r="W1213" s="334"/>
      <c r="X1213" s="334"/>
      <c r="Z1213" s="334"/>
      <c r="AA1213" s="326" t="s">
        <v>1495</v>
      </c>
      <c r="AD1213" s="326" t="s">
        <v>1717</v>
      </c>
      <c r="AE1213" s="326" t="s">
        <v>1725</v>
      </c>
      <c r="AF1213" s="326" t="s">
        <v>1735</v>
      </c>
      <c r="AG1213" s="326" t="s">
        <v>1707</v>
      </c>
      <c r="AH1213" s="326" t="s">
        <v>1714</v>
      </c>
      <c r="AI1213" s="326" t="s">
        <v>1496</v>
      </c>
      <c r="AJ1213" s="326" t="s">
        <v>1487</v>
      </c>
      <c r="AK1213" s="326" t="s">
        <v>1488</v>
      </c>
      <c r="AL1213" s="326" t="s">
        <v>1497</v>
      </c>
      <c r="AO1213" s="326" t="s">
        <v>1494</v>
      </c>
      <c r="AR1213" s="323"/>
      <c r="AT1213"/>
      <c r="AU1213"/>
      <c r="AV1213" t="b">
        <v>1</v>
      </c>
      <c r="AW1213" t="b">
        <v>1</v>
      </c>
      <c r="AX1213" t="b">
        <v>1</v>
      </c>
      <c r="AY1213" t="b">
        <v>1</v>
      </c>
    </row>
    <row r="1214" spans="1:51">
      <c r="A1214" s="277" t="s">
        <v>1287</v>
      </c>
      <c r="B1214" s="273" t="s">
        <v>1479</v>
      </c>
      <c r="C1214" s="273">
        <f>'Schippers RD Fig2 2006'!D5</f>
        <v>3.5000000000000003E-2</v>
      </c>
      <c r="D1214" s="302"/>
      <c r="I1214" s="301">
        <f>'Schippers RD Fig2 2006'!E5</f>
        <v>1000000000</v>
      </c>
      <c r="J1214" s="301">
        <f>'Schippers RD Fig2 2006'!F5</f>
        <v>10000000</v>
      </c>
      <c r="K1214" s="301">
        <f>I1214+J1214</f>
        <v>1010000000</v>
      </c>
      <c r="N1214" s="27">
        <f>J1214/K1214</f>
        <v>9.9009900990099011E-3</v>
      </c>
      <c r="O1214" s="303"/>
      <c r="P1214" s="303"/>
      <c r="R1214" s="304"/>
      <c r="S1214" s="304"/>
      <c r="T1214" s="304"/>
      <c r="U1214" s="304"/>
      <c r="V1214" s="334"/>
      <c r="W1214" s="334"/>
      <c r="X1214" s="334"/>
      <c r="Z1214" s="334"/>
      <c r="AA1214" s="326" t="s">
        <v>1495</v>
      </c>
      <c r="AD1214" s="326" t="s">
        <v>1717</v>
      </c>
      <c r="AE1214" s="326" t="s">
        <v>1725</v>
      </c>
      <c r="AF1214" s="326" t="s">
        <v>1735</v>
      </c>
      <c r="AG1214" s="326" t="s">
        <v>1707</v>
      </c>
      <c r="AH1214" s="326" t="s">
        <v>1714</v>
      </c>
      <c r="AI1214" s="326" t="s">
        <v>1496</v>
      </c>
      <c r="AJ1214" s="326" t="s">
        <v>1487</v>
      </c>
      <c r="AK1214" s="326" t="s">
        <v>1488</v>
      </c>
      <c r="AL1214" s="326" t="s">
        <v>1497</v>
      </c>
      <c r="AO1214" s="326" t="s">
        <v>1494</v>
      </c>
      <c r="AR1214" s="323"/>
      <c r="AT1214"/>
      <c r="AU1214"/>
      <c r="AV1214" t="b">
        <v>1</v>
      </c>
      <c r="AW1214" t="b">
        <v>1</v>
      </c>
      <c r="AX1214" t="b">
        <v>1</v>
      </c>
      <c r="AY1214" t="b">
        <v>1</v>
      </c>
    </row>
    <row r="1215" spans="1:51">
      <c r="A1215" s="277" t="s">
        <v>1287</v>
      </c>
      <c r="B1215" s="273" t="s">
        <v>1479</v>
      </c>
      <c r="C1215" s="273">
        <f>'Schippers RD Fig2 2006'!D6</f>
        <v>4.4999999999999998E-2</v>
      </c>
      <c r="D1215" s="302"/>
      <c r="I1215" s="301">
        <f>'Schippers RD Fig2 2006'!E6</f>
        <v>1584893192.4611149</v>
      </c>
      <c r="J1215" s="301">
        <f>'Schippers RD Fig2 2006'!F6</f>
        <v>31622776.601683889</v>
      </c>
      <c r="K1215" s="301">
        <f>I1215+J1215</f>
        <v>1616515969.0627987</v>
      </c>
      <c r="N1215" s="27">
        <f>J1215/K1215</f>
        <v>1.956230387257956E-2</v>
      </c>
      <c r="O1215" s="303"/>
      <c r="P1215" s="324"/>
      <c r="R1215" s="304"/>
      <c r="S1215" s="304"/>
      <c r="T1215" s="304"/>
      <c r="U1215" s="304"/>
      <c r="V1215" s="334"/>
      <c r="W1215" s="334"/>
      <c r="X1215" s="334"/>
      <c r="Z1215" s="334"/>
      <c r="AA1215" s="326" t="s">
        <v>1495</v>
      </c>
      <c r="AD1215" s="326" t="s">
        <v>1717</v>
      </c>
      <c r="AE1215" s="326" t="s">
        <v>1725</v>
      </c>
      <c r="AF1215" s="326" t="s">
        <v>1735</v>
      </c>
      <c r="AG1215" s="326" t="s">
        <v>1707</v>
      </c>
      <c r="AH1215" s="326" t="s">
        <v>1714</v>
      </c>
      <c r="AI1215" s="326" t="s">
        <v>1496</v>
      </c>
      <c r="AJ1215" s="326" t="s">
        <v>1487</v>
      </c>
      <c r="AK1215" s="326" t="s">
        <v>1488</v>
      </c>
      <c r="AL1215" s="326" t="s">
        <v>1497</v>
      </c>
      <c r="AO1215" s="326" t="s">
        <v>1494</v>
      </c>
      <c r="AR1215" s="323"/>
      <c r="AT1215"/>
      <c r="AU1215"/>
      <c r="AV1215" t="b">
        <v>1</v>
      </c>
      <c r="AW1215" t="b">
        <v>1</v>
      </c>
      <c r="AX1215" t="b">
        <v>1</v>
      </c>
      <c r="AY1215" t="b">
        <v>1</v>
      </c>
    </row>
    <row r="1216" spans="1:51">
      <c r="A1216" s="277" t="s">
        <v>1287</v>
      </c>
      <c r="B1216" s="273" t="s">
        <v>1479</v>
      </c>
      <c r="C1216" s="273">
        <f>'Schippers RD Fig2 2006'!D7</f>
        <v>5.5E-2</v>
      </c>
      <c r="D1216" s="302"/>
      <c r="I1216" s="301">
        <f>'Schippers RD Fig2 2006'!E7</f>
        <v>3162277660.1683846</v>
      </c>
      <c r="J1216" s="301">
        <f>'Schippers RD Fig2 2006'!F7</f>
        <v>63095734.448019333</v>
      </c>
      <c r="K1216" s="301">
        <f>I1216+J1216</f>
        <v>3225373394.6164041</v>
      </c>
      <c r="N1216" s="27">
        <f>J1216/K1216</f>
        <v>1.9562303872579487E-2</v>
      </c>
      <c r="O1216" s="303"/>
      <c r="P1216" s="303"/>
      <c r="R1216" s="304"/>
      <c r="S1216" s="304"/>
      <c r="T1216" s="304"/>
      <c r="U1216" s="304"/>
      <c r="V1216" s="334"/>
      <c r="W1216" s="334"/>
      <c r="X1216" s="334"/>
      <c r="Z1216" s="334"/>
      <c r="AA1216" s="326" t="s">
        <v>1495</v>
      </c>
      <c r="AD1216" s="326" t="s">
        <v>1717</v>
      </c>
      <c r="AE1216" s="326" t="s">
        <v>1725</v>
      </c>
      <c r="AF1216" s="326" t="s">
        <v>1735</v>
      </c>
      <c r="AG1216" s="326" t="s">
        <v>1707</v>
      </c>
      <c r="AH1216" s="326" t="s">
        <v>1714</v>
      </c>
      <c r="AI1216" s="326" t="s">
        <v>1496</v>
      </c>
      <c r="AJ1216" s="326" t="s">
        <v>1487</v>
      </c>
      <c r="AK1216" s="326" t="s">
        <v>1488</v>
      </c>
      <c r="AL1216" s="326" t="s">
        <v>1497</v>
      </c>
      <c r="AO1216" s="326" t="s">
        <v>1494</v>
      </c>
      <c r="AR1216" s="323"/>
      <c r="AT1216"/>
      <c r="AU1216"/>
      <c r="AV1216" t="b">
        <v>1</v>
      </c>
      <c r="AW1216" t="b">
        <v>1</v>
      </c>
      <c r="AX1216" t="b">
        <v>1</v>
      </c>
      <c r="AY1216" t="b">
        <v>1</v>
      </c>
    </row>
    <row r="1217" spans="1:51">
      <c r="A1217" s="277" t="s">
        <v>1287</v>
      </c>
      <c r="B1217" s="273" t="s">
        <v>1479</v>
      </c>
      <c r="C1217" s="273">
        <f>'Schippers RD Fig2 2006'!D8</f>
        <v>7.0000000000000007E-2</v>
      </c>
      <c r="D1217" s="302"/>
      <c r="I1217" s="301">
        <f>'Schippers RD Fig2 2006'!E8</f>
        <v>2511886431.5095868</v>
      </c>
      <c r="J1217" s="301">
        <f>'Schippers RD Fig2 2006'!F8</f>
        <v>79432823.472428367</v>
      </c>
      <c r="K1217" s="301">
        <f>I1217+J1217</f>
        <v>2591319254.9820151</v>
      </c>
      <c r="N1217" s="27">
        <f>J1217/K1217</f>
        <v>3.0653430031715511E-2</v>
      </c>
      <c r="O1217" s="303"/>
      <c r="P1217" s="303"/>
      <c r="R1217" s="304"/>
      <c r="S1217" s="304"/>
      <c r="T1217" s="304"/>
      <c r="U1217" s="304"/>
      <c r="V1217" s="334"/>
      <c r="W1217" s="334"/>
      <c r="X1217" s="334"/>
      <c r="Z1217" s="334"/>
      <c r="AA1217" s="326" t="s">
        <v>1495</v>
      </c>
      <c r="AD1217" s="326" t="s">
        <v>1717</v>
      </c>
      <c r="AE1217" s="326" t="s">
        <v>1725</v>
      </c>
      <c r="AF1217" s="326" t="s">
        <v>1735</v>
      </c>
      <c r="AG1217" s="326" t="s">
        <v>1707</v>
      </c>
      <c r="AH1217" s="326" t="s">
        <v>1714</v>
      </c>
      <c r="AI1217" s="326" t="s">
        <v>1496</v>
      </c>
      <c r="AJ1217" s="326" t="s">
        <v>1487</v>
      </c>
      <c r="AK1217" s="326" t="s">
        <v>1488</v>
      </c>
      <c r="AL1217" s="326" t="s">
        <v>1497</v>
      </c>
      <c r="AO1217" s="326" t="s">
        <v>1494</v>
      </c>
      <c r="AR1217" s="323"/>
      <c r="AT1217"/>
      <c r="AU1217"/>
      <c r="AV1217" t="b">
        <v>1</v>
      </c>
      <c r="AW1217" t="b">
        <v>1</v>
      </c>
      <c r="AX1217" t="b">
        <v>1</v>
      </c>
      <c r="AY1217" t="b">
        <v>1</v>
      </c>
    </row>
    <row r="1218" spans="1:51">
      <c r="A1218" s="277" t="s">
        <v>1287</v>
      </c>
      <c r="B1218" s="273" t="s">
        <v>1479</v>
      </c>
      <c r="C1218" s="273">
        <f>'Schippers RD Fig2 2006'!D9</f>
        <v>0.09</v>
      </c>
      <c r="D1218" s="302"/>
      <c r="I1218" s="301">
        <f>'Schippers RD Fig2 2006'!E9</f>
        <v>1258925411.7941697</v>
      </c>
      <c r="J1218" s="301">
        <f>'Schippers RD Fig2 2006'!F9</f>
        <v>39810717.055349804</v>
      </c>
      <c r="K1218" s="301">
        <f>I1218+J1218</f>
        <v>1298736128.8495195</v>
      </c>
      <c r="N1218" s="27">
        <f>J1218/K1218</f>
        <v>3.0653430031715511E-2</v>
      </c>
      <c r="O1218" s="303"/>
      <c r="P1218" s="303"/>
      <c r="R1218" s="304"/>
      <c r="S1218" s="304"/>
      <c r="T1218" s="304"/>
      <c r="U1218" s="304"/>
      <c r="V1218" s="334"/>
      <c r="W1218" s="334"/>
      <c r="X1218" s="334"/>
      <c r="Z1218" s="334"/>
      <c r="AA1218" s="326" t="s">
        <v>1495</v>
      </c>
      <c r="AD1218" s="326" t="s">
        <v>1717</v>
      </c>
      <c r="AE1218" s="326" t="s">
        <v>1725</v>
      </c>
      <c r="AF1218" s="326" t="s">
        <v>1735</v>
      </c>
      <c r="AG1218" s="326" t="s">
        <v>1707</v>
      </c>
      <c r="AH1218" s="326" t="s">
        <v>1714</v>
      </c>
      <c r="AI1218" s="326" t="s">
        <v>1496</v>
      </c>
      <c r="AJ1218" s="326" t="s">
        <v>1487</v>
      </c>
      <c r="AK1218" s="326" t="s">
        <v>1488</v>
      </c>
      <c r="AL1218" s="326" t="s">
        <v>1497</v>
      </c>
      <c r="AO1218" s="326" t="s">
        <v>1494</v>
      </c>
      <c r="AR1218" s="325"/>
      <c r="AT1218"/>
      <c r="AU1218"/>
      <c r="AV1218" t="b">
        <v>1</v>
      </c>
      <c r="AW1218" t="b">
        <v>1</v>
      </c>
      <c r="AX1218" t="b">
        <v>1</v>
      </c>
      <c r="AY1218" t="b">
        <v>1</v>
      </c>
    </row>
    <row r="1219" spans="1:51">
      <c r="A1219" s="277" t="s">
        <v>1287</v>
      </c>
      <c r="B1219" s="273" t="s">
        <v>1479</v>
      </c>
      <c r="C1219" s="273">
        <f>'Schippers RD Fig2 2006'!D10</f>
        <v>0.11</v>
      </c>
      <c r="D1219" s="302"/>
      <c r="I1219" s="301">
        <f>'Schippers RD Fig2 2006'!E10</f>
        <v>1584893192.4611149</v>
      </c>
      <c r="J1219" s="301">
        <f>'Schippers RD Fig2 2006'!F10</f>
        <v>63095734.448019333</v>
      </c>
      <c r="K1219" s="301">
        <f>I1219+J1219</f>
        <v>1647988926.9091341</v>
      </c>
      <c r="N1219" s="27">
        <f>J1219/K1219</f>
        <v>3.8286503882254706E-2</v>
      </c>
      <c r="O1219" s="303"/>
      <c r="P1219" s="303"/>
      <c r="R1219" s="304"/>
      <c r="S1219" s="304"/>
      <c r="T1219" s="304"/>
      <c r="U1219" s="304"/>
      <c r="V1219" s="334"/>
      <c r="W1219" s="334"/>
      <c r="X1219" s="334"/>
      <c r="Z1219" s="334"/>
      <c r="AA1219" s="326" t="s">
        <v>1495</v>
      </c>
      <c r="AD1219" s="326" t="s">
        <v>1717</v>
      </c>
      <c r="AE1219" s="326" t="s">
        <v>1725</v>
      </c>
      <c r="AF1219" s="326" t="s">
        <v>1735</v>
      </c>
      <c r="AG1219" s="326" t="s">
        <v>1707</v>
      </c>
      <c r="AH1219" s="326" t="s">
        <v>1714</v>
      </c>
      <c r="AI1219" s="326" t="s">
        <v>1496</v>
      </c>
      <c r="AJ1219" s="326" t="s">
        <v>1487</v>
      </c>
      <c r="AK1219" s="326" t="s">
        <v>1488</v>
      </c>
      <c r="AL1219" s="326" t="s">
        <v>1497</v>
      </c>
      <c r="AO1219" s="326" t="s">
        <v>1494</v>
      </c>
      <c r="AR1219" s="325"/>
      <c r="AT1219"/>
      <c r="AU1219"/>
      <c r="AV1219" t="b">
        <v>1</v>
      </c>
      <c r="AW1219" t="b">
        <v>1</v>
      </c>
      <c r="AX1219" t="b">
        <v>1</v>
      </c>
      <c r="AY1219" t="b">
        <v>1</v>
      </c>
    </row>
    <row r="1220" spans="1:51">
      <c r="A1220" s="277" t="s">
        <v>1287</v>
      </c>
      <c r="B1220" s="273" t="s">
        <v>1479</v>
      </c>
      <c r="C1220" s="273">
        <f>'Schippers RD Fig2 2006'!D11</f>
        <v>0.13</v>
      </c>
      <c r="D1220" s="302"/>
      <c r="I1220" s="301">
        <f>'Schippers RD Fig2 2006'!E11</f>
        <v>2511886431.5095868</v>
      </c>
      <c r="J1220" s="301">
        <f>'Schippers RD Fig2 2006'!F11</f>
        <v>125892541.17941682</v>
      </c>
      <c r="K1220" s="301">
        <f>I1220+J1220</f>
        <v>2637778972.6890035</v>
      </c>
      <c r="N1220" s="27">
        <f>J1220/K1220</f>
        <v>4.7726721034203827E-2</v>
      </c>
      <c r="O1220" s="303"/>
      <c r="P1220" s="303"/>
      <c r="R1220" s="304"/>
      <c r="S1220" s="304"/>
      <c r="T1220" s="304"/>
      <c r="U1220" s="304"/>
      <c r="V1220" s="334"/>
      <c r="W1220" s="334"/>
      <c r="X1220" s="334"/>
      <c r="Z1220" s="334"/>
      <c r="AA1220" s="326" t="s">
        <v>1495</v>
      </c>
      <c r="AD1220" s="326" t="s">
        <v>1717</v>
      </c>
      <c r="AE1220" s="326" t="s">
        <v>1725</v>
      </c>
      <c r="AF1220" s="326" t="s">
        <v>1735</v>
      </c>
      <c r="AG1220" s="326" t="s">
        <v>1707</v>
      </c>
      <c r="AH1220" s="326" t="s">
        <v>1714</v>
      </c>
      <c r="AI1220" s="326" t="s">
        <v>1496</v>
      </c>
      <c r="AJ1220" s="326" t="s">
        <v>1487</v>
      </c>
      <c r="AK1220" s="326" t="s">
        <v>1488</v>
      </c>
      <c r="AL1220" s="326" t="s">
        <v>1497</v>
      </c>
      <c r="AO1220" s="326" t="s">
        <v>1494</v>
      </c>
      <c r="AR1220" s="325"/>
      <c r="AT1220"/>
      <c r="AU1220"/>
      <c r="AV1220" t="b">
        <v>1</v>
      </c>
      <c r="AW1220" t="b">
        <v>1</v>
      </c>
      <c r="AX1220" t="b">
        <v>1</v>
      </c>
      <c r="AY1220" t="b">
        <v>1</v>
      </c>
    </row>
    <row r="1221" spans="1:51">
      <c r="A1221" s="277" t="s">
        <v>1287</v>
      </c>
      <c r="B1221" s="273" t="s">
        <v>1479</v>
      </c>
      <c r="C1221" s="273">
        <f>'Schippers RD Fig2 2006'!D12</f>
        <v>0.15</v>
      </c>
      <c r="D1221" s="302"/>
      <c r="J1221" s="301">
        <f>'Schippers RD Fig2 2006'!F12</f>
        <v>199526231.49688843</v>
      </c>
      <c r="K1221" s="301">
        <f>I1221+J1221</f>
        <v>199526231.49688843</v>
      </c>
      <c r="O1221" s="303"/>
      <c r="P1221" s="304"/>
      <c r="R1221" s="304"/>
      <c r="S1221" s="304"/>
      <c r="T1221" s="304"/>
      <c r="U1221" s="304"/>
      <c r="V1221" s="334"/>
      <c r="W1221" s="334"/>
      <c r="X1221" s="334"/>
      <c r="Z1221" s="334"/>
      <c r="AA1221" s="326" t="s">
        <v>1495</v>
      </c>
      <c r="AD1221" s="326" t="s">
        <v>1717</v>
      </c>
      <c r="AE1221" s="326" t="s">
        <v>1725</v>
      </c>
      <c r="AF1221" s="326" t="s">
        <v>1735</v>
      </c>
      <c r="AG1221" s="326" t="s">
        <v>1707</v>
      </c>
      <c r="AH1221" s="326" t="s">
        <v>1714</v>
      </c>
      <c r="AI1221" s="326" t="s">
        <v>1496</v>
      </c>
      <c r="AJ1221" s="326" t="s">
        <v>1487</v>
      </c>
      <c r="AK1221" s="326" t="s">
        <v>1488</v>
      </c>
      <c r="AL1221" s="326" t="s">
        <v>1497</v>
      </c>
      <c r="AO1221" s="326" t="s">
        <v>1494</v>
      </c>
      <c r="AR1221" s="326"/>
      <c r="AT1221"/>
      <c r="AU1221"/>
      <c r="AV1221" t="b">
        <v>1</v>
      </c>
      <c r="AW1221" t="b">
        <v>1</v>
      </c>
      <c r="AX1221" t="b">
        <v>1</v>
      </c>
      <c r="AY1221" t="b">
        <v>1</v>
      </c>
    </row>
    <row r="1222" spans="1:51">
      <c r="A1222" s="277" t="s">
        <v>1287</v>
      </c>
      <c r="B1222" s="273" t="s">
        <v>1479</v>
      </c>
      <c r="C1222" s="273">
        <f>'Schippers RD Fig2 2006'!D13</f>
        <v>0.17</v>
      </c>
      <c r="D1222" s="302"/>
      <c r="I1222" s="301">
        <f>'Schippers RD Fig2 2006'!E13</f>
        <v>1258925411.7941697</v>
      </c>
      <c r="J1222" s="301">
        <f>'Schippers RD Fig2 2006'!F13</f>
        <v>79432823.472428367</v>
      </c>
      <c r="K1222" s="301">
        <f>I1222+J1222</f>
        <v>1338358235.266598</v>
      </c>
      <c r="N1222" s="27">
        <f>J1222/K1222</f>
        <v>5.9350943102767645E-2</v>
      </c>
      <c r="O1222" s="303"/>
      <c r="P1222" s="303"/>
      <c r="R1222" s="304"/>
      <c r="S1222" s="304"/>
      <c r="T1222" s="304"/>
      <c r="U1222" s="304"/>
      <c r="V1222" s="334"/>
      <c r="W1222" s="334"/>
      <c r="X1222" s="334"/>
      <c r="Y1222" s="334"/>
      <c r="Z1222" s="334"/>
      <c r="AA1222" s="326" t="s">
        <v>1495</v>
      </c>
      <c r="AD1222" s="326" t="s">
        <v>1717</v>
      </c>
      <c r="AE1222" s="326" t="s">
        <v>1725</v>
      </c>
      <c r="AF1222" s="326" t="s">
        <v>1735</v>
      </c>
      <c r="AG1222" s="326" t="s">
        <v>1707</v>
      </c>
      <c r="AH1222" s="326" t="s">
        <v>1714</v>
      </c>
      <c r="AI1222" s="326" t="s">
        <v>1496</v>
      </c>
      <c r="AJ1222" s="326" t="s">
        <v>1487</v>
      </c>
      <c r="AK1222" s="326" t="s">
        <v>1488</v>
      </c>
      <c r="AL1222" s="326" t="s">
        <v>1497</v>
      </c>
      <c r="AO1222" s="326" t="s">
        <v>1494</v>
      </c>
      <c r="AR1222" s="326"/>
      <c r="AT1222"/>
      <c r="AU1222"/>
      <c r="AV1222" t="b">
        <v>1</v>
      </c>
      <c r="AW1222" t="b">
        <v>1</v>
      </c>
      <c r="AX1222" t="b">
        <v>1</v>
      </c>
      <c r="AY1222" t="b">
        <v>1</v>
      </c>
    </row>
    <row r="1223" spans="1:51">
      <c r="A1223" s="277" t="s">
        <v>1287</v>
      </c>
      <c r="B1223" s="273" t="s">
        <v>1479</v>
      </c>
      <c r="C1223" s="273">
        <f>'Schippers RD Fig2 2006'!D14</f>
        <v>0.19</v>
      </c>
      <c r="D1223" s="302"/>
      <c r="I1223" s="301">
        <f>'Schippers RD Fig2 2006'!E14</f>
        <v>501187233.62727159</v>
      </c>
      <c r="J1223" s="301">
        <f>'Schippers RD Fig2 2006'!F14</f>
        <v>63095734.448019333</v>
      </c>
      <c r="K1223" s="301">
        <f>I1223+J1223</f>
        <v>564282968.07529092</v>
      </c>
      <c r="N1223" s="27">
        <f>J1223/K1223</f>
        <v>0.11181576977811711</v>
      </c>
      <c r="O1223" s="303"/>
      <c r="P1223" s="324"/>
      <c r="R1223" s="304"/>
      <c r="S1223" s="304"/>
      <c r="T1223" s="304"/>
      <c r="U1223" s="304"/>
      <c r="V1223" s="334"/>
      <c r="W1223" s="334"/>
      <c r="X1223" s="334"/>
      <c r="Y1223" s="334"/>
      <c r="Z1223" s="334"/>
      <c r="AA1223" s="326" t="s">
        <v>1495</v>
      </c>
      <c r="AD1223" s="326" t="s">
        <v>1717</v>
      </c>
      <c r="AE1223" s="326" t="s">
        <v>1725</v>
      </c>
      <c r="AF1223" s="326" t="s">
        <v>1735</v>
      </c>
      <c r="AG1223" s="326" t="s">
        <v>1707</v>
      </c>
      <c r="AH1223" s="326" t="s">
        <v>1714</v>
      </c>
      <c r="AI1223" s="326" t="s">
        <v>1496</v>
      </c>
      <c r="AJ1223" s="326" t="s">
        <v>1487</v>
      </c>
      <c r="AK1223" s="326" t="s">
        <v>1488</v>
      </c>
      <c r="AL1223" s="326" t="s">
        <v>1497</v>
      </c>
      <c r="AO1223" s="326" t="s">
        <v>1494</v>
      </c>
      <c r="AR1223" s="326"/>
      <c r="AT1223"/>
      <c r="AU1223"/>
      <c r="AV1223" t="b">
        <v>1</v>
      </c>
      <c r="AW1223" t="b">
        <v>1</v>
      </c>
      <c r="AX1223" t="b">
        <v>1</v>
      </c>
      <c r="AY1223" t="b">
        <v>1</v>
      </c>
    </row>
    <row r="1224" spans="1:51">
      <c r="A1224" s="277" t="s">
        <v>1287</v>
      </c>
      <c r="B1224" s="273" t="s">
        <v>1479</v>
      </c>
      <c r="C1224" s="273">
        <f>'Schippers RD Fig2 2006'!D15</f>
        <v>0.21</v>
      </c>
      <c r="D1224" s="302"/>
      <c r="I1224" s="301">
        <f>'Schippers RD Fig2 2006'!E15</f>
        <v>125892541.17941682</v>
      </c>
      <c r="J1224" s="301">
        <f>'Schippers RD Fig2 2006'!F15</f>
        <v>19952623.149688821</v>
      </c>
      <c r="K1224" s="301">
        <f>I1224+J1224</f>
        <v>145845164.32910565</v>
      </c>
      <c r="N1224" s="27">
        <f>J1224/K1224</f>
        <v>0.13680688860321005</v>
      </c>
      <c r="O1224" s="303"/>
      <c r="P1224" s="324"/>
      <c r="R1224" s="304"/>
      <c r="S1224" s="304"/>
      <c r="T1224" s="304"/>
      <c r="U1224" s="304"/>
      <c r="V1224" s="334"/>
      <c r="W1224" s="334"/>
      <c r="X1224" s="334"/>
      <c r="Y1224" s="334"/>
      <c r="Z1224" s="334"/>
      <c r="AA1224" s="326" t="s">
        <v>1495</v>
      </c>
      <c r="AD1224" s="326" t="s">
        <v>1717</v>
      </c>
      <c r="AE1224" s="326" t="s">
        <v>1725</v>
      </c>
      <c r="AF1224" s="326" t="s">
        <v>1735</v>
      </c>
      <c r="AG1224" s="326" t="s">
        <v>1707</v>
      </c>
      <c r="AH1224" s="326" t="s">
        <v>1714</v>
      </c>
      <c r="AI1224" s="326" t="s">
        <v>1496</v>
      </c>
      <c r="AJ1224" s="326" t="s">
        <v>1487</v>
      </c>
      <c r="AK1224" s="326" t="s">
        <v>1488</v>
      </c>
      <c r="AL1224" s="326" t="s">
        <v>1497</v>
      </c>
      <c r="AO1224" s="326" t="s">
        <v>1494</v>
      </c>
      <c r="AR1224" s="326"/>
      <c r="AT1224"/>
      <c r="AU1224"/>
      <c r="AV1224" t="b">
        <v>1</v>
      </c>
      <c r="AW1224" t="b">
        <v>1</v>
      </c>
      <c r="AX1224" t="b">
        <v>1</v>
      </c>
      <c r="AY1224" t="b">
        <v>1</v>
      </c>
    </row>
    <row r="1225" spans="1:51">
      <c r="A1225" s="277" t="s">
        <v>1287</v>
      </c>
      <c r="B1225" s="273" t="s">
        <v>1479</v>
      </c>
      <c r="C1225" s="273">
        <f>'Schippers RD Fig2 2006'!D16</f>
        <v>0.23</v>
      </c>
      <c r="D1225" s="302"/>
      <c r="I1225" s="301">
        <f>'Schippers RD Fig2 2006'!E16</f>
        <v>199526231.49688843</v>
      </c>
      <c r="J1225" s="301">
        <f>'Schippers RD Fig2 2006'!F16</f>
        <v>31622776.601683889</v>
      </c>
      <c r="K1225" s="301">
        <f>I1225+J1225</f>
        <v>231149008.09857231</v>
      </c>
      <c r="N1225" s="27">
        <f>J1225/K1225</f>
        <v>0.13680688860321008</v>
      </c>
      <c r="O1225" s="303"/>
      <c r="P1225" s="303"/>
      <c r="R1225" s="304"/>
      <c r="S1225" s="304"/>
      <c r="T1225" s="304"/>
      <c r="U1225" s="304"/>
      <c r="V1225" s="334"/>
      <c r="W1225" s="334"/>
      <c r="X1225" s="334"/>
      <c r="Y1225" s="334"/>
      <c r="Z1225" s="334"/>
      <c r="AA1225" s="326" t="s">
        <v>1495</v>
      </c>
      <c r="AD1225" s="326" t="s">
        <v>1717</v>
      </c>
      <c r="AE1225" s="326" t="s">
        <v>1725</v>
      </c>
      <c r="AF1225" s="326" t="s">
        <v>1735</v>
      </c>
      <c r="AG1225" s="326" t="s">
        <v>1707</v>
      </c>
      <c r="AH1225" s="326" t="s">
        <v>1714</v>
      </c>
      <c r="AI1225" s="326" t="s">
        <v>1496</v>
      </c>
      <c r="AJ1225" s="326" t="s">
        <v>1487</v>
      </c>
      <c r="AK1225" s="326" t="s">
        <v>1488</v>
      </c>
      <c r="AL1225" s="326" t="s">
        <v>1497</v>
      </c>
      <c r="AO1225" s="326" t="s">
        <v>1494</v>
      </c>
      <c r="AR1225" s="326"/>
      <c r="AT1225"/>
      <c r="AU1225"/>
      <c r="AV1225" t="b">
        <v>1</v>
      </c>
      <c r="AW1225" t="b">
        <v>1</v>
      </c>
      <c r="AX1225" t="b">
        <v>1</v>
      </c>
      <c r="AY1225" t="b">
        <v>1</v>
      </c>
    </row>
    <row r="1226" spans="1:51">
      <c r="A1226" s="277" t="s">
        <v>1287</v>
      </c>
      <c r="B1226" s="273" t="s">
        <v>1479</v>
      </c>
      <c r="C1226" s="273">
        <f>'Schippers RD Fig2 2006'!D17</f>
        <v>0.25</v>
      </c>
      <c r="D1226" s="302"/>
      <c r="I1226" s="301">
        <f>'Schippers RD Fig2 2006'!E17</f>
        <v>501187233.62727159</v>
      </c>
      <c r="J1226" s="301">
        <f>'Schippers RD Fig2 2006'!F17</f>
        <v>50118723.362727284</v>
      </c>
      <c r="K1226" s="301">
        <f>I1226+J1226</f>
        <v>551305956.98999882</v>
      </c>
      <c r="N1226" s="27">
        <f>J1226/K1226</f>
        <v>9.090909090909112E-2</v>
      </c>
      <c r="O1226" s="303"/>
      <c r="P1226" s="303"/>
      <c r="R1226" s="304"/>
      <c r="S1226" s="304"/>
      <c r="T1226" s="304"/>
      <c r="U1226" s="304"/>
      <c r="V1226" s="334"/>
      <c r="W1226" s="334"/>
      <c r="X1226" s="334"/>
      <c r="Y1226" s="334"/>
      <c r="Z1226" s="334"/>
      <c r="AA1226" s="326" t="s">
        <v>1495</v>
      </c>
      <c r="AD1226" s="326" t="s">
        <v>1717</v>
      </c>
      <c r="AE1226" s="326" t="s">
        <v>1725</v>
      </c>
      <c r="AF1226" s="326" t="s">
        <v>1735</v>
      </c>
      <c r="AG1226" s="326" t="s">
        <v>1707</v>
      </c>
      <c r="AH1226" s="326" t="s">
        <v>1714</v>
      </c>
      <c r="AI1226" s="326" t="s">
        <v>1496</v>
      </c>
      <c r="AJ1226" s="326" t="s">
        <v>1487</v>
      </c>
      <c r="AK1226" s="326" t="s">
        <v>1488</v>
      </c>
      <c r="AL1226" s="326" t="s">
        <v>1497</v>
      </c>
      <c r="AO1226" s="326" t="s">
        <v>1494</v>
      </c>
      <c r="AR1226" s="326"/>
      <c r="AT1226"/>
      <c r="AU1226"/>
      <c r="AV1226" t="b">
        <v>1</v>
      </c>
      <c r="AW1226" t="b">
        <v>1</v>
      </c>
      <c r="AX1226" t="b">
        <v>1</v>
      </c>
      <c r="AY1226" t="b">
        <v>1</v>
      </c>
    </row>
    <row r="1227" spans="1:51">
      <c r="A1227" s="277" t="s">
        <v>1287</v>
      </c>
      <c r="B1227" s="273" t="s">
        <v>1479</v>
      </c>
      <c r="C1227" s="273">
        <f>'Schippers RD Fig2 2006'!D18</f>
        <v>0.27</v>
      </c>
      <c r="D1227" s="302"/>
      <c r="I1227" s="301">
        <f>'Schippers RD Fig2 2006'!E18</f>
        <v>158489319.24611133</v>
      </c>
      <c r="J1227" s="301">
        <f>'Schippers RD Fig2 2006'!F18</f>
        <v>50118723.362727284</v>
      </c>
      <c r="K1227" s="301">
        <f>I1227+J1227</f>
        <v>208608042.60883862</v>
      </c>
      <c r="N1227" s="27">
        <f>J1227/K1227</f>
        <v>0.24025307335204238</v>
      </c>
      <c r="O1227" s="303"/>
      <c r="P1227" s="303"/>
      <c r="R1227" s="304"/>
      <c r="S1227" s="304"/>
      <c r="T1227" s="304"/>
      <c r="U1227" s="304"/>
      <c r="V1227" s="334"/>
      <c r="W1227" s="334"/>
      <c r="X1227" s="334"/>
      <c r="Y1227" s="334"/>
      <c r="Z1227" s="334"/>
      <c r="AA1227" s="326" t="s">
        <v>1495</v>
      </c>
      <c r="AD1227" s="326" t="s">
        <v>1717</v>
      </c>
      <c r="AE1227" s="326" t="s">
        <v>1725</v>
      </c>
      <c r="AF1227" s="326" t="s">
        <v>1735</v>
      </c>
      <c r="AG1227" s="326" t="s">
        <v>1707</v>
      </c>
      <c r="AH1227" s="326" t="s">
        <v>1714</v>
      </c>
      <c r="AI1227" s="326" t="s">
        <v>1496</v>
      </c>
      <c r="AJ1227" s="326" t="s">
        <v>1487</v>
      </c>
      <c r="AK1227" s="326" t="s">
        <v>1488</v>
      </c>
      <c r="AL1227" s="326" t="s">
        <v>1497</v>
      </c>
      <c r="AO1227" s="326" t="s">
        <v>1494</v>
      </c>
      <c r="AR1227" s="326"/>
      <c r="AT1227"/>
      <c r="AU1227"/>
      <c r="AV1227" t="b">
        <v>1</v>
      </c>
      <c r="AW1227" t="b">
        <v>1</v>
      </c>
      <c r="AX1227" t="b">
        <v>1</v>
      </c>
      <c r="AY1227" t="b">
        <v>1</v>
      </c>
    </row>
    <row r="1228" spans="1:51">
      <c r="A1228" s="277" t="s">
        <v>1287</v>
      </c>
      <c r="B1228" s="273" t="s">
        <v>1479</v>
      </c>
      <c r="C1228" s="273">
        <f>'Schippers RD Fig2 2006'!D19</f>
        <v>0.28999999999999998</v>
      </c>
      <c r="D1228" s="302"/>
      <c r="I1228" s="301">
        <f>'Schippers RD Fig2 2006'!E19</f>
        <v>39810717.055349804</v>
      </c>
      <c r="J1228" s="301">
        <f>'Schippers RD Fig2 2006'!F19</f>
        <v>12589254.117941668</v>
      </c>
      <c r="K1228" s="301">
        <f>I1228+J1228</f>
        <v>52399971.173291475</v>
      </c>
      <c r="N1228" s="27">
        <f>J1228/K1228</f>
        <v>0.24025307335204171</v>
      </c>
      <c r="O1228" s="303"/>
      <c r="P1228" s="303"/>
      <c r="R1228" s="304"/>
      <c r="S1228" s="304"/>
      <c r="T1228" s="304"/>
      <c r="U1228" s="304"/>
      <c r="V1228" s="334"/>
      <c r="W1228" s="334"/>
      <c r="X1228" s="334"/>
      <c r="Y1228" s="334"/>
      <c r="Z1228" s="334"/>
      <c r="AA1228" s="328" t="s">
        <v>1495</v>
      </c>
      <c r="AD1228" s="326" t="s">
        <v>1717</v>
      </c>
      <c r="AE1228" s="328" t="s">
        <v>1725</v>
      </c>
      <c r="AF1228" s="326" t="s">
        <v>1735</v>
      </c>
      <c r="AG1228" s="326" t="s">
        <v>1707</v>
      </c>
      <c r="AH1228" s="326" t="s">
        <v>1714</v>
      </c>
      <c r="AI1228" s="326" t="s">
        <v>1496</v>
      </c>
      <c r="AJ1228" s="326" t="s">
        <v>1487</v>
      </c>
      <c r="AK1228" s="326" t="s">
        <v>1488</v>
      </c>
      <c r="AL1228" s="326" t="s">
        <v>1497</v>
      </c>
      <c r="AO1228" s="326" t="s">
        <v>1494</v>
      </c>
      <c r="AR1228" s="326"/>
      <c r="AT1228"/>
      <c r="AU1228"/>
      <c r="AV1228" t="b">
        <v>1</v>
      </c>
      <c r="AW1228" t="b">
        <v>1</v>
      </c>
      <c r="AX1228" t="b">
        <v>1</v>
      </c>
      <c r="AY1228" t="b">
        <v>1</v>
      </c>
    </row>
    <row r="1229" spans="1:51">
      <c r="A1229" s="277" t="s">
        <v>1287</v>
      </c>
      <c r="B1229" s="273" t="s">
        <v>1479</v>
      </c>
      <c r="C1229" s="273">
        <f>'Schippers RD Fig2 2006'!D20</f>
        <v>0.31</v>
      </c>
      <c r="D1229" s="302"/>
      <c r="I1229" s="301">
        <f>'Schippers RD Fig2 2006'!E20</f>
        <v>251188643.15095839</v>
      </c>
      <c r="J1229" s="301">
        <f>'Schippers RD Fig2 2006'!F20</f>
        <v>31622776.601683889</v>
      </c>
      <c r="K1229" s="301">
        <f>I1229+J1229</f>
        <v>282811419.75264227</v>
      </c>
      <c r="N1229" s="27">
        <f>J1229/K1229</f>
        <v>0.11181576977811711</v>
      </c>
      <c r="O1229" s="303"/>
      <c r="P1229" s="304"/>
      <c r="R1229" s="304"/>
      <c r="S1229" s="304"/>
      <c r="T1229" s="304"/>
      <c r="U1229" s="304"/>
      <c r="V1229" s="334"/>
      <c r="W1229" s="334"/>
      <c r="X1229" s="334"/>
      <c r="Y1229" s="334"/>
      <c r="Z1229" s="334"/>
      <c r="AA1229" s="326" t="s">
        <v>1495</v>
      </c>
      <c r="AD1229" s="326" t="s">
        <v>1717</v>
      </c>
      <c r="AE1229" s="326" t="s">
        <v>1725</v>
      </c>
      <c r="AF1229" s="326" t="s">
        <v>1735</v>
      </c>
      <c r="AG1229" s="326" t="s">
        <v>1707</v>
      </c>
      <c r="AH1229" s="326" t="s">
        <v>1714</v>
      </c>
      <c r="AI1229" s="326" t="s">
        <v>1496</v>
      </c>
      <c r="AJ1229" s="326" t="s">
        <v>1487</v>
      </c>
      <c r="AK1229" s="326" t="s">
        <v>1488</v>
      </c>
      <c r="AL1229" s="326" t="s">
        <v>1497</v>
      </c>
      <c r="AO1229" s="326" t="s">
        <v>1494</v>
      </c>
      <c r="AR1229" s="326"/>
      <c r="AT1229"/>
      <c r="AU1229"/>
      <c r="AV1229" t="b">
        <v>1</v>
      </c>
      <c r="AW1229" t="b">
        <v>1</v>
      </c>
      <c r="AX1229" t="b">
        <v>1</v>
      </c>
      <c r="AY1229" t="b">
        <v>1</v>
      </c>
    </row>
    <row r="1230" spans="1:51">
      <c r="A1230" s="277" t="s">
        <v>1287</v>
      </c>
      <c r="B1230" s="273" t="s">
        <v>1479</v>
      </c>
      <c r="C1230" s="273">
        <f>'Schippers RD Fig2 2006'!D21</f>
        <v>0.33</v>
      </c>
      <c r="D1230" s="302"/>
      <c r="I1230" s="301">
        <f>'Schippers RD Fig2 2006'!E21</f>
        <v>501187233.62727159</v>
      </c>
      <c r="J1230" s="301">
        <f>'Schippers RD Fig2 2006'!F21</f>
        <v>50118723.362727284</v>
      </c>
      <c r="K1230" s="301">
        <f>I1230+J1230</f>
        <v>551305956.98999882</v>
      </c>
      <c r="N1230" s="27">
        <f>J1230/K1230</f>
        <v>9.090909090909112E-2</v>
      </c>
      <c r="O1230" s="303"/>
      <c r="P1230" s="303"/>
      <c r="R1230" s="304"/>
      <c r="S1230" s="304"/>
      <c r="T1230" s="304"/>
      <c r="U1230" s="304"/>
      <c r="V1230" s="334"/>
      <c r="W1230" s="334"/>
      <c r="X1230" s="334"/>
      <c r="Y1230" s="334"/>
      <c r="Z1230" s="334"/>
      <c r="AA1230" s="326" t="s">
        <v>1495</v>
      </c>
      <c r="AD1230" s="326" t="s">
        <v>1717</v>
      </c>
      <c r="AE1230" s="326" t="s">
        <v>1725</v>
      </c>
      <c r="AF1230" s="326" t="s">
        <v>1735</v>
      </c>
      <c r="AG1230" s="326" t="s">
        <v>1707</v>
      </c>
      <c r="AH1230" s="326" t="s">
        <v>1714</v>
      </c>
      <c r="AI1230" s="326" t="s">
        <v>1496</v>
      </c>
      <c r="AJ1230" s="326" t="s">
        <v>1487</v>
      </c>
      <c r="AK1230" s="326" t="s">
        <v>1488</v>
      </c>
      <c r="AL1230" s="326" t="s">
        <v>1497</v>
      </c>
      <c r="AO1230" s="326" t="s">
        <v>1494</v>
      </c>
      <c r="AR1230" s="326"/>
      <c r="AT1230"/>
      <c r="AU1230"/>
      <c r="AV1230" t="b">
        <v>1</v>
      </c>
      <c r="AW1230" t="b">
        <v>1</v>
      </c>
      <c r="AX1230" t="b">
        <v>1</v>
      </c>
      <c r="AY1230" t="b">
        <v>1</v>
      </c>
    </row>
    <row r="1231" spans="1:51">
      <c r="A1231" s="277" t="s">
        <v>1216</v>
      </c>
      <c r="B1231" s="273" t="s">
        <v>1476</v>
      </c>
      <c r="C1231" s="273">
        <f>'Schippers RD Sumatra 2010'!B71</f>
        <v>0.01</v>
      </c>
      <c r="D1231" s="302">
        <f>'Schippers RD Sumatra 2010'!C71</f>
        <v>1170000000</v>
      </c>
      <c r="I1231" s="301">
        <f>'Schippers RD Sumatra 2010'!D71</f>
        <v>4490000000</v>
      </c>
      <c r="J1231" s="301">
        <f>'Schippers RD Sumatra 2010'!E71</f>
        <v>1300000000</v>
      </c>
      <c r="K1231" s="301">
        <f>I1231+J1231</f>
        <v>5790000000</v>
      </c>
      <c r="N1231" s="27">
        <f>J1231/K1231</f>
        <v>0.22452504317789293</v>
      </c>
      <c r="O1231" s="303"/>
      <c r="P1231" s="303">
        <f>'Schippers RD Sumatra 2010'!G71</f>
        <v>27.7249344851014</v>
      </c>
      <c r="R1231" s="304"/>
      <c r="S1231" s="304"/>
      <c r="T1231" s="304"/>
      <c r="U1231" s="304"/>
      <c r="V1231" s="334"/>
      <c r="W1231" s="334"/>
      <c r="X1231" s="334"/>
      <c r="Y1231" s="334"/>
      <c r="Z1231" s="334"/>
      <c r="AA1231" s="326" t="s">
        <v>1498</v>
      </c>
      <c r="AD1231" s="326" t="s">
        <v>1717</v>
      </c>
      <c r="AE1231" s="326" t="s">
        <v>1725</v>
      </c>
      <c r="AG1231" s="326" t="s">
        <v>1707</v>
      </c>
      <c r="AH1231" s="326" t="s">
        <v>1714</v>
      </c>
      <c r="AO1231" s="326" t="s">
        <v>1494</v>
      </c>
      <c r="AR1231" s="326"/>
      <c r="AT1231"/>
      <c r="AU1231"/>
      <c r="AV1231"/>
      <c r="AW1231" t="b">
        <v>1</v>
      </c>
      <c r="AX1231" t="b">
        <v>1</v>
      </c>
      <c r="AY1231" t="b">
        <v>1</v>
      </c>
    </row>
    <row r="1232" spans="1:51">
      <c r="A1232" s="277" t="s">
        <v>1216</v>
      </c>
      <c r="B1232" s="273" t="s">
        <v>1476</v>
      </c>
      <c r="C1232" s="273">
        <f>'Schippers RD Sumatra 2010'!B72</f>
        <v>0.09</v>
      </c>
      <c r="D1232" s="302">
        <f>'Schippers RD Sumatra 2010'!C72</f>
        <v>1290000000</v>
      </c>
      <c r="I1232" s="301">
        <f>'Schippers RD Sumatra 2010'!D72</f>
        <v>2300000000</v>
      </c>
      <c r="J1232" s="301">
        <f>'Schippers RD Sumatra 2010'!E72</f>
        <v>614000000</v>
      </c>
      <c r="K1232" s="301">
        <f>I1232+J1232</f>
        <v>2914000000</v>
      </c>
      <c r="N1232" s="27">
        <f>J1232/K1232</f>
        <v>0.21070693205216198</v>
      </c>
      <c r="O1232" s="303"/>
      <c r="P1232" s="304">
        <f>'Schippers RD Sumatra 2010'!G72</f>
        <v>27.521110356206901</v>
      </c>
      <c r="R1232" s="304"/>
      <c r="S1232" s="304"/>
      <c r="T1232" s="304"/>
      <c r="U1232" s="304"/>
      <c r="V1232" s="334"/>
      <c r="W1232" s="334"/>
      <c r="X1232" s="334"/>
      <c r="Y1232" s="334"/>
      <c r="Z1232" s="334"/>
      <c r="AA1232" s="326" t="s">
        <v>1498</v>
      </c>
      <c r="AD1232" s="326" t="s">
        <v>1717</v>
      </c>
      <c r="AE1232" s="326" t="s">
        <v>1725</v>
      </c>
      <c r="AG1232" s="326" t="s">
        <v>1707</v>
      </c>
      <c r="AH1232" s="326" t="s">
        <v>1714</v>
      </c>
      <c r="AR1232" s="326"/>
      <c r="AT1232"/>
      <c r="AU1232"/>
      <c r="AV1232"/>
      <c r="AW1232" t="b">
        <v>1</v>
      </c>
      <c r="AX1232" t="b">
        <v>1</v>
      </c>
      <c r="AY1232" t="b">
        <v>1</v>
      </c>
    </row>
    <row r="1233" spans="1:51">
      <c r="A1233" s="277" t="s">
        <v>1216</v>
      </c>
      <c r="B1233" s="273" t="s">
        <v>1476</v>
      </c>
      <c r="C1233" s="273">
        <f>'Schippers RD Sumatra 2010'!B78</f>
        <v>0.25</v>
      </c>
      <c r="D1233" s="302">
        <f>'Schippers RD Sumatra 2010'!C78</f>
        <v>1350000000</v>
      </c>
      <c r="I1233" s="301">
        <f>'Schippers RD Sumatra 2010'!D78</f>
        <v>88600000</v>
      </c>
      <c r="J1233" s="301">
        <f>'Schippers RD Sumatra 2010'!E78</f>
        <v>80900000</v>
      </c>
      <c r="K1233" s="301">
        <f>I1233+J1233</f>
        <v>169500000</v>
      </c>
      <c r="N1233" s="27">
        <f>J1233/K1233</f>
        <v>0.47728613569321532</v>
      </c>
      <c r="O1233" s="303"/>
      <c r="P1233" s="324">
        <f>'Schippers RD Sumatra 2010'!G73</f>
        <v>27.417742405124699</v>
      </c>
      <c r="R1233" s="304"/>
      <c r="S1233" s="304"/>
      <c r="T1233" s="304"/>
      <c r="U1233" s="304"/>
      <c r="V1233" s="334"/>
      <c r="W1233" s="334"/>
      <c r="X1233" s="334"/>
      <c r="Y1233" s="334"/>
      <c r="Z1233" s="334"/>
      <c r="AA1233" s="326" t="s">
        <v>1498</v>
      </c>
      <c r="AD1233" s="326" t="s">
        <v>1717</v>
      </c>
      <c r="AE1233" s="326" t="s">
        <v>1725</v>
      </c>
      <c r="AG1233" s="326" t="s">
        <v>1707</v>
      </c>
      <c r="AH1233" s="326" t="s">
        <v>1714</v>
      </c>
      <c r="AR1233" s="326"/>
      <c r="AT1233"/>
      <c r="AU1233"/>
      <c r="AV1233"/>
      <c r="AW1233" t="b">
        <v>1</v>
      </c>
      <c r="AX1233" t="b">
        <v>1</v>
      </c>
      <c r="AY1233" t="b">
        <v>1</v>
      </c>
    </row>
    <row r="1234" spans="1:51">
      <c r="A1234" s="277" t="s">
        <v>1216</v>
      </c>
      <c r="B1234" s="273" t="s">
        <v>1476</v>
      </c>
      <c r="C1234" s="273">
        <f>'Schippers RD Sumatra 2010'!B73</f>
        <v>0.25</v>
      </c>
      <c r="D1234" s="302">
        <f>'Schippers RD Sumatra 2010'!C73</f>
        <v>1350000000</v>
      </c>
      <c r="O1234" s="303"/>
      <c r="P1234" s="303">
        <f>'Schippers RD Sumatra 2010'!G74</f>
        <v>27.581772299330201</v>
      </c>
      <c r="R1234" s="304"/>
      <c r="S1234" s="304"/>
      <c r="T1234" s="304"/>
      <c r="U1234" s="304"/>
      <c r="V1234" s="334"/>
      <c r="W1234" s="334"/>
      <c r="X1234" s="334"/>
      <c r="Y1234" s="334"/>
      <c r="Z1234" s="334"/>
      <c r="AR1234" s="326"/>
      <c r="AT1234"/>
      <c r="AU1234"/>
      <c r="AV1234"/>
    </row>
    <row r="1235" spans="1:51">
      <c r="A1235" s="277" t="s">
        <v>1216</v>
      </c>
      <c r="B1235" s="273" t="s">
        <v>1476</v>
      </c>
      <c r="C1235" s="273">
        <f>'Schippers RD Sumatra 2010'!B74</f>
        <v>0.28999999999999998</v>
      </c>
      <c r="D1235" s="302">
        <f>'Schippers RD Sumatra 2010'!C74</f>
        <v>1650000000</v>
      </c>
      <c r="I1235" s="301">
        <f>'Schippers RD Sumatra 2010'!D74</f>
        <v>3370000000</v>
      </c>
      <c r="J1235" s="301">
        <f>'Schippers RD Sumatra 2010'!E74</f>
        <v>616000000</v>
      </c>
      <c r="K1235" s="301">
        <f>I1235+J1235</f>
        <v>3986000000</v>
      </c>
      <c r="N1235" s="27">
        <f>J1235/K1235</f>
        <v>0.1545408931259408</v>
      </c>
      <c r="O1235" s="303"/>
      <c r="P1235" s="304">
        <f>'Schippers RD Sumatra 2010'!G75</f>
        <v>26.700718237406502</v>
      </c>
      <c r="R1235" s="304"/>
      <c r="S1235" s="304"/>
      <c r="T1235" s="304"/>
      <c r="U1235" s="304"/>
      <c r="V1235" s="334"/>
      <c r="W1235" s="334"/>
      <c r="X1235" s="334"/>
      <c r="Y1235" s="334"/>
      <c r="Z1235" s="334"/>
      <c r="AA1235" s="326" t="s">
        <v>1498</v>
      </c>
      <c r="AD1235" s="326" t="s">
        <v>1717</v>
      </c>
      <c r="AE1235" s="326" t="s">
        <v>1725</v>
      </c>
      <c r="AG1235" s="326" t="s">
        <v>1707</v>
      </c>
      <c r="AH1235" s="326" t="s">
        <v>1714</v>
      </c>
      <c r="AR1235" s="326"/>
      <c r="AT1235"/>
      <c r="AU1235"/>
      <c r="AV1235"/>
      <c r="AW1235" t="b">
        <v>1</v>
      </c>
      <c r="AX1235" t="b">
        <v>1</v>
      </c>
      <c r="AY1235" t="b">
        <v>1</v>
      </c>
    </row>
    <row r="1236" spans="1:51">
      <c r="A1236" s="277" t="s">
        <v>1216</v>
      </c>
      <c r="B1236" s="273" t="s">
        <v>1476</v>
      </c>
      <c r="C1236" s="273">
        <f>'Schippers RD Sumatra 2010'!B75</f>
        <v>0.37</v>
      </c>
      <c r="D1236" s="302">
        <f>'Schippers RD Sumatra 2010'!C75</f>
        <v>974000000</v>
      </c>
      <c r="I1236" s="301">
        <f>'Schippers RD Sumatra 2010'!D75</f>
        <v>1780000000</v>
      </c>
      <c r="J1236" s="301">
        <f>'Schippers RD Sumatra 2010'!E75</f>
        <v>421000000</v>
      </c>
      <c r="K1236" s="301">
        <f>I1236+J1236</f>
        <v>2201000000</v>
      </c>
      <c r="N1236" s="27">
        <f>J1236/K1236</f>
        <v>0.19127669241253975</v>
      </c>
      <c r="P1236">
        <f>'Schippers RD Sumatra 2010'!G76</f>
        <v>26.327283315539098</v>
      </c>
      <c r="R1236" s="304"/>
      <c r="S1236" s="304"/>
      <c r="T1236" s="304"/>
      <c r="U1236" s="304"/>
      <c r="V1236" s="334"/>
      <c r="W1236" s="334"/>
      <c r="X1236" s="334"/>
      <c r="Y1236" s="334"/>
      <c r="Z1236" s="334"/>
      <c r="AA1236" s="326" t="s">
        <v>1498</v>
      </c>
      <c r="AD1236" s="326" t="s">
        <v>1717</v>
      </c>
      <c r="AE1236" s="326" t="s">
        <v>1725</v>
      </c>
      <c r="AG1236" s="326" t="s">
        <v>1707</v>
      </c>
      <c r="AH1236" s="326" t="s">
        <v>1714</v>
      </c>
      <c r="AR1236" s="326"/>
      <c r="AT1236"/>
      <c r="AU1236"/>
      <c r="AV1236"/>
      <c r="AW1236" t="b">
        <v>1</v>
      </c>
      <c r="AX1236" t="b">
        <v>1</v>
      </c>
      <c r="AY1236" t="b">
        <v>1</v>
      </c>
    </row>
    <row r="1237" spans="1:51">
      <c r="A1237" s="277" t="s">
        <v>1216</v>
      </c>
      <c r="B1237" s="273" t="s">
        <v>1476</v>
      </c>
      <c r="C1237" s="273">
        <f>'Schippers RD Sumatra 2010'!B76</f>
        <v>0.39</v>
      </c>
      <c r="D1237" s="302">
        <f>'Schippers RD Sumatra 2010'!C76</f>
        <v>469000000</v>
      </c>
      <c r="I1237" s="301">
        <f>'Schippers RD Sumatra 2010'!D76</f>
        <v>1190000000</v>
      </c>
      <c r="J1237" s="301">
        <f>'Schippers RD Sumatra 2010'!E76</f>
        <v>259000000</v>
      </c>
      <c r="K1237" s="301">
        <f>I1237+J1237</f>
        <v>1449000000</v>
      </c>
      <c r="N1237" s="27">
        <f>J1237/K1237</f>
        <v>0.17874396135265699</v>
      </c>
      <c r="R1237" s="304"/>
      <c r="S1237" s="304"/>
      <c r="T1237" s="304"/>
      <c r="U1237" s="304"/>
      <c r="V1237" s="334"/>
      <c r="W1237" s="334"/>
      <c r="X1237" s="334"/>
      <c r="Y1237" s="334"/>
      <c r="Z1237" s="334"/>
      <c r="AA1237" s="326" t="s">
        <v>1498</v>
      </c>
      <c r="AD1237" s="326" t="s">
        <v>1717</v>
      </c>
      <c r="AE1237" s="326" t="s">
        <v>1725</v>
      </c>
      <c r="AG1237" s="326" t="s">
        <v>1707</v>
      </c>
      <c r="AH1237" s="326" t="s">
        <v>1714</v>
      </c>
      <c r="AR1237" s="326"/>
      <c r="AT1237"/>
      <c r="AU1237"/>
      <c r="AV1237"/>
      <c r="AW1237" t="b">
        <v>1</v>
      </c>
      <c r="AX1237" t="b">
        <v>1</v>
      </c>
      <c r="AY1237" t="b">
        <v>1</v>
      </c>
    </row>
    <row r="1238" spans="1:51">
      <c r="A1238" s="277" t="s">
        <v>1216</v>
      </c>
      <c r="B1238" s="273" t="s">
        <v>1476</v>
      </c>
      <c r="C1238" s="273">
        <f>'Schippers RD Sumatra 2010'!B77</f>
        <v>0.49</v>
      </c>
      <c r="D1238" s="302">
        <f>'Schippers RD Sumatra 2010'!C77</f>
        <v>379000000</v>
      </c>
      <c r="I1238" s="301">
        <f>'Schippers RD Sumatra 2010'!D77</f>
        <v>416000000</v>
      </c>
      <c r="J1238" s="301">
        <f>'Schippers RD Sumatra 2010'!E77</f>
        <v>78000000</v>
      </c>
      <c r="K1238" s="301">
        <f>I1238+J1238</f>
        <v>494000000</v>
      </c>
      <c r="N1238" s="27">
        <f>J1238/K1238</f>
        <v>0.15789473684210525</v>
      </c>
      <c r="O1238" s="303"/>
      <c r="P1238" s="304">
        <f>'Schippers RD Sumatra 2010'!G78</f>
        <v>28.020786291334201</v>
      </c>
      <c r="R1238" s="304"/>
      <c r="S1238" s="304"/>
      <c r="T1238" s="304"/>
      <c r="U1238" s="304"/>
      <c r="V1238" s="334"/>
      <c r="W1238" s="334"/>
      <c r="X1238" s="334"/>
      <c r="Y1238" s="334"/>
      <c r="Z1238" s="334"/>
      <c r="AA1238" s="326" t="s">
        <v>1498</v>
      </c>
      <c r="AD1238" s="326" t="s">
        <v>1717</v>
      </c>
      <c r="AE1238" s="326" t="s">
        <v>1725</v>
      </c>
      <c r="AG1238" s="326" t="s">
        <v>1707</v>
      </c>
      <c r="AH1238" s="326" t="s">
        <v>1714</v>
      </c>
      <c r="AR1238" s="326"/>
      <c r="AT1238"/>
      <c r="AU1238"/>
      <c r="AV1238"/>
      <c r="AW1238" t="b">
        <v>1</v>
      </c>
      <c r="AX1238" t="b">
        <v>1</v>
      </c>
      <c r="AY1238" t="b">
        <v>1</v>
      </c>
    </row>
    <row r="1239" spans="1:51">
      <c r="A1239" s="277" t="s">
        <v>1216</v>
      </c>
      <c r="B1239" s="273" t="s">
        <v>1476</v>
      </c>
      <c r="C1239" s="273">
        <f>'Schippers RD Sumatra 2010'!B79</f>
        <v>0.75</v>
      </c>
      <c r="D1239" s="302">
        <f>'Schippers RD Sumatra 2010'!C79</f>
        <v>300000000</v>
      </c>
      <c r="I1239" s="301">
        <f>'Schippers RD Sumatra 2010'!D79</f>
        <v>234000000</v>
      </c>
      <c r="J1239" s="301">
        <f>'Schippers RD Sumatra 2010'!E79</f>
        <v>43900000</v>
      </c>
      <c r="K1239" s="301">
        <f>I1239+J1239</f>
        <v>277900000</v>
      </c>
      <c r="N1239" s="27">
        <f>J1239/K1239</f>
        <v>0.15797049298308743</v>
      </c>
      <c r="O1239" s="303"/>
      <c r="P1239" s="303">
        <f>'Schippers RD Sumatra 2010'!G79</f>
        <v>26.260349239801201</v>
      </c>
      <c r="R1239" s="304"/>
      <c r="S1239" s="304"/>
      <c r="T1239" s="304"/>
      <c r="U1239" s="304"/>
      <c r="V1239" s="334"/>
      <c r="W1239" s="334"/>
      <c r="X1239" s="334"/>
      <c r="Y1239" s="334"/>
      <c r="Z1239" s="334"/>
      <c r="AA1239" s="327" t="s">
        <v>1498</v>
      </c>
      <c r="AD1239" s="326" t="s">
        <v>1717</v>
      </c>
      <c r="AE1239" s="327" t="s">
        <v>1725</v>
      </c>
      <c r="AG1239" s="326" t="s">
        <v>1707</v>
      </c>
      <c r="AH1239" s="326" t="s">
        <v>1714</v>
      </c>
      <c r="AR1239" s="326"/>
      <c r="AT1239"/>
      <c r="AU1239"/>
      <c r="AV1239"/>
      <c r="AW1239" t="b">
        <v>1</v>
      </c>
      <c r="AX1239" t="b">
        <v>1</v>
      </c>
      <c r="AY1239" t="b">
        <v>1</v>
      </c>
    </row>
    <row r="1240" spans="1:51">
      <c r="A1240" s="277" t="s">
        <v>1216</v>
      </c>
      <c r="B1240" s="273" t="s">
        <v>1476</v>
      </c>
      <c r="C1240" s="273">
        <f>'Schippers RD Sumatra 2010'!B80</f>
        <v>1.07</v>
      </c>
      <c r="D1240" s="302">
        <f>'Schippers RD Sumatra 2010'!C80</f>
        <v>241000000</v>
      </c>
      <c r="I1240" s="301">
        <f>'Schippers RD Sumatra 2010'!D80</f>
        <v>538000000</v>
      </c>
      <c r="J1240" s="301">
        <f>'Schippers RD Sumatra 2010'!E80</f>
        <v>37200000</v>
      </c>
      <c r="K1240" s="301">
        <f>I1240+J1240</f>
        <v>575200000</v>
      </c>
      <c r="N1240" s="27">
        <f>J1240/K1240</f>
        <v>6.4673157162726008E-2</v>
      </c>
      <c r="O1240" s="303"/>
      <c r="P1240" s="303">
        <f>'Schippers RD Sumatra 2010'!G80</f>
        <v>25.2149505745396</v>
      </c>
      <c r="R1240" s="304"/>
      <c r="S1240" s="304"/>
      <c r="T1240" s="304"/>
      <c r="U1240" s="304"/>
      <c r="V1240" s="334"/>
      <c r="W1240" s="334"/>
      <c r="X1240" s="334"/>
      <c r="Y1240" s="334"/>
      <c r="Z1240" s="334"/>
      <c r="AA1240" s="326" t="s">
        <v>1498</v>
      </c>
      <c r="AD1240" s="326" t="s">
        <v>1717</v>
      </c>
      <c r="AE1240" s="326" t="s">
        <v>1725</v>
      </c>
      <c r="AG1240" s="326" t="s">
        <v>1707</v>
      </c>
      <c r="AH1240" s="326" t="s">
        <v>1714</v>
      </c>
      <c r="AR1240" s="326"/>
      <c r="AT1240"/>
      <c r="AU1240"/>
      <c r="AV1240"/>
      <c r="AW1240" t="b">
        <v>1</v>
      </c>
      <c r="AX1240" t="b">
        <v>1</v>
      </c>
      <c r="AY1240" t="b">
        <v>1</v>
      </c>
    </row>
    <row r="1241" spans="1:51">
      <c r="A1241" s="277" t="s">
        <v>1216</v>
      </c>
      <c r="B1241" s="273" t="s">
        <v>1476</v>
      </c>
      <c r="C1241" s="273">
        <f>'Schippers RD Sumatra 2010'!B81</f>
        <v>1.57</v>
      </c>
      <c r="D1241" s="302">
        <f>'Schippers RD Sumatra 2010'!C81</f>
        <v>159000000</v>
      </c>
      <c r="I1241" s="301">
        <f>'Schippers RD Sumatra 2010'!D81</f>
        <v>103000000</v>
      </c>
      <c r="J1241" s="301">
        <f>'Schippers RD Sumatra 2010'!E81</f>
        <v>24700000</v>
      </c>
      <c r="K1241" s="301">
        <f>I1241+J1241</f>
        <v>127700000</v>
      </c>
      <c r="N1241" s="27">
        <f>J1241/K1241</f>
        <v>0.19342208300704777</v>
      </c>
      <c r="O1241" s="303"/>
      <c r="P1241" s="303">
        <f>'Schippers RD Sumatra 2010'!G81</f>
        <v>23.124655025339901</v>
      </c>
      <c r="R1241" s="304"/>
      <c r="S1241" s="304"/>
      <c r="T1241" s="304"/>
      <c r="U1241" s="304"/>
      <c r="V1241" s="334"/>
      <c r="W1241" s="334"/>
      <c r="X1241" s="334"/>
      <c r="Y1241" s="334"/>
      <c r="Z1241" s="334"/>
      <c r="AA1241" s="326" t="s">
        <v>1498</v>
      </c>
      <c r="AD1241" s="326" t="s">
        <v>1717</v>
      </c>
      <c r="AE1241" s="326" t="s">
        <v>1725</v>
      </c>
      <c r="AG1241" s="326" t="s">
        <v>1707</v>
      </c>
      <c r="AH1241" s="326" t="s">
        <v>1714</v>
      </c>
      <c r="AR1241" s="326"/>
      <c r="AT1241"/>
      <c r="AU1241"/>
      <c r="AV1241"/>
      <c r="AW1241" t="b">
        <v>1</v>
      </c>
      <c r="AX1241" t="b">
        <v>1</v>
      </c>
      <c r="AY1241" t="b">
        <v>1</v>
      </c>
    </row>
    <row r="1242" spans="1:51">
      <c r="A1242" s="277" t="s">
        <v>1216</v>
      </c>
      <c r="B1242" s="273" t="s">
        <v>1476</v>
      </c>
      <c r="C1242" s="273">
        <f>'Schippers RD Sumatra 2010'!B82</f>
        <v>2.0699999999999998</v>
      </c>
      <c r="D1242" s="302">
        <f>'Schippers RD Sumatra 2010'!C82</f>
        <v>173000000</v>
      </c>
      <c r="I1242" s="301">
        <f>'Schippers RD Sumatra 2010'!D82</f>
        <v>245000000</v>
      </c>
      <c r="J1242" s="301">
        <f>'Schippers RD Sumatra 2010'!E82</f>
        <v>53900000</v>
      </c>
      <c r="K1242" s="301">
        <f>I1242+J1242</f>
        <v>298900000</v>
      </c>
      <c r="N1242" s="27">
        <f>J1242/K1242</f>
        <v>0.18032786885245902</v>
      </c>
      <c r="O1242" s="303"/>
      <c r="P1242" s="303">
        <f>'Schippers RD Sumatra 2010'!G82</f>
        <v>21.144312308695799</v>
      </c>
      <c r="R1242" s="304"/>
      <c r="S1242" s="304"/>
      <c r="T1242" s="304"/>
      <c r="U1242" s="304"/>
      <c r="V1242" s="334"/>
      <c r="W1242" s="334"/>
      <c r="X1242" s="334"/>
      <c r="Y1242" s="334"/>
      <c r="Z1242" s="334"/>
      <c r="AA1242" s="326" t="s">
        <v>1498</v>
      </c>
      <c r="AD1242" s="326" t="s">
        <v>1717</v>
      </c>
      <c r="AE1242" s="326" t="s">
        <v>1725</v>
      </c>
      <c r="AG1242" s="326" t="s">
        <v>1707</v>
      </c>
      <c r="AH1242" s="326" t="s">
        <v>1714</v>
      </c>
      <c r="AR1242" s="326"/>
      <c r="AT1242"/>
      <c r="AU1242"/>
      <c r="AV1242"/>
      <c r="AW1242" t="b">
        <v>1</v>
      </c>
      <c r="AX1242" t="b">
        <v>1</v>
      </c>
      <c r="AY1242" t="b">
        <v>1</v>
      </c>
    </row>
    <row r="1243" spans="1:51">
      <c r="A1243" s="277" t="s">
        <v>1216</v>
      </c>
      <c r="B1243" s="273" t="s">
        <v>1476</v>
      </c>
      <c r="C1243" s="273">
        <f>'Schippers RD Sumatra 2010'!B83</f>
        <v>2.57</v>
      </c>
      <c r="D1243" s="302">
        <f>'Schippers RD Sumatra 2010'!C83</f>
        <v>263000000</v>
      </c>
      <c r="I1243" s="301">
        <f>'Schippers RD Sumatra 2010'!D83</f>
        <v>2690000000</v>
      </c>
      <c r="J1243" s="301">
        <f>'Schippers RD Sumatra 2010'!E83</f>
        <v>562000000</v>
      </c>
      <c r="K1243" s="301">
        <f>I1243+J1243</f>
        <v>3252000000</v>
      </c>
      <c r="N1243" s="27">
        <f>J1243/K1243</f>
        <v>0.17281672816728166</v>
      </c>
      <c r="O1243" s="303"/>
      <c r="P1243" s="303">
        <f>'Schippers RD Sumatra 2010'!G83</f>
        <v>19.658600531888201</v>
      </c>
      <c r="R1243" s="304"/>
      <c r="S1243" s="304"/>
      <c r="T1243" s="304"/>
      <c r="U1243" s="304"/>
      <c r="V1243" s="334"/>
      <c r="W1243" s="334"/>
      <c r="X1243" s="334"/>
      <c r="Y1243" s="334"/>
      <c r="Z1243" s="334"/>
      <c r="AA1243" s="326" t="s">
        <v>1498</v>
      </c>
      <c r="AD1243" s="326" t="s">
        <v>1717</v>
      </c>
      <c r="AE1243" s="326" t="s">
        <v>1725</v>
      </c>
      <c r="AG1243" s="326" t="s">
        <v>1707</v>
      </c>
      <c r="AH1243" s="326" t="s">
        <v>1714</v>
      </c>
      <c r="AR1243" s="326"/>
      <c r="AT1243"/>
      <c r="AU1243"/>
      <c r="AV1243"/>
      <c r="AW1243" t="b">
        <v>1</v>
      </c>
      <c r="AX1243" t="b">
        <v>1</v>
      </c>
      <c r="AY1243" t="b">
        <v>1</v>
      </c>
    </row>
    <row r="1244" spans="1:51">
      <c r="A1244" s="277" t="s">
        <v>1216</v>
      </c>
      <c r="B1244" s="273" t="s">
        <v>1476</v>
      </c>
      <c r="C1244" s="273">
        <f>'Schippers RD Sumatra 2010'!B84</f>
        <v>3.07</v>
      </c>
      <c r="D1244" s="302">
        <f>'Schippers RD Sumatra 2010'!C84</f>
        <v>128000000</v>
      </c>
      <c r="I1244" s="301">
        <f>'Schippers RD Sumatra 2010'!D84</f>
        <v>1620000000</v>
      </c>
      <c r="J1244" s="301">
        <f>'Schippers RD Sumatra 2010'!E84</f>
        <v>94800000</v>
      </c>
      <c r="K1244" s="301">
        <f>I1244+J1244</f>
        <v>1714800000</v>
      </c>
      <c r="N1244" s="27">
        <f>J1244/K1244</f>
        <v>5.5283414975507345E-2</v>
      </c>
      <c r="O1244" s="303"/>
      <c r="P1244" s="303">
        <f>'Schippers RD Sumatra 2010'!G84</f>
        <v>17.952983089969301</v>
      </c>
      <c r="R1244" s="304"/>
      <c r="S1244" s="304"/>
      <c r="T1244" s="304"/>
      <c r="U1244" s="304"/>
      <c r="V1244" s="334"/>
      <c r="W1244" s="334"/>
      <c r="X1244" s="334"/>
      <c r="Y1244" s="334"/>
      <c r="Z1244" s="334"/>
      <c r="AA1244" s="326" t="s">
        <v>1498</v>
      </c>
      <c r="AD1244" s="326" t="s">
        <v>1717</v>
      </c>
      <c r="AE1244" s="326" t="s">
        <v>1725</v>
      </c>
      <c r="AG1244" s="326" t="s">
        <v>1707</v>
      </c>
      <c r="AH1244" s="326" t="s">
        <v>1714</v>
      </c>
      <c r="AR1244" s="326"/>
      <c r="AT1244"/>
      <c r="AU1244"/>
      <c r="AV1244"/>
      <c r="AW1244" t="b">
        <v>1</v>
      </c>
      <c r="AX1244" t="b">
        <v>1</v>
      </c>
      <c r="AY1244" t="b">
        <v>1</v>
      </c>
    </row>
    <row r="1245" spans="1:51">
      <c r="A1245" s="277" t="s">
        <v>1216</v>
      </c>
      <c r="B1245" s="273" t="s">
        <v>1476</v>
      </c>
      <c r="C1245" s="273">
        <f>'Schippers RD Sumatra 2010'!B85</f>
        <v>3.57</v>
      </c>
      <c r="D1245" s="302">
        <f>'Schippers RD Sumatra 2010'!C85</f>
        <v>156000000</v>
      </c>
      <c r="I1245" s="301">
        <f>'Schippers RD Sumatra 2010'!D85</f>
        <v>118000000</v>
      </c>
      <c r="J1245" s="301">
        <f>'Schippers RD Sumatra 2010'!E85</f>
        <v>36000000</v>
      </c>
      <c r="K1245" s="301">
        <f>I1245+J1245</f>
        <v>154000000</v>
      </c>
      <c r="N1245" s="27">
        <f>J1245/K1245</f>
        <v>0.23376623376623376</v>
      </c>
      <c r="O1245" s="303"/>
      <c r="P1245" s="303">
        <f>'Schippers RD Sumatra 2010'!G85</f>
        <v>15.972703095990701</v>
      </c>
      <c r="R1245" s="304"/>
      <c r="S1245" s="304"/>
      <c r="T1245" s="304"/>
      <c r="U1245" s="304"/>
      <c r="V1245" s="334"/>
      <c r="W1245" s="334"/>
      <c r="X1245" s="334"/>
      <c r="Y1245" s="334"/>
      <c r="Z1245" s="334"/>
      <c r="AA1245" s="326" t="s">
        <v>1498</v>
      </c>
      <c r="AD1245" s="326" t="s">
        <v>1717</v>
      </c>
      <c r="AE1245" s="326" t="s">
        <v>1725</v>
      </c>
      <c r="AG1245" s="326" t="s">
        <v>1707</v>
      </c>
      <c r="AH1245" s="326" t="s">
        <v>1714</v>
      </c>
      <c r="AR1245" s="326"/>
      <c r="AT1245"/>
      <c r="AU1245"/>
      <c r="AV1245"/>
      <c r="AW1245" t="b">
        <v>1</v>
      </c>
      <c r="AX1245" t="b">
        <v>1</v>
      </c>
      <c r="AY1245" t="b">
        <v>1</v>
      </c>
    </row>
    <row r="1246" spans="1:51">
      <c r="A1246" s="277" t="s">
        <v>1216</v>
      </c>
      <c r="B1246" s="273" t="s">
        <v>1476</v>
      </c>
      <c r="C1246" s="273">
        <f>'Schippers RD Sumatra 2010'!B86</f>
        <v>4.07</v>
      </c>
      <c r="D1246" s="302">
        <f>'Schippers RD Sumatra 2010'!C86</f>
        <v>125000000</v>
      </c>
      <c r="I1246" s="301">
        <f>'Schippers RD Sumatra 2010'!D86</f>
        <v>127000000</v>
      </c>
      <c r="J1246" s="301">
        <f>'Schippers RD Sumatra 2010'!E86</f>
        <v>32300000</v>
      </c>
      <c r="K1246" s="301">
        <f>I1246+J1246</f>
        <v>159300000</v>
      </c>
      <c r="N1246" s="27">
        <f>J1246/K1246</f>
        <v>0.20276208411801633</v>
      </c>
      <c r="O1246" s="303"/>
      <c r="P1246" s="304">
        <f>'Schippers RD Sumatra 2010'!G86</f>
        <v>13.3878393296201</v>
      </c>
      <c r="R1246" s="304"/>
      <c r="S1246" s="304"/>
      <c r="T1246" s="304"/>
      <c r="U1246" s="304"/>
      <c r="V1246" s="334"/>
      <c r="W1246" s="334"/>
      <c r="X1246" s="334"/>
      <c r="Y1246" s="334"/>
      <c r="Z1246" s="334"/>
      <c r="AA1246" s="326" t="s">
        <v>1498</v>
      </c>
      <c r="AD1246" s="326" t="s">
        <v>1717</v>
      </c>
      <c r="AE1246" s="326" t="s">
        <v>1725</v>
      </c>
      <c r="AG1246" s="326" t="s">
        <v>1707</v>
      </c>
      <c r="AH1246" s="326" t="s">
        <v>1714</v>
      </c>
      <c r="AR1246" s="326"/>
      <c r="AT1246"/>
      <c r="AU1246"/>
      <c r="AV1246"/>
      <c r="AW1246" t="b">
        <v>1</v>
      </c>
      <c r="AX1246" t="b">
        <v>1</v>
      </c>
      <c r="AY1246" t="b">
        <v>1</v>
      </c>
    </row>
    <row r="1247" spans="1:51">
      <c r="A1247" s="277" t="s">
        <v>1216</v>
      </c>
      <c r="B1247" s="273" t="s">
        <v>1476</v>
      </c>
      <c r="C1247" s="273">
        <f>'Schippers RD Sumatra 2010'!B87</f>
        <v>4.57</v>
      </c>
      <c r="D1247" s="302">
        <f>'Schippers RD Sumatra 2010'!C87</f>
        <v>213000000</v>
      </c>
      <c r="O1247" s="303"/>
      <c r="P1247" s="303">
        <f>'Schippers RD Sumatra 2010'!G87</f>
        <v>10.583508956796599</v>
      </c>
      <c r="R1247" s="304"/>
      <c r="S1247" s="304"/>
      <c r="T1247" s="304"/>
      <c r="U1247" s="304"/>
      <c r="V1247" s="334"/>
      <c r="W1247" s="334"/>
      <c r="X1247" s="334"/>
      <c r="Y1247" s="334"/>
      <c r="Z1247" s="334"/>
      <c r="AR1247" s="326"/>
      <c r="AT1247"/>
      <c r="AU1247"/>
      <c r="AV1247"/>
    </row>
    <row r="1248" spans="1:51">
      <c r="A1248" s="277" t="s">
        <v>1216</v>
      </c>
      <c r="B1248" s="273" t="s">
        <v>1476</v>
      </c>
      <c r="C1248" s="273">
        <f>'Schippers RD Sumatra 2010'!B88</f>
        <v>5.07</v>
      </c>
      <c r="D1248" s="302">
        <f>'Schippers RD Sumatra 2010'!C88</f>
        <v>66000000</v>
      </c>
      <c r="I1248" s="301">
        <f>'Schippers RD Sumatra 2010'!D88</f>
        <v>171000000</v>
      </c>
      <c r="J1248" s="301">
        <f>'Schippers RD Sumatra 2010'!E88</f>
        <v>79300000</v>
      </c>
      <c r="K1248" s="301">
        <f>I1248+J1248</f>
        <v>250300000</v>
      </c>
      <c r="N1248" s="27">
        <f>J1248/K1248</f>
        <v>0.31681981622053534</v>
      </c>
      <c r="O1248" s="303"/>
      <c r="P1248" s="304">
        <f>'Schippers RD Sumatra 2010'!G88</f>
        <v>7.8889432485322901</v>
      </c>
      <c r="R1248" s="304"/>
      <c r="S1248" s="304"/>
      <c r="T1248" s="304"/>
      <c r="U1248" s="304"/>
      <c r="V1248" s="334"/>
      <c r="W1248" s="334"/>
      <c r="X1248" s="334"/>
      <c r="Y1248" s="334"/>
      <c r="Z1248" s="334"/>
      <c r="AA1248" s="326" t="s">
        <v>1498</v>
      </c>
      <c r="AD1248" s="326" t="s">
        <v>1717</v>
      </c>
      <c r="AE1248" s="326" t="s">
        <v>1725</v>
      </c>
      <c r="AG1248" s="326" t="s">
        <v>1707</v>
      </c>
      <c r="AH1248" s="326" t="s">
        <v>1714</v>
      </c>
      <c r="AR1248" s="326"/>
      <c r="AT1248"/>
      <c r="AU1248"/>
      <c r="AV1248"/>
      <c r="AW1248" t="b">
        <v>1</v>
      </c>
      <c r="AX1248" t="b">
        <v>1</v>
      </c>
      <c r="AY1248" t="b">
        <v>1</v>
      </c>
    </row>
    <row r="1249" spans="1:51">
      <c r="A1249" s="277" t="s">
        <v>1216</v>
      </c>
      <c r="B1249" s="273" t="s">
        <v>1476</v>
      </c>
      <c r="C1249" s="273">
        <f>'Schippers RD Sumatra 2010'!B89</f>
        <v>5.57</v>
      </c>
      <c r="D1249" s="302">
        <f>'Schippers RD Sumatra 2010'!C89</f>
        <v>87300000</v>
      </c>
      <c r="I1249" s="301">
        <f>'Schippers RD Sumatra 2010'!D89</f>
        <v>60600000</v>
      </c>
      <c r="J1249" s="301">
        <f>'Schippers RD Sumatra 2010'!E89</f>
        <v>31600000</v>
      </c>
      <c r="K1249" s="301">
        <f>I1249+J1249</f>
        <v>92200000</v>
      </c>
      <c r="N1249" s="27">
        <f>J1249/K1249</f>
        <v>0.34273318872017355</v>
      </c>
      <c r="O1249" s="303"/>
      <c r="P1249" s="304">
        <f>'Schippers RD Sumatra 2010'!G89</f>
        <v>4.4249586030407899</v>
      </c>
      <c r="R1249" s="304"/>
      <c r="S1249" s="304"/>
      <c r="T1249" s="304"/>
      <c r="U1249" s="304"/>
      <c r="V1249" s="334"/>
      <c r="W1249" s="334"/>
      <c r="X1249" s="334"/>
      <c r="Y1249" s="334"/>
      <c r="Z1249" s="334"/>
      <c r="AA1249" s="326" t="s">
        <v>1498</v>
      </c>
      <c r="AD1249" s="326" t="s">
        <v>1717</v>
      </c>
      <c r="AE1249" s="326" t="s">
        <v>1725</v>
      </c>
      <c r="AG1249" s="326" t="s">
        <v>1707</v>
      </c>
      <c r="AH1249" s="326" t="s">
        <v>1714</v>
      </c>
      <c r="AR1249" s="326"/>
      <c r="AT1249"/>
      <c r="AU1249"/>
      <c r="AV1249"/>
      <c r="AW1249" t="b">
        <v>1</v>
      </c>
      <c r="AX1249" t="b">
        <v>1</v>
      </c>
      <c r="AY1249" t="b">
        <v>1</v>
      </c>
    </row>
    <row r="1250" spans="1:51">
      <c r="A1250" s="277" t="s">
        <v>1216</v>
      </c>
      <c r="B1250" s="273" t="s">
        <v>1476</v>
      </c>
      <c r="C1250" s="273">
        <f>'Schippers RD Sumatra 2010'!B90</f>
        <v>6.07</v>
      </c>
      <c r="D1250" s="302">
        <f>'Schippers RD Sumatra 2010'!C90</f>
        <v>45900000</v>
      </c>
      <c r="I1250" s="301">
        <f>'Schippers RD Sumatra 2010'!D90</f>
        <v>67100000</v>
      </c>
      <c r="J1250" s="301">
        <f>'Schippers RD Sumatra 2010'!E90</f>
        <v>38900000</v>
      </c>
      <c r="K1250" s="301">
        <f>I1250+J1250</f>
        <v>106000000</v>
      </c>
      <c r="N1250" s="27">
        <f>J1250/K1250</f>
        <v>0.36698113207547167</v>
      </c>
      <c r="O1250" s="303"/>
      <c r="P1250" s="303">
        <f>'Schippers RD Sumatra 2010'!G90</f>
        <v>0.63161724120628304</v>
      </c>
      <c r="R1250" s="304"/>
      <c r="S1250" s="304"/>
      <c r="T1250" s="304"/>
      <c r="U1250" s="304"/>
      <c r="V1250" s="334"/>
      <c r="W1250" s="334"/>
      <c r="X1250" s="334"/>
      <c r="Y1250" s="334"/>
      <c r="Z1250" s="334"/>
      <c r="AA1250" s="326" t="s">
        <v>1498</v>
      </c>
      <c r="AD1250" s="326" t="s">
        <v>1717</v>
      </c>
      <c r="AE1250" s="326" t="s">
        <v>1725</v>
      </c>
      <c r="AG1250" s="326" t="s">
        <v>1707</v>
      </c>
      <c r="AH1250" s="326" t="s">
        <v>1714</v>
      </c>
      <c r="AR1250" s="325"/>
      <c r="AT1250"/>
      <c r="AU1250"/>
      <c r="AV1250"/>
      <c r="AW1250" t="b">
        <v>1</v>
      </c>
      <c r="AX1250" t="b">
        <v>1</v>
      </c>
      <c r="AY1250" t="b">
        <v>1</v>
      </c>
    </row>
    <row r="1251" spans="1:51">
      <c r="A1251" s="277" t="s">
        <v>1216</v>
      </c>
      <c r="B1251" s="273" t="s">
        <v>1476</v>
      </c>
      <c r="C1251" s="273">
        <f>'Schippers RD Sumatra 2010'!B91</f>
        <v>6.57</v>
      </c>
      <c r="D1251" s="302">
        <f>'Schippers RD Sumatra 2010'!C91</f>
        <v>83600000</v>
      </c>
      <c r="I1251" s="301">
        <f>'Schippers RD Sumatra 2010'!D91</f>
        <v>99200000</v>
      </c>
      <c r="J1251" s="301">
        <f>'Schippers RD Sumatra 2010'!E91</f>
        <v>55500000</v>
      </c>
      <c r="K1251" s="301">
        <f>I1251+J1251</f>
        <v>154700000</v>
      </c>
      <c r="N1251" s="27">
        <f>J1251/K1251</f>
        <v>0.35875888817065288</v>
      </c>
      <c r="O1251" s="303"/>
      <c r="P1251" s="334">
        <f>'Schippers RD Sumatra 2010'!G91</f>
        <v>0.13472828541321699</v>
      </c>
      <c r="R1251" s="304"/>
      <c r="S1251" s="304"/>
      <c r="T1251" s="304"/>
      <c r="U1251" s="304"/>
      <c r="V1251" s="334"/>
      <c r="W1251" s="334"/>
      <c r="X1251" s="334"/>
      <c r="Y1251" s="334"/>
      <c r="Z1251" s="334"/>
      <c r="AA1251" s="326" t="s">
        <v>1498</v>
      </c>
      <c r="AD1251" s="326" t="s">
        <v>1717</v>
      </c>
      <c r="AE1251" s="326" t="s">
        <v>1725</v>
      </c>
      <c r="AG1251" s="326" t="s">
        <v>1707</v>
      </c>
      <c r="AH1251" s="326" t="s">
        <v>1714</v>
      </c>
      <c r="AR1251" s="325"/>
      <c r="AT1251"/>
      <c r="AU1251"/>
      <c r="AV1251"/>
      <c r="AW1251" t="b">
        <v>1</v>
      </c>
      <c r="AX1251" t="b">
        <v>1</v>
      </c>
      <c r="AY1251" t="b">
        <v>1</v>
      </c>
    </row>
    <row r="1252" spans="1:51">
      <c r="A1252" s="277" t="s">
        <v>1216</v>
      </c>
      <c r="B1252" s="273" t="s">
        <v>1476</v>
      </c>
      <c r="C1252" s="273">
        <f>'Schippers RD Sumatra 2010'!B92</f>
        <v>7.07</v>
      </c>
      <c r="D1252" s="302">
        <f>'Schippers RD Sumatra 2010'!C92</f>
        <v>35200000</v>
      </c>
      <c r="I1252" s="301">
        <f>'Schippers RD Sumatra 2010'!D92</f>
        <v>36900000</v>
      </c>
      <c r="J1252" s="301">
        <f>'Schippers RD Sumatra 2010'!E92</f>
        <v>17200000</v>
      </c>
      <c r="K1252" s="301">
        <f>I1252+J1252</f>
        <v>54100000</v>
      </c>
      <c r="N1252" s="27">
        <f>J1252/K1252</f>
        <v>0.31792975970425141</v>
      </c>
      <c r="O1252" s="303"/>
      <c r="P1252" s="334">
        <f>'Schippers RD Sumatra 2010'!G92</f>
        <v>0.13247026945656801</v>
      </c>
      <c r="R1252" s="304"/>
      <c r="S1252" s="304"/>
      <c r="T1252" s="304"/>
      <c r="U1252" s="304"/>
      <c r="V1252" s="334"/>
      <c r="W1252" s="334"/>
      <c r="X1252" s="334"/>
      <c r="Y1252" s="334"/>
      <c r="Z1252" s="334"/>
      <c r="AA1252" s="326" t="s">
        <v>1498</v>
      </c>
      <c r="AD1252" s="326" t="s">
        <v>1717</v>
      </c>
      <c r="AE1252" s="326" t="s">
        <v>1725</v>
      </c>
      <c r="AG1252" s="326" t="s">
        <v>1707</v>
      </c>
      <c r="AH1252" s="326" t="s">
        <v>1714</v>
      </c>
      <c r="AR1252" s="325"/>
      <c r="AT1252"/>
      <c r="AU1252"/>
      <c r="AV1252"/>
      <c r="AW1252" t="b">
        <v>1</v>
      </c>
      <c r="AX1252" t="b">
        <v>1</v>
      </c>
      <c r="AY1252" t="b">
        <v>1</v>
      </c>
    </row>
    <row r="1253" spans="1:51">
      <c r="A1253" s="277" t="s">
        <v>1216</v>
      </c>
      <c r="B1253" s="273" t="s">
        <v>1476</v>
      </c>
      <c r="C1253" s="273">
        <f>'Schippers RD Sumatra 2010'!B93</f>
        <v>7.57</v>
      </c>
      <c r="D1253" s="302">
        <f>'Schippers RD Sumatra 2010'!C93</f>
        <v>45900000</v>
      </c>
      <c r="I1253" s="301">
        <f>'Schippers RD Sumatra 2010'!D93</f>
        <v>93000000</v>
      </c>
      <c r="J1253" s="301">
        <f>'Schippers RD Sumatra 2010'!E93</f>
        <v>56700000</v>
      </c>
      <c r="K1253" s="301">
        <f>I1253+J1253</f>
        <v>149700000</v>
      </c>
      <c r="N1253" s="27">
        <f>J1253/K1253</f>
        <v>0.37875751503006011</v>
      </c>
      <c r="O1253" s="303"/>
      <c r="P1253" s="334">
        <f>'Schippers RD Sumatra 2010'!G93</f>
        <v>0.13014953083446301</v>
      </c>
      <c r="R1253" s="304"/>
      <c r="S1253" s="304"/>
      <c r="T1253" s="304"/>
      <c r="U1253" s="304"/>
      <c r="V1253" s="334"/>
      <c r="W1253" s="334"/>
      <c r="X1253" s="334"/>
      <c r="Y1253" s="334"/>
      <c r="Z1253" s="334"/>
      <c r="AA1253" s="326" t="s">
        <v>1498</v>
      </c>
      <c r="AD1253" s="326" t="s">
        <v>1717</v>
      </c>
      <c r="AE1253" s="326" t="s">
        <v>1725</v>
      </c>
      <c r="AG1253" s="326" t="s">
        <v>1707</v>
      </c>
      <c r="AH1253" s="326" t="s">
        <v>1714</v>
      </c>
      <c r="AR1253" s="325"/>
      <c r="AT1253"/>
      <c r="AU1253"/>
      <c r="AV1253"/>
      <c r="AW1253" t="b">
        <v>1</v>
      </c>
      <c r="AX1253" t="b">
        <v>1</v>
      </c>
      <c r="AY1253" t="b">
        <v>1</v>
      </c>
    </row>
    <row r="1254" spans="1:51">
      <c r="A1254" s="277" t="s">
        <v>1217</v>
      </c>
      <c r="B1254" s="273" t="s">
        <v>1477</v>
      </c>
      <c r="C1254" s="273">
        <f>'Schippers RD Sumatra 2010'!B6</f>
        <v>0.01</v>
      </c>
      <c r="D1254" s="302">
        <f>'Schippers RD Sumatra 2010'!C6</f>
        <v>267000000</v>
      </c>
      <c r="I1254" s="301">
        <f>'Schippers RD Sumatra 2010'!D6</f>
        <v>1570000000</v>
      </c>
      <c r="J1254" s="301">
        <f>'Schippers RD Sumatra 2010'!E6</f>
        <v>135000000</v>
      </c>
      <c r="K1254" s="301">
        <f>I1254+J1254</f>
        <v>1705000000</v>
      </c>
      <c r="N1254" s="27">
        <f>J1254/K1254</f>
        <v>7.9178885630498533E-2</v>
      </c>
      <c r="O1254" s="303"/>
      <c r="P1254" s="334">
        <f>'Schippers RD Sumatra 2010'!G6</f>
        <v>27.572309036202999</v>
      </c>
      <c r="R1254" s="304"/>
      <c r="S1254" s="304"/>
      <c r="T1254" s="304"/>
      <c r="U1254" s="304"/>
      <c r="V1254" s="334"/>
      <c r="W1254" s="334"/>
      <c r="X1254" s="334"/>
      <c r="Y1254" s="334"/>
      <c r="Z1254" s="334"/>
      <c r="AA1254" s="326" t="s">
        <v>1498</v>
      </c>
      <c r="AD1254" s="326" t="s">
        <v>1717</v>
      </c>
      <c r="AE1254" s="326" t="s">
        <v>1725</v>
      </c>
      <c r="AG1254" s="326" t="s">
        <v>1707</v>
      </c>
      <c r="AH1254" s="326" t="s">
        <v>1714</v>
      </c>
      <c r="AR1254" s="325"/>
      <c r="AT1254"/>
      <c r="AU1254"/>
      <c r="AV1254"/>
      <c r="AW1254" t="b">
        <v>1</v>
      </c>
      <c r="AX1254" t="b">
        <v>1</v>
      </c>
      <c r="AY1254" t="b">
        <v>1</v>
      </c>
    </row>
    <row r="1255" spans="1:51">
      <c r="A1255" s="277" t="s">
        <v>1217</v>
      </c>
      <c r="B1255" s="273" t="s">
        <v>1477</v>
      </c>
      <c r="C1255" s="273">
        <f>'Schippers RD Sumatra 2010'!B7</f>
        <v>0.03</v>
      </c>
      <c r="D1255" s="302">
        <f>'Schippers RD Sumatra 2010'!C7</f>
        <v>339000000</v>
      </c>
      <c r="I1255" s="301">
        <f>'Schippers RD Sumatra 2010'!D7</f>
        <v>2110000000</v>
      </c>
      <c r="J1255" s="301">
        <f>'Schippers RD Sumatra 2010'!E7</f>
        <v>383000000</v>
      </c>
      <c r="K1255" s="301">
        <f>I1255+J1255</f>
        <v>2493000000</v>
      </c>
      <c r="N1255" s="27">
        <f>J1255/K1255</f>
        <v>0.15363016446048938</v>
      </c>
      <c r="O1255" s="303"/>
      <c r="P1255" s="334">
        <f>'Schippers RD Sumatra 2010'!G7</f>
        <v>27.351014267688999</v>
      </c>
      <c r="R1255" s="304"/>
      <c r="S1255" s="304"/>
      <c r="T1255" s="304"/>
      <c r="U1255" s="304"/>
      <c r="V1255" s="334"/>
      <c r="W1255" s="334"/>
      <c r="X1255" s="334"/>
      <c r="Y1255" s="334"/>
      <c r="Z1255" s="334"/>
      <c r="AA1255" s="326" t="s">
        <v>1498</v>
      </c>
      <c r="AD1255" s="326" t="s">
        <v>1717</v>
      </c>
      <c r="AE1255" s="326" t="s">
        <v>1725</v>
      </c>
      <c r="AG1255" s="326" t="s">
        <v>1707</v>
      </c>
      <c r="AH1255" s="326" t="s">
        <v>1714</v>
      </c>
      <c r="AR1255" s="325"/>
      <c r="AT1255"/>
      <c r="AU1255"/>
      <c r="AV1255"/>
      <c r="AW1255" t="b">
        <v>1</v>
      </c>
      <c r="AX1255" t="b">
        <v>1</v>
      </c>
      <c r="AY1255" t="b">
        <v>1</v>
      </c>
    </row>
    <row r="1256" spans="1:51">
      <c r="A1256" s="277" t="s">
        <v>1216</v>
      </c>
      <c r="B1256" s="273" t="s">
        <v>1477</v>
      </c>
      <c r="C1256" s="273">
        <f>'Schippers RD Sumatra 2010'!B8</f>
        <v>0.05</v>
      </c>
      <c r="D1256" s="302">
        <f>'Schippers RD Sumatra 2010'!C8</f>
        <v>146000000</v>
      </c>
      <c r="I1256" s="301">
        <f>'Schippers RD Sumatra 2010'!D8</f>
        <v>744000000</v>
      </c>
      <c r="J1256" s="301">
        <f>'Schippers RD Sumatra 2010'!E8</f>
        <v>397000000</v>
      </c>
      <c r="K1256" s="301">
        <f>I1256+J1256</f>
        <v>1141000000</v>
      </c>
      <c r="N1256" s="27">
        <f>J1256/K1256</f>
        <v>0.34794040315512709</v>
      </c>
      <c r="O1256" s="303"/>
      <c r="P1256" s="334">
        <f>'Schippers RD Sumatra 2010'!G8</f>
        <v>27.205182956420401</v>
      </c>
      <c r="R1256" s="304"/>
      <c r="S1256" s="304"/>
      <c r="T1256" s="304"/>
      <c r="U1256" s="304"/>
      <c r="V1256" s="334"/>
      <c r="W1256" s="334"/>
      <c r="X1256" s="334"/>
      <c r="Y1256" s="334"/>
      <c r="Z1256" s="334"/>
      <c r="AA1256" s="326" t="s">
        <v>1498</v>
      </c>
      <c r="AD1256" s="326" t="s">
        <v>1717</v>
      </c>
      <c r="AE1256" s="326" t="s">
        <v>1725</v>
      </c>
      <c r="AG1256" s="326" t="s">
        <v>1707</v>
      </c>
      <c r="AH1256" s="326" t="s">
        <v>1714</v>
      </c>
      <c r="AR1256" s="325"/>
      <c r="AT1256"/>
      <c r="AU1256"/>
      <c r="AV1256"/>
      <c r="AW1256" t="b">
        <v>1</v>
      </c>
      <c r="AX1256" t="b">
        <v>1</v>
      </c>
      <c r="AY1256" t="b">
        <v>1</v>
      </c>
    </row>
    <row r="1257" spans="1:51">
      <c r="A1257" s="277" t="s">
        <v>1216</v>
      </c>
      <c r="B1257" s="273" t="s">
        <v>1477</v>
      </c>
      <c r="C1257" s="273">
        <f>'Schippers RD Sumatra 2010'!B9</f>
        <v>7.0000000000000007E-2</v>
      </c>
      <c r="D1257" s="302">
        <f>'Schippers RD Sumatra 2010'!C9</f>
        <v>166000000</v>
      </c>
      <c r="I1257" s="301">
        <f>'Schippers RD Sumatra 2010'!D9</f>
        <v>807000000</v>
      </c>
      <c r="J1257" s="301">
        <f>'Schippers RD Sumatra 2010'!E9</f>
        <v>151000000</v>
      </c>
      <c r="K1257" s="301">
        <f>I1257+J1257</f>
        <v>958000000</v>
      </c>
      <c r="N1257" s="27">
        <f>J1257/K1257</f>
        <v>0.15762004175365343</v>
      </c>
      <c r="O1257" s="303"/>
      <c r="P1257" s="334">
        <f>'Schippers RD Sumatra 2010'!G9</f>
        <v>27.211006502960299</v>
      </c>
      <c r="R1257" s="304"/>
      <c r="S1257" s="304"/>
      <c r="T1257" s="304"/>
      <c r="U1257" s="304"/>
      <c r="V1257" s="334"/>
      <c r="W1257" s="334"/>
      <c r="X1257" s="334"/>
      <c r="Y1257" s="334"/>
      <c r="Z1257" s="334"/>
      <c r="AA1257" s="326" t="s">
        <v>1498</v>
      </c>
      <c r="AD1257" s="326" t="s">
        <v>1717</v>
      </c>
      <c r="AE1257" s="326" t="s">
        <v>1725</v>
      </c>
      <c r="AG1257" s="326" t="s">
        <v>1707</v>
      </c>
      <c r="AH1257" s="326" t="s">
        <v>1714</v>
      </c>
      <c r="AR1257" s="325"/>
      <c r="AT1257"/>
      <c r="AU1257"/>
      <c r="AV1257"/>
      <c r="AW1257" t="b">
        <v>1</v>
      </c>
      <c r="AX1257" t="b">
        <v>1</v>
      </c>
      <c r="AY1257" t="b">
        <v>1</v>
      </c>
    </row>
    <row r="1258" spans="1:51">
      <c r="A1258" s="277" t="s">
        <v>1216</v>
      </c>
      <c r="B1258" s="273" t="s">
        <v>1477</v>
      </c>
      <c r="C1258" s="273">
        <f>'Schippers RD Sumatra 2010'!B10</f>
        <v>0.09</v>
      </c>
      <c r="D1258" s="302">
        <f>'Schippers RD Sumatra 2010'!C10</f>
        <v>270000000</v>
      </c>
      <c r="I1258" s="301">
        <f>'Schippers RD Sumatra 2010'!D10</f>
        <v>565000000</v>
      </c>
      <c r="J1258" s="301">
        <f>'Schippers RD Sumatra 2010'!E10</f>
        <v>852000000</v>
      </c>
      <c r="K1258" s="301">
        <f>I1258+J1258</f>
        <v>1417000000</v>
      </c>
      <c r="N1258" s="27">
        <f>J1258/K1258</f>
        <v>0.60127028934368387</v>
      </c>
      <c r="O1258" s="303"/>
      <c r="P1258" s="334">
        <f>'Schippers RD Sumatra 2010'!G10</f>
        <v>27.521110356206901</v>
      </c>
      <c r="R1258" s="304"/>
      <c r="S1258" s="304"/>
      <c r="T1258" s="304"/>
      <c r="U1258" s="304"/>
      <c r="V1258" s="334"/>
      <c r="W1258" s="334"/>
      <c r="X1258" s="334"/>
      <c r="Y1258" s="334"/>
      <c r="Z1258" s="334"/>
      <c r="AA1258" s="326" t="s">
        <v>1498</v>
      </c>
      <c r="AD1258" s="326" t="s">
        <v>1717</v>
      </c>
      <c r="AE1258" s="326" t="s">
        <v>1725</v>
      </c>
      <c r="AG1258" s="326" t="s">
        <v>1707</v>
      </c>
      <c r="AH1258" s="326" t="s">
        <v>1714</v>
      </c>
      <c r="AR1258" s="325"/>
      <c r="AT1258"/>
      <c r="AU1258"/>
      <c r="AV1258"/>
      <c r="AW1258" t="b">
        <v>1</v>
      </c>
      <c r="AX1258" t="b">
        <v>1</v>
      </c>
      <c r="AY1258" t="b">
        <v>1</v>
      </c>
    </row>
    <row r="1259" spans="1:51">
      <c r="A1259" s="277" t="s">
        <v>1216</v>
      </c>
      <c r="B1259" s="273" t="s">
        <v>1477</v>
      </c>
      <c r="C1259" s="273">
        <f>'Schippers RD Sumatra 2010'!B11</f>
        <v>0.11</v>
      </c>
      <c r="D1259" s="302">
        <f>'Schippers RD Sumatra 2010'!C11</f>
        <v>447000000</v>
      </c>
      <c r="I1259" s="301">
        <f>'Schippers RD Sumatra 2010'!D11</f>
        <v>1920000000</v>
      </c>
      <c r="J1259" s="301">
        <f>'Schippers RD Sumatra 2010'!E11</f>
        <v>277000000</v>
      </c>
      <c r="K1259" s="301">
        <f>I1259+J1259</f>
        <v>2197000000</v>
      </c>
      <c r="N1259" s="27">
        <f>J1259/K1259</f>
        <v>0.12608101957214382</v>
      </c>
      <c r="O1259" s="303"/>
      <c r="P1259" s="334">
        <f>'Schippers RD Sumatra 2010'!G11</f>
        <v>27.3750363971658</v>
      </c>
      <c r="R1259" s="304"/>
      <c r="S1259" s="304"/>
      <c r="T1259" s="304"/>
      <c r="U1259" s="304"/>
      <c r="V1259" s="334"/>
      <c r="W1259" s="334"/>
      <c r="X1259" s="334"/>
      <c r="Y1259" s="334"/>
      <c r="Z1259" s="334"/>
      <c r="AA1259" s="326" t="s">
        <v>1498</v>
      </c>
      <c r="AD1259" s="326" t="s">
        <v>1717</v>
      </c>
      <c r="AE1259" s="326" t="s">
        <v>1725</v>
      </c>
      <c r="AG1259" s="326" t="s">
        <v>1707</v>
      </c>
      <c r="AH1259" s="326" t="s">
        <v>1714</v>
      </c>
      <c r="AR1259" s="325"/>
      <c r="AT1259"/>
      <c r="AU1259"/>
      <c r="AV1259"/>
      <c r="AW1259" t="b">
        <v>1</v>
      </c>
      <c r="AX1259" t="b">
        <v>1</v>
      </c>
      <c r="AY1259" t="b">
        <v>1</v>
      </c>
    </row>
    <row r="1260" spans="1:51">
      <c r="A1260" s="277" t="s">
        <v>1216</v>
      </c>
      <c r="B1260" s="273" t="s">
        <v>1477</v>
      </c>
      <c r="C1260" s="273">
        <f>'Schippers RD Sumatra 2010'!B12</f>
        <v>0.13</v>
      </c>
      <c r="D1260" s="302">
        <f>'Schippers RD Sumatra 2010'!C12</f>
        <v>376000000</v>
      </c>
      <c r="I1260" s="301">
        <f>'Schippers RD Sumatra 2010'!D12</f>
        <v>4510000000</v>
      </c>
      <c r="J1260" s="301">
        <f>'Schippers RD Sumatra 2010'!E12</f>
        <v>500000000</v>
      </c>
      <c r="K1260" s="301">
        <f>I1260+J1260</f>
        <v>5010000000</v>
      </c>
      <c r="N1260" s="27">
        <f>J1260/K1260</f>
        <v>9.9800399201596807E-2</v>
      </c>
      <c r="O1260" s="303"/>
      <c r="P1260" s="334">
        <f>'Schippers RD Sumatra 2010'!G12</f>
        <v>27.685382898185001</v>
      </c>
      <c r="R1260" s="304"/>
      <c r="S1260" s="304"/>
      <c r="T1260" s="304"/>
      <c r="U1260" s="304"/>
      <c r="V1260" s="334"/>
      <c r="W1260" s="334"/>
      <c r="X1260" s="334"/>
      <c r="Y1260" s="334"/>
      <c r="Z1260" s="334"/>
      <c r="AA1260" s="326" t="s">
        <v>1498</v>
      </c>
      <c r="AD1260" s="326" t="s">
        <v>1717</v>
      </c>
      <c r="AE1260" s="326" t="s">
        <v>1725</v>
      </c>
      <c r="AG1260" s="326" t="s">
        <v>1707</v>
      </c>
      <c r="AH1260" s="326" t="s">
        <v>1714</v>
      </c>
      <c r="AR1260" s="325"/>
      <c r="AT1260"/>
      <c r="AU1260"/>
      <c r="AV1260"/>
      <c r="AW1260" t="b">
        <v>1</v>
      </c>
      <c r="AX1260" t="b">
        <v>1</v>
      </c>
      <c r="AY1260" t="b">
        <v>1</v>
      </c>
    </row>
    <row r="1261" spans="1:51">
      <c r="A1261" s="277" t="s">
        <v>1216</v>
      </c>
      <c r="B1261" s="273" t="s">
        <v>1477</v>
      </c>
      <c r="C1261" s="273">
        <f>'Schippers RD Sumatra 2010'!B13</f>
        <v>0.17</v>
      </c>
      <c r="D1261" s="302">
        <f>'Schippers RD Sumatra 2010'!C13</f>
        <v>352000000</v>
      </c>
      <c r="I1261" s="301">
        <f>'Schippers RD Sumatra 2010'!D13</f>
        <v>1110000000</v>
      </c>
      <c r="J1261" s="301">
        <f>'Schippers RD Sumatra 2010'!E13</f>
        <v>153000000</v>
      </c>
      <c r="K1261" s="301">
        <f>I1261+J1261</f>
        <v>1263000000</v>
      </c>
      <c r="N1261" s="27">
        <f>J1261/K1261</f>
        <v>0.12114014251781473</v>
      </c>
      <c r="O1261" s="303"/>
      <c r="P1261" s="334">
        <f>'Schippers RD Sumatra 2010'!G13</f>
        <v>27.3175288750849</v>
      </c>
      <c r="R1261" s="304"/>
      <c r="S1261" s="304"/>
      <c r="T1261" s="304"/>
      <c r="U1261" s="304"/>
      <c r="V1261" s="334"/>
      <c r="W1261" s="334"/>
      <c r="X1261" s="334"/>
      <c r="Y1261" s="334"/>
      <c r="Z1261" s="334"/>
      <c r="AA1261" s="326" t="s">
        <v>1498</v>
      </c>
      <c r="AD1261" s="326" t="s">
        <v>1717</v>
      </c>
      <c r="AE1261" s="326" t="s">
        <v>1725</v>
      </c>
      <c r="AG1261" s="326" t="s">
        <v>1707</v>
      </c>
      <c r="AH1261" s="326" t="s">
        <v>1714</v>
      </c>
      <c r="AR1261" s="325"/>
      <c r="AT1261"/>
      <c r="AU1261"/>
      <c r="AV1261"/>
      <c r="AW1261" t="b">
        <v>1</v>
      </c>
      <c r="AX1261" t="b">
        <v>1</v>
      </c>
      <c r="AY1261" t="b">
        <v>1</v>
      </c>
    </row>
    <row r="1262" spans="1:51">
      <c r="A1262" s="277" t="s">
        <v>1216</v>
      </c>
      <c r="B1262" s="273" t="s">
        <v>1477</v>
      </c>
      <c r="C1262" s="273">
        <f>'Schippers RD Sumatra 2010'!B14</f>
        <v>0.21</v>
      </c>
      <c r="D1262" s="302">
        <f>'Schippers RD Sumatra 2010'!C14</f>
        <v>249000000</v>
      </c>
      <c r="I1262" s="301">
        <f>'Schippers RD Sumatra 2010'!D14</f>
        <v>743000000</v>
      </c>
      <c r="J1262" s="301">
        <f>'Schippers RD Sumatra 2010'!E14</f>
        <v>55400000</v>
      </c>
      <c r="K1262" s="301">
        <f>I1262+J1262</f>
        <v>798400000</v>
      </c>
      <c r="N1262" s="27">
        <f>J1262/K1262</f>
        <v>6.938877755511022E-2</v>
      </c>
      <c r="O1262" s="303"/>
      <c r="P1262" s="334">
        <f>'Schippers RD Sumatra 2010'!G14</f>
        <v>27.253712510919101</v>
      </c>
      <c r="R1262" s="304"/>
      <c r="S1262" s="304"/>
      <c r="T1262" s="304"/>
      <c r="U1262" s="304"/>
      <c r="V1262" s="334"/>
      <c r="W1262" s="334"/>
      <c r="X1262" s="334"/>
      <c r="Y1262" s="334"/>
      <c r="Z1262" s="334"/>
      <c r="AA1262" s="326" t="s">
        <v>1498</v>
      </c>
      <c r="AD1262" s="326" t="s">
        <v>1717</v>
      </c>
      <c r="AE1262" s="326" t="s">
        <v>1725</v>
      </c>
      <c r="AG1262" s="326" t="s">
        <v>1707</v>
      </c>
      <c r="AH1262" s="326" t="s">
        <v>1714</v>
      </c>
      <c r="AR1262" s="325"/>
      <c r="AT1262"/>
      <c r="AU1262"/>
      <c r="AV1262"/>
      <c r="AW1262" t="b">
        <v>1</v>
      </c>
      <c r="AX1262" t="b">
        <v>1</v>
      </c>
      <c r="AY1262" t="b">
        <v>1</v>
      </c>
    </row>
    <row r="1263" spans="1:51">
      <c r="A1263" s="277" t="s">
        <v>1216</v>
      </c>
      <c r="B1263" s="273" t="s">
        <v>1477</v>
      </c>
      <c r="C1263" s="273">
        <f>'Schippers RD Sumatra 2010'!B15</f>
        <v>0.27</v>
      </c>
      <c r="D1263" s="302">
        <f>'Schippers RD Sumatra 2010'!C15</f>
        <v>211000000</v>
      </c>
      <c r="I1263" s="301">
        <f>'Schippers RD Sumatra 2010'!D15</f>
        <v>273000000</v>
      </c>
      <c r="J1263" s="301">
        <f>'Schippers RD Sumatra 2010'!E15</f>
        <v>95000000</v>
      </c>
      <c r="K1263" s="301">
        <f>I1263+J1263</f>
        <v>368000000</v>
      </c>
      <c r="N1263" s="27">
        <f>J1263/K1263</f>
        <v>0.25815217391304346</v>
      </c>
      <c r="O1263" s="303"/>
      <c r="P1263" s="334">
        <f>'Schippers RD Sumatra 2010'!G15</f>
        <v>27.0440648354848</v>
      </c>
      <c r="R1263" s="304"/>
      <c r="S1263" s="304"/>
      <c r="T1263" s="304"/>
      <c r="U1263" s="304"/>
      <c r="V1263" s="334"/>
      <c r="W1263" s="334"/>
      <c r="X1263" s="334"/>
      <c r="Y1263" s="334"/>
      <c r="Z1263" s="334"/>
      <c r="AA1263" s="326" t="s">
        <v>1498</v>
      </c>
      <c r="AD1263" s="326" t="s">
        <v>1717</v>
      </c>
      <c r="AE1263" s="326" t="s">
        <v>1725</v>
      </c>
      <c r="AG1263" s="326" t="s">
        <v>1707</v>
      </c>
      <c r="AH1263" s="326" t="s">
        <v>1714</v>
      </c>
      <c r="AR1263" s="325"/>
      <c r="AT1263"/>
      <c r="AU1263"/>
      <c r="AV1263"/>
      <c r="AW1263" t="b">
        <v>1</v>
      </c>
      <c r="AX1263" t="b">
        <v>1</v>
      </c>
      <c r="AY1263" t="b">
        <v>1</v>
      </c>
    </row>
    <row r="1264" spans="1:51">
      <c r="A1264" s="277" t="s">
        <v>1216</v>
      </c>
      <c r="B1264" s="273" t="s">
        <v>1477</v>
      </c>
      <c r="C1264" s="273">
        <f>'Schippers RD Sumatra 2010'!B16</f>
        <v>0.35</v>
      </c>
      <c r="D1264" s="302">
        <f>'Schippers RD Sumatra 2010'!C16</f>
        <v>118000000</v>
      </c>
      <c r="I1264" s="301">
        <f>'Schippers RD Sumatra 2010'!D16</f>
        <v>31600000</v>
      </c>
      <c r="J1264" s="301">
        <f>'Schippers RD Sumatra 2010'!E16</f>
        <v>150000000</v>
      </c>
      <c r="K1264" s="301">
        <f>I1264+J1264</f>
        <v>181600000</v>
      </c>
      <c r="N1264" s="27">
        <f>J1264/K1264</f>
        <v>0.82599118942731276</v>
      </c>
      <c r="O1264" s="303"/>
      <c r="P1264" s="334">
        <f>'Schippers RD Sumatra 2010'!G16</f>
        <v>27.448316024458801</v>
      </c>
      <c r="R1264" s="304"/>
      <c r="S1264" s="304"/>
      <c r="T1264" s="304"/>
      <c r="U1264" s="304"/>
      <c r="V1264" s="334"/>
      <c r="W1264" s="334"/>
      <c r="X1264" s="334"/>
      <c r="Y1264" s="334"/>
      <c r="Z1264" s="334"/>
      <c r="AA1264" s="326" t="s">
        <v>1498</v>
      </c>
      <c r="AD1264" s="326" t="s">
        <v>1717</v>
      </c>
      <c r="AE1264" s="326" t="s">
        <v>1725</v>
      </c>
      <c r="AG1264" s="326" t="s">
        <v>1707</v>
      </c>
      <c r="AH1264" s="326" t="s">
        <v>1714</v>
      </c>
      <c r="AR1264" s="325"/>
      <c r="AT1264"/>
      <c r="AU1264"/>
      <c r="AV1264"/>
      <c r="AW1264" t="b">
        <v>1</v>
      </c>
      <c r="AX1264" t="b">
        <v>1</v>
      </c>
      <c r="AY1264" t="b">
        <v>1</v>
      </c>
    </row>
    <row r="1265" spans="1:51">
      <c r="A1265" s="277" t="s">
        <v>1216</v>
      </c>
      <c r="B1265" s="273" t="s">
        <v>1477</v>
      </c>
      <c r="C1265" s="273">
        <f>'Schippers RD Sumatra 2010'!B17</f>
        <v>0.43</v>
      </c>
      <c r="D1265" s="302">
        <f>'Schippers RD Sumatra 2010'!C17</f>
        <v>67900000</v>
      </c>
      <c r="I1265" s="301">
        <f>'Schippers RD Sumatra 2010'!D17</f>
        <v>244000000</v>
      </c>
      <c r="J1265" s="301">
        <f>'Schippers RD Sumatra 2010'!E17</f>
        <v>38100000</v>
      </c>
      <c r="K1265" s="301">
        <f>I1265+J1265</f>
        <v>282100000</v>
      </c>
      <c r="N1265" s="27">
        <f>J1265/K1265</f>
        <v>0.13505848989719957</v>
      </c>
      <c r="O1265" s="303"/>
      <c r="P1265" s="334">
        <f>'Schippers RD Sumatra 2010'!G17</f>
        <v>26.940939532175001</v>
      </c>
      <c r="R1265" s="304"/>
      <c r="S1265" s="304"/>
      <c r="T1265" s="304"/>
      <c r="U1265" s="304"/>
      <c r="V1265" s="334"/>
      <c r="W1265" s="334"/>
      <c r="X1265" s="334"/>
      <c r="Y1265" s="334"/>
      <c r="Z1265" s="334"/>
      <c r="AA1265" s="326" t="s">
        <v>1498</v>
      </c>
      <c r="AD1265" s="326" t="s">
        <v>1717</v>
      </c>
      <c r="AE1265" s="326" t="s">
        <v>1725</v>
      </c>
      <c r="AG1265" s="326" t="s">
        <v>1707</v>
      </c>
      <c r="AH1265" s="326" t="s">
        <v>1714</v>
      </c>
      <c r="AR1265" s="325"/>
      <c r="AT1265"/>
      <c r="AU1265"/>
      <c r="AV1265"/>
      <c r="AW1265" t="b">
        <v>1</v>
      </c>
      <c r="AX1265" t="b">
        <v>1</v>
      </c>
      <c r="AY1265" t="b">
        <v>1</v>
      </c>
    </row>
    <row r="1266" spans="1:51">
      <c r="A1266" s="277" t="s">
        <v>1216</v>
      </c>
      <c r="B1266" s="273" t="s">
        <v>1477</v>
      </c>
      <c r="C1266" s="273">
        <f>'Schippers RD Sumatra 2010'!B18</f>
        <v>0.53</v>
      </c>
      <c r="D1266" s="302">
        <f>'Schippers RD Sumatra 2010'!C18</f>
        <v>104000000</v>
      </c>
      <c r="I1266" s="301">
        <f>'Schippers RD Sumatra 2010'!D18</f>
        <v>50400000</v>
      </c>
      <c r="J1266" s="301">
        <f>'Schippers RD Sumatra 2010'!E18</f>
        <v>338000000</v>
      </c>
      <c r="K1266" s="301">
        <f>I1266+J1266</f>
        <v>388400000</v>
      </c>
      <c r="N1266" s="27">
        <f>J1266/K1266</f>
        <v>0.87023686920700305</v>
      </c>
      <c r="O1266" s="303"/>
      <c r="P1266" s="334">
        <f>'Schippers RD Sumatra 2010'!G18</f>
        <v>27.6898615083546</v>
      </c>
      <c r="R1266" s="304"/>
      <c r="S1266" s="304"/>
      <c r="T1266" s="304"/>
      <c r="U1266" s="304"/>
      <c r="V1266" s="334"/>
      <c r="W1266" s="334"/>
      <c r="X1266" s="334"/>
      <c r="Y1266" s="334"/>
      <c r="Z1266" s="334"/>
      <c r="AA1266" s="326" t="s">
        <v>1498</v>
      </c>
      <c r="AD1266" s="326" t="s">
        <v>1717</v>
      </c>
      <c r="AE1266" s="326" t="s">
        <v>1725</v>
      </c>
      <c r="AG1266" s="326" t="s">
        <v>1707</v>
      </c>
      <c r="AH1266" s="326" t="s">
        <v>1714</v>
      </c>
      <c r="AR1266" s="325"/>
      <c r="AT1266"/>
      <c r="AU1266"/>
      <c r="AV1266"/>
      <c r="AW1266" t="b">
        <v>1</v>
      </c>
      <c r="AX1266" t="b">
        <v>1</v>
      </c>
      <c r="AY1266" t="b">
        <v>1</v>
      </c>
    </row>
    <row r="1267" spans="1:51">
      <c r="A1267" s="277" t="s">
        <v>1216</v>
      </c>
      <c r="B1267" s="273" t="s">
        <v>1477</v>
      </c>
      <c r="C1267" s="273">
        <f>'Schippers RD Sumatra 2010'!B19</f>
        <v>1.25</v>
      </c>
      <c r="D1267" s="302">
        <f>'Schippers RD Sumatra 2010'!C19</f>
        <v>96100000</v>
      </c>
      <c r="I1267" s="301">
        <f>'Schippers RD Sumatra 2010'!D19</f>
        <v>29200000</v>
      </c>
      <c r="J1267" s="301">
        <f>'Schippers RD Sumatra 2010'!E19</f>
        <v>67500000</v>
      </c>
      <c r="K1267" s="301">
        <f>I1267+J1267</f>
        <v>96700000</v>
      </c>
      <c r="N1267" s="27">
        <f>J1267/K1267</f>
        <v>0.69803516028955537</v>
      </c>
      <c r="O1267" s="303"/>
      <c r="P1267" s="334">
        <f>'Schippers RD Sumatra 2010'!G19</f>
        <v>27.082204325355001</v>
      </c>
      <c r="R1267" s="304"/>
      <c r="S1267" s="304"/>
      <c r="T1267" s="304"/>
      <c r="U1267" s="304"/>
      <c r="V1267" s="334"/>
      <c r="W1267" s="334"/>
      <c r="X1267" s="334"/>
      <c r="Y1267" s="334"/>
      <c r="Z1267" s="334"/>
      <c r="AA1267" s="326" t="s">
        <v>1498</v>
      </c>
      <c r="AD1267" s="326" t="s">
        <v>1717</v>
      </c>
      <c r="AE1267" s="326" t="s">
        <v>1725</v>
      </c>
      <c r="AG1267" s="326" t="s">
        <v>1707</v>
      </c>
      <c r="AH1267" s="326" t="s">
        <v>1714</v>
      </c>
      <c r="AR1267" s="325"/>
      <c r="AT1267"/>
      <c r="AU1267"/>
      <c r="AV1267"/>
      <c r="AW1267" t="b">
        <v>1</v>
      </c>
      <c r="AX1267" t="b">
        <v>1</v>
      </c>
      <c r="AY1267" t="b">
        <v>1</v>
      </c>
    </row>
    <row r="1268" spans="1:51">
      <c r="A1268" s="277" t="s">
        <v>1216</v>
      </c>
      <c r="B1268" s="273" t="s">
        <v>1477</v>
      </c>
      <c r="C1268" s="273">
        <f>'Schippers RD Sumatra 2010'!B20</f>
        <v>1.73</v>
      </c>
      <c r="D1268" s="302">
        <f>'Schippers RD Sumatra 2010'!C20</f>
        <v>73500000</v>
      </c>
      <c r="I1268" s="301">
        <f>'Schippers RD Sumatra 2010'!D20</f>
        <v>35600000</v>
      </c>
      <c r="J1268" s="301">
        <f>'Schippers RD Sumatra 2010'!E20</f>
        <v>104000000</v>
      </c>
      <c r="K1268" s="301">
        <f>I1268+J1268</f>
        <v>139600000</v>
      </c>
      <c r="N1268" s="27">
        <f>J1268/K1268</f>
        <v>0.74498567335243548</v>
      </c>
      <c r="O1268" s="303"/>
      <c r="P1268" s="334">
        <f>'Schippers RD Sumatra 2010'!G20</f>
        <v>26.9701189221737</v>
      </c>
      <c r="R1268" s="304"/>
      <c r="S1268" s="304"/>
      <c r="T1268" s="304"/>
      <c r="U1268" s="304"/>
      <c r="V1268" s="334"/>
      <c r="W1268" s="334"/>
      <c r="X1268" s="334"/>
      <c r="Y1268" s="334"/>
      <c r="Z1268" s="334"/>
      <c r="AA1268" s="326" t="s">
        <v>1498</v>
      </c>
      <c r="AD1268" s="326" t="s">
        <v>1717</v>
      </c>
      <c r="AE1268" s="326" t="s">
        <v>1725</v>
      </c>
      <c r="AG1268" s="326" t="s">
        <v>1707</v>
      </c>
      <c r="AH1268" s="326" t="s">
        <v>1714</v>
      </c>
      <c r="AR1268" s="325"/>
      <c r="AT1268"/>
      <c r="AU1268"/>
      <c r="AV1268"/>
      <c r="AW1268" t="b">
        <v>1</v>
      </c>
      <c r="AX1268" t="b">
        <v>1</v>
      </c>
      <c r="AY1268" t="b">
        <v>1</v>
      </c>
    </row>
    <row r="1269" spans="1:51">
      <c r="A1269" s="277" t="s">
        <v>1216</v>
      </c>
      <c r="B1269" s="273" t="s">
        <v>1477</v>
      </c>
      <c r="C1269" s="273">
        <f>'Schippers RD Sumatra 2010'!B21</f>
        <v>2.25</v>
      </c>
      <c r="D1269" s="302">
        <f>'Schippers RD Sumatra 2010'!C21</f>
        <v>58400000</v>
      </c>
      <c r="I1269" s="301">
        <f>'Schippers RD Sumatra 2010'!D21</f>
        <v>39000000</v>
      </c>
      <c r="J1269" s="301">
        <f>'Schippers RD Sumatra 2010'!E21</f>
        <v>97600000</v>
      </c>
      <c r="K1269" s="301">
        <f>I1269+J1269</f>
        <v>136600000</v>
      </c>
      <c r="N1269" s="27">
        <f>J1269/K1269</f>
        <v>0.71449487554904834</v>
      </c>
      <c r="O1269" s="303"/>
      <c r="P1269" s="334">
        <f>'Schippers RD Sumatra 2010'!G21</f>
        <v>27.132507903055799</v>
      </c>
      <c r="R1269" s="304"/>
      <c r="S1269" s="304"/>
      <c r="T1269" s="304"/>
      <c r="U1269" s="304"/>
      <c r="V1269" s="334"/>
      <c r="W1269" s="334"/>
      <c r="X1269" s="334"/>
      <c r="Y1269" s="334"/>
      <c r="Z1269" s="334"/>
      <c r="AA1269" s="326" t="s">
        <v>1498</v>
      </c>
      <c r="AD1269" s="326" t="s">
        <v>1717</v>
      </c>
      <c r="AE1269" s="326" t="s">
        <v>1725</v>
      </c>
      <c r="AG1269" s="326" t="s">
        <v>1707</v>
      </c>
      <c r="AH1269" s="326" t="s">
        <v>1714</v>
      </c>
      <c r="AR1269" s="325"/>
      <c r="AT1269"/>
      <c r="AU1269"/>
      <c r="AV1269"/>
      <c r="AW1269" t="b">
        <v>1</v>
      </c>
      <c r="AX1269" t="b">
        <v>1</v>
      </c>
      <c r="AY1269" t="b">
        <v>1</v>
      </c>
    </row>
    <row r="1270" spans="1:51">
      <c r="A1270" s="277" t="s">
        <v>1216</v>
      </c>
      <c r="B1270" s="273" t="s">
        <v>1477</v>
      </c>
      <c r="C1270" s="273">
        <f>'Schippers RD Sumatra 2010'!B22</f>
        <v>2.75</v>
      </c>
      <c r="D1270" s="302">
        <f>'Schippers RD Sumatra 2010'!C22</f>
        <v>112000000</v>
      </c>
      <c r="I1270" s="301">
        <f>'Schippers RD Sumatra 2010'!D22</f>
        <v>70700000</v>
      </c>
      <c r="J1270" s="301">
        <f>'Schippers RD Sumatra 2010'!E22</f>
        <v>182000000</v>
      </c>
      <c r="K1270" s="301">
        <f>I1270+J1270</f>
        <v>252700000</v>
      </c>
      <c r="N1270" s="27">
        <f>J1270/K1270</f>
        <v>0.72022160664819945</v>
      </c>
      <c r="O1270" s="303"/>
      <c r="P1270" s="334">
        <f>'Schippers RD Sumatra 2010'!G22</f>
        <v>26.910406944653499</v>
      </c>
      <c r="R1270" s="304"/>
      <c r="S1270" s="304"/>
      <c r="T1270" s="304"/>
      <c r="U1270" s="304"/>
      <c r="V1270" s="334"/>
      <c r="W1270" s="334"/>
      <c r="X1270" s="334"/>
      <c r="Y1270" s="334"/>
      <c r="Z1270" s="334"/>
      <c r="AA1270" s="326" t="s">
        <v>1498</v>
      </c>
      <c r="AD1270" s="326" t="s">
        <v>1717</v>
      </c>
      <c r="AE1270" s="326" t="s">
        <v>1725</v>
      </c>
      <c r="AG1270" s="326" t="s">
        <v>1707</v>
      </c>
      <c r="AH1270" s="326" t="s">
        <v>1714</v>
      </c>
      <c r="AR1270" s="325"/>
      <c r="AT1270"/>
      <c r="AU1270"/>
      <c r="AV1270"/>
      <c r="AW1270" t="b">
        <v>1</v>
      </c>
      <c r="AX1270" t="b">
        <v>1</v>
      </c>
      <c r="AY1270" t="b">
        <v>1</v>
      </c>
    </row>
    <row r="1271" spans="1:51">
      <c r="A1271" s="277" t="s">
        <v>1216</v>
      </c>
      <c r="B1271" s="273" t="s">
        <v>1477</v>
      </c>
      <c r="C1271" s="273">
        <f>'Schippers RD Sumatra 2010'!B23</f>
        <v>3.25</v>
      </c>
      <c r="D1271" s="302">
        <f>'Schippers RD Sumatra 2010'!C23</f>
        <v>59100000</v>
      </c>
      <c r="I1271" s="301">
        <f>'Schippers RD Sumatra 2010'!D23</f>
        <v>60000000</v>
      </c>
      <c r="J1271" s="301">
        <f>'Schippers RD Sumatra 2010'!E23</f>
        <v>153000000</v>
      </c>
      <c r="K1271" s="301">
        <f>I1271+J1271</f>
        <v>213000000</v>
      </c>
      <c r="N1271" s="27">
        <f>J1271/K1271</f>
        <v>0.71830985915492962</v>
      </c>
      <c r="O1271" s="303"/>
      <c r="P1271" s="334">
        <f>'Schippers RD Sumatra 2010'!G23</f>
        <v>26.303753324301201</v>
      </c>
      <c r="R1271" s="304"/>
      <c r="S1271" s="304"/>
      <c r="T1271" s="304"/>
      <c r="U1271" s="304"/>
      <c r="V1271" s="334"/>
      <c r="W1271" s="334"/>
      <c r="X1271" s="334"/>
      <c r="Y1271" s="334"/>
      <c r="Z1271" s="334"/>
      <c r="AA1271" s="326" t="s">
        <v>1498</v>
      </c>
      <c r="AD1271" s="326" t="s">
        <v>1717</v>
      </c>
      <c r="AE1271" s="326" t="s">
        <v>1725</v>
      </c>
      <c r="AG1271" s="326" t="s">
        <v>1707</v>
      </c>
      <c r="AH1271" s="326" t="s">
        <v>1714</v>
      </c>
      <c r="AR1271" s="325"/>
      <c r="AT1271"/>
      <c r="AU1271"/>
      <c r="AV1271"/>
      <c r="AW1271" t="b">
        <v>1</v>
      </c>
      <c r="AX1271" t="b">
        <v>1</v>
      </c>
      <c r="AY1271" t="b">
        <v>1</v>
      </c>
    </row>
    <row r="1272" spans="1:51">
      <c r="A1272" s="277" t="s">
        <v>1216</v>
      </c>
      <c r="B1272" s="273" t="s">
        <v>1477</v>
      </c>
      <c r="C1272" s="273">
        <f>'Schippers RD Sumatra 2010'!B24</f>
        <v>3.75</v>
      </c>
      <c r="D1272" s="302">
        <f>'Schippers RD Sumatra 2010'!C24</f>
        <v>55300000</v>
      </c>
      <c r="I1272" s="301">
        <f>'Schippers RD Sumatra 2010'!D24</f>
        <v>27600000</v>
      </c>
      <c r="J1272" s="301">
        <f>'Schippers RD Sumatra 2010'!E24</f>
        <v>94900000</v>
      </c>
      <c r="K1272" s="301">
        <f>I1272+J1272</f>
        <v>122500000</v>
      </c>
      <c r="N1272" s="27">
        <f>J1272/K1272</f>
        <v>0.77469387755102037</v>
      </c>
      <c r="O1272" s="303"/>
      <c r="P1272" s="334">
        <f>'Schippers RD Sumatra 2010'!G24</f>
        <v>26.576220583069802</v>
      </c>
      <c r="R1272" s="304"/>
      <c r="S1272" s="304"/>
      <c r="T1272" s="304"/>
      <c r="U1272" s="304"/>
      <c r="V1272" s="334"/>
      <c r="W1272" s="334"/>
      <c r="X1272" s="334"/>
      <c r="Y1272" s="334"/>
      <c r="Z1272" s="334"/>
      <c r="AA1272" s="326" t="s">
        <v>1498</v>
      </c>
      <c r="AD1272" s="326" t="s">
        <v>1717</v>
      </c>
      <c r="AE1272" s="326" t="s">
        <v>1725</v>
      </c>
      <c r="AG1272" s="326" t="s">
        <v>1707</v>
      </c>
      <c r="AH1272" s="326" t="s">
        <v>1714</v>
      </c>
      <c r="AR1272" s="325"/>
      <c r="AT1272"/>
      <c r="AU1272"/>
      <c r="AV1272"/>
      <c r="AW1272" t="b">
        <v>1</v>
      </c>
      <c r="AX1272" t="b">
        <v>1</v>
      </c>
      <c r="AY1272" t="b">
        <v>1</v>
      </c>
    </row>
    <row r="1273" spans="1:51">
      <c r="A1273" s="277" t="s">
        <v>1216</v>
      </c>
      <c r="B1273" s="273" t="s">
        <v>1477</v>
      </c>
      <c r="C1273" s="273">
        <f>'Schippers RD Sumatra 2010'!B25</f>
        <v>4.25</v>
      </c>
      <c r="D1273" s="302">
        <f>'Schippers RD Sumatra 2010'!C25</f>
        <v>67200000</v>
      </c>
      <c r="I1273" s="301">
        <f>'Schippers RD Sumatra 2010'!D25</f>
        <v>59600000</v>
      </c>
      <c r="J1273" s="301">
        <f>'Schippers RD Sumatra 2010'!E25</f>
        <v>202000000</v>
      </c>
      <c r="K1273" s="301">
        <f>I1273+J1273</f>
        <v>261600000</v>
      </c>
      <c r="N1273" s="27">
        <f>J1273/K1273</f>
        <v>0.77217125382262997</v>
      </c>
      <c r="O1273" s="303"/>
      <c r="P1273">
        <f>'Schippers RD Sumatra 2010'!G25</f>
        <v>25.4750614682121</v>
      </c>
      <c r="R1273" s="304"/>
      <c r="S1273" s="304"/>
      <c r="T1273" s="304"/>
      <c r="U1273" s="304"/>
      <c r="V1273" s="334"/>
      <c r="W1273" s="334"/>
      <c r="X1273" s="334"/>
      <c r="Y1273" s="334"/>
      <c r="Z1273" s="334"/>
      <c r="AA1273" s="326" t="s">
        <v>1498</v>
      </c>
      <c r="AD1273" s="326" t="s">
        <v>1717</v>
      </c>
      <c r="AE1273" s="326" t="s">
        <v>1725</v>
      </c>
      <c r="AG1273" s="326" t="s">
        <v>1707</v>
      </c>
      <c r="AH1273" s="326" t="s">
        <v>1714</v>
      </c>
      <c r="AR1273" s="325"/>
      <c r="AT1273"/>
      <c r="AU1273"/>
      <c r="AV1273"/>
      <c r="AW1273" t="b">
        <v>1</v>
      </c>
      <c r="AX1273" t="b">
        <v>1</v>
      </c>
      <c r="AY1273" t="b">
        <v>1</v>
      </c>
    </row>
    <row r="1274" spans="1:51">
      <c r="A1274" s="277" t="s">
        <v>1216</v>
      </c>
      <c r="B1274" s="273" t="s">
        <v>1477</v>
      </c>
      <c r="C1274" s="273">
        <f>'Schippers RD Sumatra 2010'!B26</f>
        <v>4.75</v>
      </c>
      <c r="D1274" s="302">
        <f>'Schippers RD Sumatra 2010'!C26</f>
        <v>37100000</v>
      </c>
      <c r="I1274" s="301">
        <f>'Schippers RD Sumatra 2010'!D26</f>
        <v>68200000</v>
      </c>
      <c r="J1274" s="301">
        <f>'Schippers RD Sumatra 2010'!E26</f>
        <v>150000000</v>
      </c>
      <c r="K1274" s="301">
        <f>I1274+J1274</f>
        <v>218200000</v>
      </c>
      <c r="N1274" s="27">
        <f>J1274/K1274</f>
        <v>0.68744271310724103</v>
      </c>
      <c r="O1274" s="303"/>
      <c r="P1274">
        <f>'Schippers RD Sumatra 2010'!G26</f>
        <v>25.362913342365299</v>
      </c>
      <c r="R1274" s="304"/>
      <c r="S1274" s="304"/>
      <c r="T1274" s="304"/>
      <c r="U1274" s="304"/>
      <c r="V1274" s="334"/>
      <c r="W1274" s="334"/>
      <c r="X1274" s="334"/>
      <c r="Y1274" s="334"/>
      <c r="Z1274" s="334"/>
      <c r="AA1274" s="334" t="s">
        <v>1498</v>
      </c>
      <c r="AD1274" s="326" t="s">
        <v>1717</v>
      </c>
      <c r="AE1274" s="334" t="s">
        <v>1725</v>
      </c>
      <c r="AG1274" s="326" t="s">
        <v>1707</v>
      </c>
      <c r="AH1274" s="326" t="s">
        <v>1714</v>
      </c>
      <c r="AR1274" s="325"/>
      <c r="AT1274"/>
      <c r="AU1274"/>
      <c r="AV1274"/>
      <c r="AW1274" t="b">
        <v>1</v>
      </c>
      <c r="AX1274" t="b">
        <v>1</v>
      </c>
      <c r="AY1274" t="b">
        <v>1</v>
      </c>
    </row>
    <row r="1275" spans="1:51">
      <c r="A1275" s="277" t="s">
        <v>1216</v>
      </c>
      <c r="B1275" s="273" t="s">
        <v>1477</v>
      </c>
      <c r="C1275" s="273">
        <f>'Schippers RD Sumatra 2010'!B27</f>
        <v>5.25</v>
      </c>
      <c r="D1275" s="302">
        <f>'Schippers RD Sumatra 2010'!C27</f>
        <v>55300000</v>
      </c>
      <c r="I1275" s="301">
        <f>'Schippers RD Sumatra 2010'!D27</f>
        <v>73700000</v>
      </c>
      <c r="J1275" s="301">
        <f>'Schippers RD Sumatra 2010'!E27</f>
        <v>191000000</v>
      </c>
      <c r="K1275" s="301">
        <f>I1275+J1275</f>
        <v>264700000</v>
      </c>
      <c r="N1275" s="27">
        <f>J1275/K1275</f>
        <v>0.72157159047978847</v>
      </c>
      <c r="O1275" s="303"/>
      <c r="P1275" s="328">
        <f>'Schippers RD Sumatra 2010'!G27</f>
        <v>24.316636559787199</v>
      </c>
      <c r="R1275" s="304"/>
      <c r="S1275" s="304"/>
      <c r="T1275" s="304"/>
      <c r="U1275" s="304"/>
      <c r="V1275" s="334"/>
      <c r="W1275" s="334"/>
      <c r="X1275" s="334"/>
      <c r="Y1275" s="334"/>
      <c r="Z1275" s="334"/>
      <c r="AA1275" s="326" t="s">
        <v>1498</v>
      </c>
      <c r="AD1275" s="326" t="s">
        <v>1717</v>
      </c>
      <c r="AE1275" s="326" t="s">
        <v>1725</v>
      </c>
      <c r="AG1275" s="326" t="s">
        <v>1707</v>
      </c>
      <c r="AH1275" s="326" t="s">
        <v>1714</v>
      </c>
      <c r="AR1275" s="325"/>
      <c r="AT1275"/>
      <c r="AU1275"/>
      <c r="AV1275"/>
      <c r="AW1275" t="b">
        <v>1</v>
      </c>
      <c r="AX1275" t="b">
        <v>1</v>
      </c>
      <c r="AY1275" t="b">
        <v>1</v>
      </c>
    </row>
    <row r="1276" spans="1:51">
      <c r="A1276" s="277" t="s">
        <v>1216</v>
      </c>
      <c r="B1276" s="273" t="s">
        <v>1477</v>
      </c>
      <c r="C1276" s="273">
        <f>'Schippers RD Sumatra 2010'!B28</f>
        <v>5.75</v>
      </c>
      <c r="D1276" s="302">
        <f>'Schippers RD Sumatra 2010'!C28</f>
        <v>37700000</v>
      </c>
      <c r="I1276" s="301">
        <f>'Schippers RD Sumatra 2010'!D28</f>
        <v>142000000</v>
      </c>
      <c r="J1276" s="301">
        <f>'Schippers RD Sumatra 2010'!E28</f>
        <v>133000000</v>
      </c>
      <c r="K1276" s="301">
        <f>I1276+J1276</f>
        <v>275000000</v>
      </c>
      <c r="N1276" s="27">
        <f>J1276/K1276</f>
        <v>0.48363636363636364</v>
      </c>
      <c r="O1276" s="303"/>
      <c r="P1276" s="328">
        <f>'Schippers RD Sumatra 2010'!G28</f>
        <v>23.435194942044198</v>
      </c>
      <c r="R1276" s="304"/>
      <c r="S1276" s="304"/>
      <c r="T1276" s="304"/>
      <c r="U1276" s="304"/>
      <c r="V1276" s="334"/>
      <c r="W1276" s="334"/>
      <c r="X1276" s="334"/>
      <c r="Y1276" s="334"/>
      <c r="Z1276" s="334"/>
      <c r="AA1276" s="326" t="s">
        <v>1498</v>
      </c>
      <c r="AD1276" s="326" t="s">
        <v>1717</v>
      </c>
      <c r="AE1276" s="326" t="s">
        <v>1725</v>
      </c>
      <c r="AG1276" s="326" t="s">
        <v>1707</v>
      </c>
      <c r="AH1276" s="326" t="s">
        <v>1714</v>
      </c>
      <c r="AR1276" s="325"/>
      <c r="AT1276"/>
      <c r="AU1276"/>
      <c r="AV1276"/>
      <c r="AW1276" t="b">
        <v>1</v>
      </c>
      <c r="AX1276" t="b">
        <v>1</v>
      </c>
      <c r="AY1276" t="b">
        <v>1</v>
      </c>
    </row>
    <row r="1277" spans="1:51">
      <c r="A1277" s="277" t="s">
        <v>1216</v>
      </c>
      <c r="B1277" s="273" t="s">
        <v>1477</v>
      </c>
      <c r="C1277" s="273">
        <f>'Schippers RD Sumatra 2010'!B29</f>
        <v>6.25</v>
      </c>
      <c r="D1277" s="302">
        <f>'Schippers RD Sumatra 2010'!C29</f>
        <v>25800000</v>
      </c>
      <c r="I1277" s="301">
        <f>'Schippers RD Sumatra 2010'!D29</f>
        <v>81500000</v>
      </c>
      <c r="J1277" s="301">
        <f>'Schippers RD Sumatra 2010'!E29</f>
        <v>59900000</v>
      </c>
      <c r="K1277" s="301">
        <f>I1277+J1277</f>
        <v>141400000</v>
      </c>
      <c r="N1277" s="27">
        <f>J1277/K1277</f>
        <v>0.42362093352192365</v>
      </c>
      <c r="O1277" s="303"/>
      <c r="P1277" s="328">
        <f>'Schippers RD Sumatra 2010'!G29</f>
        <v>22.278902604245001</v>
      </c>
      <c r="R1277" s="304"/>
      <c r="S1277" s="304"/>
      <c r="T1277" s="304"/>
      <c r="U1277" s="304"/>
      <c r="V1277" s="334"/>
      <c r="W1277" s="334"/>
      <c r="X1277" s="334"/>
      <c r="Y1277" s="334"/>
      <c r="Z1277" s="334"/>
      <c r="AA1277" s="326" t="s">
        <v>1498</v>
      </c>
      <c r="AD1277" s="326" t="s">
        <v>1717</v>
      </c>
      <c r="AE1277" s="326" t="s">
        <v>1725</v>
      </c>
      <c r="AG1277" s="326" t="s">
        <v>1707</v>
      </c>
      <c r="AH1277" s="326" t="s">
        <v>1714</v>
      </c>
      <c r="AR1277" s="325"/>
      <c r="AT1277"/>
      <c r="AU1277"/>
      <c r="AV1277"/>
      <c r="AW1277" t="b">
        <v>1</v>
      </c>
      <c r="AX1277" t="b">
        <v>1</v>
      </c>
      <c r="AY1277" t="b">
        <v>1</v>
      </c>
    </row>
    <row r="1278" spans="1:51">
      <c r="A1278" s="277" t="s">
        <v>1216</v>
      </c>
      <c r="B1278" s="273" t="s">
        <v>1477</v>
      </c>
      <c r="C1278" s="273">
        <f>'Schippers RD Sumatra 2010'!B30</f>
        <v>6.75</v>
      </c>
      <c r="D1278" s="302">
        <f>'Schippers RD Sumatra 2010'!C30</f>
        <v>25800000</v>
      </c>
      <c r="I1278" s="301">
        <f>'Schippers RD Sumatra 2010'!D30</f>
        <v>195000000</v>
      </c>
      <c r="J1278" s="301">
        <f>'Schippers RD Sumatra 2010'!E30</f>
        <v>246000000</v>
      </c>
      <c r="K1278" s="301">
        <f>I1278+J1278</f>
        <v>441000000</v>
      </c>
      <c r="N1278" s="27">
        <f>J1278/K1278</f>
        <v>0.55782312925170063</v>
      </c>
      <c r="O1278" s="303"/>
      <c r="P1278" s="328">
        <f>'Schippers RD Sumatra 2010'!G30</f>
        <v>21.177868934718202</v>
      </c>
      <c r="R1278" s="304"/>
      <c r="S1278" s="304"/>
      <c r="T1278" s="304"/>
      <c r="U1278" s="304"/>
      <c r="V1278" s="334"/>
      <c r="W1278" s="334"/>
      <c r="X1278" s="334"/>
      <c r="Y1278" s="334"/>
      <c r="Z1278" s="334"/>
      <c r="AA1278" s="326" t="s">
        <v>1498</v>
      </c>
      <c r="AD1278" s="326" t="s">
        <v>1717</v>
      </c>
      <c r="AE1278" s="326" t="s">
        <v>1725</v>
      </c>
      <c r="AG1278" s="326" t="s">
        <v>1707</v>
      </c>
      <c r="AH1278" s="326" t="s">
        <v>1714</v>
      </c>
      <c r="AR1278" s="323"/>
      <c r="AT1278"/>
      <c r="AU1278"/>
      <c r="AV1278"/>
      <c r="AW1278" t="b">
        <v>1</v>
      </c>
      <c r="AX1278" t="b">
        <v>1</v>
      </c>
      <c r="AY1278" t="b">
        <v>1</v>
      </c>
    </row>
    <row r="1279" spans="1:51">
      <c r="A1279" s="277" t="s">
        <v>1216</v>
      </c>
      <c r="B1279" s="273" t="s">
        <v>1477</v>
      </c>
      <c r="C1279" s="273">
        <f>'Schippers RD Sumatra 2010'!B31</f>
        <v>7.25</v>
      </c>
      <c r="D1279" s="302">
        <f>'Schippers RD Sumatra 2010'!C31</f>
        <v>28300000</v>
      </c>
      <c r="H1279" s="336"/>
      <c r="I1279" s="301">
        <f>'Schippers RD Sumatra 2010'!D31</f>
        <v>203000000</v>
      </c>
      <c r="J1279" s="301">
        <f>'Schippers RD Sumatra 2010'!E31</f>
        <v>59400000</v>
      </c>
      <c r="K1279" s="301">
        <f>I1279+J1279</f>
        <v>262400000</v>
      </c>
      <c r="N1279" s="27">
        <f>J1279/K1279</f>
        <v>0.2263719512195122</v>
      </c>
      <c r="O1279" s="303"/>
      <c r="P1279" s="328">
        <f>'Schippers RD Sumatra 2010'!G31</f>
        <v>19.692031712579599</v>
      </c>
      <c r="R1279" s="304"/>
      <c r="S1279" s="304"/>
      <c r="T1279" s="304"/>
      <c r="U1279" s="304"/>
      <c r="V1279" s="334"/>
      <c r="W1279" s="334"/>
      <c r="X1279" s="334"/>
      <c r="Y1279" s="334"/>
      <c r="Z1279" s="334"/>
      <c r="AA1279" s="326" t="s">
        <v>1498</v>
      </c>
      <c r="AD1279" s="326" t="s">
        <v>1717</v>
      </c>
      <c r="AE1279" s="326" t="s">
        <v>1725</v>
      </c>
      <c r="AG1279" s="326" t="s">
        <v>1707</v>
      </c>
      <c r="AH1279" s="326" t="s">
        <v>1714</v>
      </c>
      <c r="AR1279" s="325"/>
      <c r="AT1279"/>
      <c r="AU1279"/>
      <c r="AV1279"/>
      <c r="AW1279" t="b">
        <v>1</v>
      </c>
      <c r="AX1279" t="b">
        <v>1</v>
      </c>
      <c r="AY1279" t="b">
        <v>1</v>
      </c>
    </row>
    <row r="1280" spans="1:51">
      <c r="A1280" s="277" t="s">
        <v>1216</v>
      </c>
      <c r="B1280" s="273" t="s">
        <v>1477</v>
      </c>
      <c r="C1280" s="273">
        <f>'Schippers RD Sumatra 2010'!B32</f>
        <v>7.75</v>
      </c>
      <c r="D1280" s="302">
        <f>'Schippers RD Sumatra 2010'!C32</f>
        <v>20100000</v>
      </c>
      <c r="H1280" s="336"/>
      <c r="I1280" s="301">
        <f>'Schippers RD Sumatra 2010'!D32</f>
        <v>128000000</v>
      </c>
      <c r="J1280" s="301">
        <f>'Schippers RD Sumatra 2010'!E32</f>
        <v>41300000</v>
      </c>
      <c r="K1280" s="301">
        <f>I1280+J1280</f>
        <v>169300000</v>
      </c>
      <c r="N1280" s="27">
        <f>J1280/K1280</f>
        <v>0.24394565859421147</v>
      </c>
      <c r="O1280" s="303"/>
      <c r="P1280" s="328">
        <f>'Schippers RD Sumatra 2010'!G32</f>
        <v>16.448015454864699</v>
      </c>
      <c r="R1280" s="304"/>
      <c r="S1280" s="304"/>
      <c r="T1280" s="304"/>
      <c r="U1280" s="304"/>
      <c r="V1280" s="334"/>
      <c r="W1280" s="334"/>
      <c r="X1280" s="334"/>
      <c r="Y1280" s="334"/>
      <c r="Z1280" s="334"/>
      <c r="AA1280" s="326" t="s">
        <v>1498</v>
      </c>
      <c r="AD1280" s="326" t="s">
        <v>1717</v>
      </c>
      <c r="AE1280" s="326" t="s">
        <v>1725</v>
      </c>
      <c r="AG1280" s="326" t="s">
        <v>1707</v>
      </c>
      <c r="AH1280" s="326" t="s">
        <v>1714</v>
      </c>
      <c r="AR1280" s="325"/>
      <c r="AT1280"/>
      <c r="AU1280"/>
      <c r="AV1280"/>
      <c r="AW1280" t="b">
        <v>1</v>
      </c>
      <c r="AX1280" t="b">
        <v>1</v>
      </c>
      <c r="AY1280" t="b">
        <v>1</v>
      </c>
    </row>
    <row r="1281" spans="1:51">
      <c r="A1281" s="277" t="s">
        <v>1216</v>
      </c>
      <c r="B1281" s="273" t="s">
        <v>1477</v>
      </c>
      <c r="C1281" s="273">
        <f>'Schippers RD Sumatra 2010'!B33</f>
        <v>8.35</v>
      </c>
      <c r="D1281" s="302">
        <f>'Schippers RD Sumatra 2010'!C33</f>
        <v>17600000</v>
      </c>
      <c r="H1281" s="336"/>
      <c r="I1281" s="301">
        <f>'Schippers RD Sumatra 2010'!D33</f>
        <v>48700000</v>
      </c>
      <c r="J1281" s="301">
        <f>'Schippers RD Sumatra 2010'!E33</f>
        <v>64400000</v>
      </c>
      <c r="K1281" s="301">
        <f>I1281+J1281</f>
        <v>113100000</v>
      </c>
      <c r="N1281" s="27">
        <f>J1281/K1281</f>
        <v>0.56940760389036249</v>
      </c>
      <c r="O1281" s="303"/>
      <c r="P1281" s="328">
        <f>'Schippers RD Sumatra 2010'!G33</f>
        <v>12.819258367203499</v>
      </c>
      <c r="R1281" s="304"/>
      <c r="S1281" s="304"/>
      <c r="T1281" s="304"/>
      <c r="U1281" s="304"/>
      <c r="V1281" s="334"/>
      <c r="W1281" s="334"/>
      <c r="X1281" s="334"/>
      <c r="Y1281" s="334"/>
      <c r="Z1281" s="334"/>
      <c r="AA1281" s="326" t="s">
        <v>1498</v>
      </c>
      <c r="AD1281" s="326" t="s">
        <v>1717</v>
      </c>
      <c r="AE1281" s="326" t="s">
        <v>1725</v>
      </c>
      <c r="AG1281" s="326" t="s">
        <v>1707</v>
      </c>
      <c r="AH1281" s="326" t="s">
        <v>1714</v>
      </c>
      <c r="AR1281" s="325"/>
      <c r="AT1281"/>
      <c r="AU1281"/>
      <c r="AV1281"/>
      <c r="AW1281" t="b">
        <v>1</v>
      </c>
      <c r="AX1281" t="b">
        <v>1</v>
      </c>
      <c r="AY1281" t="b">
        <v>1</v>
      </c>
    </row>
    <row r="1282" spans="1:51">
      <c r="A1282" s="277" t="s">
        <v>1216</v>
      </c>
      <c r="B1282" s="273" t="s">
        <v>1477</v>
      </c>
      <c r="C1282" s="273">
        <f>'Schippers RD Sumatra 2010'!B34</f>
        <v>8.75</v>
      </c>
      <c r="D1282" s="302">
        <f>'Schippers RD Sumatra 2010'!C34</f>
        <v>13200000</v>
      </c>
      <c r="H1282" s="336"/>
      <c r="I1282" s="301">
        <f>'Schippers RD Sumatra 2010'!D34</f>
        <v>44500000</v>
      </c>
      <c r="J1282" s="301">
        <f>'Schippers RD Sumatra 2010'!E34</f>
        <v>86800000</v>
      </c>
      <c r="K1282" s="301">
        <f>I1282+J1282</f>
        <v>131300000</v>
      </c>
      <c r="N1282" s="27">
        <f>J1282/K1282</f>
        <v>0.6610814927646611</v>
      </c>
      <c r="O1282" s="303"/>
      <c r="P1282" s="328">
        <f>'Schippers RD Sumatra 2010'!G34</f>
        <v>9.4654147222640308</v>
      </c>
      <c r="R1282" s="304"/>
      <c r="S1282" s="304"/>
      <c r="T1282" s="304"/>
      <c r="U1282" s="304"/>
      <c r="V1282" s="334"/>
      <c r="W1282" s="334"/>
      <c r="X1282" s="334"/>
      <c r="Y1282" s="334"/>
      <c r="Z1282" s="334"/>
      <c r="AA1282" s="326" t="s">
        <v>1498</v>
      </c>
      <c r="AD1282" s="326" t="s">
        <v>1717</v>
      </c>
      <c r="AE1282" s="326" t="s">
        <v>1725</v>
      </c>
      <c r="AG1282" s="326" t="s">
        <v>1707</v>
      </c>
      <c r="AH1282" s="326" t="s">
        <v>1714</v>
      </c>
      <c r="AR1282" s="325"/>
      <c r="AT1282"/>
      <c r="AU1282"/>
      <c r="AV1282"/>
      <c r="AW1282" t="b">
        <v>1</v>
      </c>
      <c r="AX1282" t="b">
        <v>1</v>
      </c>
      <c r="AY1282" t="b">
        <v>1</v>
      </c>
    </row>
    <row r="1283" spans="1:51">
      <c r="A1283" s="277" t="s">
        <v>1216</v>
      </c>
      <c r="B1283" s="273" t="s">
        <v>1477</v>
      </c>
      <c r="C1283" s="273">
        <f>'Schippers RD Sumatra 2010'!B35</f>
        <v>9.35</v>
      </c>
      <c r="D1283" s="302">
        <f>'Schippers RD Sumatra 2010'!C35</f>
        <v>30200000</v>
      </c>
      <c r="H1283" s="336"/>
      <c r="I1283" s="301">
        <f>'Schippers RD Sumatra 2010'!D35</f>
        <v>77400000</v>
      </c>
      <c r="J1283" s="301">
        <f>'Schippers RD Sumatra 2010'!E35</f>
        <v>92200000</v>
      </c>
      <c r="K1283" s="301">
        <f>I1283+J1283</f>
        <v>169600000</v>
      </c>
      <c r="N1283" s="27">
        <f>J1283/K1283</f>
        <v>0.54363207547169812</v>
      </c>
      <c r="O1283" s="303"/>
      <c r="P1283" s="328">
        <f>'Schippers RD Sumatra 2010'!G35</f>
        <v>6.3312885744392604</v>
      </c>
      <c r="R1283" s="304"/>
      <c r="S1283" s="304"/>
      <c r="T1283" s="304"/>
      <c r="U1283" s="304"/>
      <c r="V1283" s="334"/>
      <c r="W1283" s="334"/>
      <c r="X1283" s="334"/>
      <c r="Y1283" s="334"/>
      <c r="Z1283" s="334"/>
      <c r="AA1283" s="326" t="s">
        <v>1498</v>
      </c>
      <c r="AD1283" s="326" t="s">
        <v>1717</v>
      </c>
      <c r="AE1283" s="326" t="s">
        <v>1725</v>
      </c>
      <c r="AG1283" s="326" t="s">
        <v>1707</v>
      </c>
      <c r="AH1283" s="326" t="s">
        <v>1714</v>
      </c>
      <c r="AR1283" s="325"/>
      <c r="AT1283"/>
      <c r="AU1283"/>
      <c r="AV1283"/>
      <c r="AW1283" t="b">
        <v>1</v>
      </c>
      <c r="AX1283" t="b">
        <v>1</v>
      </c>
      <c r="AY1283" t="b">
        <v>1</v>
      </c>
    </row>
    <row r="1284" spans="1:51">
      <c r="A1284" s="277" t="s">
        <v>1216</v>
      </c>
      <c r="B1284" s="273" t="s">
        <v>1477</v>
      </c>
      <c r="C1284" s="273">
        <f>'Schippers RD Sumatra 2010'!B36</f>
        <v>9.85</v>
      </c>
      <c r="D1284" s="302">
        <f>'Schippers RD Sumatra 2010'!C36</f>
        <v>43400000</v>
      </c>
      <c r="H1284" s="336"/>
      <c r="I1284" s="301">
        <f>'Schippers RD Sumatra 2010'!D36</f>
        <v>37000000</v>
      </c>
      <c r="J1284" s="301">
        <f>'Schippers RD Sumatra 2010'!E36</f>
        <v>24900000</v>
      </c>
      <c r="K1284" s="301">
        <f>I1284+J1284</f>
        <v>61900000</v>
      </c>
      <c r="N1284" s="27">
        <f>J1284/K1284</f>
        <v>0.40226171243941844</v>
      </c>
      <c r="O1284" s="303"/>
      <c r="P1284" s="328">
        <f>'Schippers RD Sumatra 2010'!G36</f>
        <v>3.1420919263384999</v>
      </c>
      <c r="R1284" s="304"/>
      <c r="S1284" s="304"/>
      <c r="T1284" s="304"/>
      <c r="U1284" s="304"/>
      <c r="V1284" s="334"/>
      <c r="W1284" s="334"/>
      <c r="X1284" s="334"/>
      <c r="Y1284" s="334"/>
      <c r="Z1284" s="334"/>
      <c r="AA1284" s="326" t="s">
        <v>1498</v>
      </c>
      <c r="AD1284" s="326" t="s">
        <v>1717</v>
      </c>
      <c r="AE1284" s="326" t="s">
        <v>1725</v>
      </c>
      <c r="AG1284" s="326" t="s">
        <v>1707</v>
      </c>
      <c r="AH1284" s="326" t="s">
        <v>1714</v>
      </c>
      <c r="AR1284" s="325"/>
      <c r="AT1284"/>
      <c r="AU1284"/>
      <c r="AV1284"/>
      <c r="AW1284" t="b">
        <v>1</v>
      </c>
      <c r="AX1284" t="b">
        <v>1</v>
      </c>
      <c r="AY1284" t="b">
        <v>1</v>
      </c>
    </row>
    <row r="1285" spans="1:51">
      <c r="A1285" s="277" t="s">
        <v>1216</v>
      </c>
      <c r="B1285" s="273" t="s">
        <v>1477</v>
      </c>
      <c r="C1285" s="273">
        <f>'Schippers RD Sumatra 2010'!B37</f>
        <v>10.35</v>
      </c>
      <c r="D1285" s="302">
        <f>'Schippers RD Sumatra 2010'!C37</f>
        <v>22000000</v>
      </c>
      <c r="H1285" s="336"/>
      <c r="I1285" s="301">
        <f>'Schippers RD Sumatra 2010'!D37</f>
        <v>83600000</v>
      </c>
      <c r="J1285" s="301">
        <f>'Schippers RD Sumatra 2010'!E37</f>
        <v>136000000</v>
      </c>
      <c r="K1285" s="301">
        <f>I1285+J1285</f>
        <v>219600000</v>
      </c>
      <c r="N1285" s="27">
        <f>J1285/K1285</f>
        <v>0.61930783242258647</v>
      </c>
      <c r="O1285" s="303"/>
      <c r="P1285" s="328">
        <f>'Schippers RD Sumatra 2010'!G37</f>
        <v>0.99691404485924895</v>
      </c>
      <c r="R1285" s="304"/>
      <c r="S1285" s="304"/>
      <c r="T1285" s="304"/>
      <c r="U1285" s="304"/>
      <c r="V1285" s="334"/>
      <c r="W1285" s="334"/>
      <c r="X1285" s="334"/>
      <c r="Z1285" s="334"/>
      <c r="AA1285" s="326" t="s">
        <v>1498</v>
      </c>
      <c r="AD1285" s="326" t="s">
        <v>1717</v>
      </c>
      <c r="AE1285" s="326" t="s">
        <v>1725</v>
      </c>
      <c r="AG1285" s="326" t="s">
        <v>1707</v>
      </c>
      <c r="AH1285" s="326" t="s">
        <v>1714</v>
      </c>
      <c r="AR1285" s="325"/>
      <c r="AT1285"/>
      <c r="AU1285"/>
      <c r="AV1285"/>
      <c r="AW1285" t="b">
        <v>1</v>
      </c>
      <c r="AX1285" t="b">
        <v>1</v>
      </c>
      <c r="AY1285" t="b">
        <v>1</v>
      </c>
    </row>
    <row r="1286" spans="1:51">
      <c r="A1286" s="277" t="s">
        <v>1216</v>
      </c>
      <c r="B1286" s="273" t="s">
        <v>1477</v>
      </c>
      <c r="C1286" s="273">
        <f>'Schippers RD Sumatra 2010'!B38</f>
        <v>10.85</v>
      </c>
      <c r="D1286" s="302">
        <f>'Schippers RD Sumatra 2010'!C38</f>
        <v>19500000</v>
      </c>
      <c r="H1286" s="336"/>
      <c r="I1286" s="301">
        <f>'Schippers RD Sumatra 2010'!D38</f>
        <v>1210000000</v>
      </c>
      <c r="J1286" s="301">
        <f>'Schippers RD Sumatra 2010'!E38</f>
        <v>87800000</v>
      </c>
      <c r="K1286" s="301">
        <f>I1286+J1286</f>
        <v>1297800000</v>
      </c>
      <c r="N1286" s="27">
        <f>J1286/K1286</f>
        <v>6.7652951148096774E-2</v>
      </c>
      <c r="O1286" s="303"/>
      <c r="P1286" s="328">
        <f>'Schippers RD Sumatra 2010'!G38</f>
        <v>0.445268202117516</v>
      </c>
      <c r="R1286" s="304"/>
      <c r="S1286" s="304"/>
      <c r="T1286" s="304"/>
      <c r="U1286" s="304"/>
      <c r="V1286" s="334"/>
      <c r="W1286" s="334"/>
      <c r="X1286" s="334"/>
      <c r="Z1286" s="334"/>
      <c r="AA1286" s="326" t="s">
        <v>1498</v>
      </c>
      <c r="AD1286" s="326" t="s">
        <v>1717</v>
      </c>
      <c r="AE1286" s="326" t="s">
        <v>1725</v>
      </c>
      <c r="AG1286" s="326" t="s">
        <v>1707</v>
      </c>
      <c r="AH1286" s="326" t="s">
        <v>1714</v>
      </c>
      <c r="AR1286" s="325"/>
      <c r="AT1286"/>
      <c r="AU1286"/>
      <c r="AV1286"/>
      <c r="AW1286" t="b">
        <v>1</v>
      </c>
      <c r="AX1286" t="b">
        <v>1</v>
      </c>
      <c r="AY1286" t="b">
        <v>1</v>
      </c>
    </row>
    <row r="1287" spans="1:51">
      <c r="A1287" s="277" t="s">
        <v>1216</v>
      </c>
      <c r="B1287" s="273" t="s">
        <v>1477</v>
      </c>
      <c r="C1287" s="273">
        <f>'Schippers RD Sumatra 2010'!B39</f>
        <v>11.15</v>
      </c>
      <c r="D1287" s="302">
        <f>'Schippers RD Sumatra 2010'!C39</f>
        <v>20700000</v>
      </c>
      <c r="H1287" s="336"/>
      <c r="I1287" s="301">
        <f>'Schippers RD Sumatra 2010'!D39</f>
        <v>67200000</v>
      </c>
      <c r="J1287" s="301">
        <f>'Schippers RD Sumatra 2010'!E39</f>
        <v>51600000</v>
      </c>
      <c r="K1287" s="301">
        <f>I1287+J1287</f>
        <v>118800000</v>
      </c>
      <c r="N1287" s="27">
        <f>J1287/K1287</f>
        <v>0.43434343434343436</v>
      </c>
      <c r="O1287" s="303"/>
      <c r="P1287" s="328"/>
      <c r="R1287" s="304"/>
      <c r="S1287" s="304"/>
      <c r="T1287" s="304"/>
      <c r="U1287" s="304"/>
      <c r="V1287" s="334"/>
      <c r="W1287" s="334"/>
      <c r="X1287" s="334"/>
      <c r="Z1287" s="334"/>
      <c r="AA1287" s="326" t="s">
        <v>1498</v>
      </c>
      <c r="AD1287" s="326" t="s">
        <v>1717</v>
      </c>
      <c r="AE1287" s="326" t="s">
        <v>1725</v>
      </c>
      <c r="AG1287" s="326" t="s">
        <v>1707</v>
      </c>
      <c r="AH1287" s="326" t="s">
        <v>1714</v>
      </c>
      <c r="AR1287" s="325"/>
      <c r="AT1287"/>
      <c r="AU1287"/>
      <c r="AV1287"/>
      <c r="AW1287" t="b">
        <v>1</v>
      </c>
      <c r="AX1287" t="b">
        <v>1</v>
      </c>
      <c r="AY1287" t="b">
        <v>1</v>
      </c>
    </row>
    <row r="1288" spans="1:51">
      <c r="A1288" s="277" t="s">
        <v>1216</v>
      </c>
      <c r="B1288" s="273" t="s">
        <v>1477</v>
      </c>
      <c r="C1288" s="273">
        <f>'Schippers RD Sumatra 2010'!B40</f>
        <v>11.35</v>
      </c>
      <c r="D1288" s="302">
        <f>'Schippers RD Sumatra 2010'!C40</f>
        <v>10700000</v>
      </c>
      <c r="H1288" s="336"/>
      <c r="I1288" s="301">
        <f>'Schippers RD Sumatra 2010'!D40</f>
        <v>18300000</v>
      </c>
      <c r="J1288" s="301">
        <f>'Schippers RD Sumatra 2010'!E40</f>
        <v>42000000</v>
      </c>
      <c r="K1288" s="301">
        <f>I1288+J1288</f>
        <v>60300000</v>
      </c>
      <c r="N1288" s="27">
        <f>J1288/K1288</f>
        <v>0.69651741293532343</v>
      </c>
      <c r="O1288" s="303"/>
      <c r="P1288" s="328"/>
      <c r="R1288" s="304"/>
      <c r="S1288" s="304"/>
      <c r="T1288" s="304"/>
      <c r="U1288" s="304"/>
      <c r="V1288" s="334"/>
      <c r="W1288" s="334"/>
      <c r="X1288" s="334"/>
      <c r="Y1288" s="323"/>
      <c r="Z1288" s="334"/>
      <c r="AA1288" s="326" t="s">
        <v>1498</v>
      </c>
      <c r="AD1288" s="326" t="s">
        <v>1717</v>
      </c>
      <c r="AE1288" s="326" t="s">
        <v>1725</v>
      </c>
      <c r="AG1288" s="326" t="s">
        <v>1707</v>
      </c>
      <c r="AH1288" s="326" t="s">
        <v>1714</v>
      </c>
      <c r="AR1288" s="325"/>
      <c r="AT1288"/>
      <c r="AU1288"/>
      <c r="AV1288"/>
      <c r="AW1288" t="b">
        <v>1</v>
      </c>
      <c r="AX1288" t="b">
        <v>1</v>
      </c>
      <c r="AY1288" t="b">
        <v>1</v>
      </c>
    </row>
    <row r="1289" spans="1:51">
      <c r="A1289" s="277" t="s">
        <v>1216</v>
      </c>
      <c r="B1289" s="273" t="s">
        <v>1477</v>
      </c>
      <c r="C1289" s="273">
        <f>'Schippers RD Sumatra 2010'!B41</f>
        <v>11.85</v>
      </c>
      <c r="D1289" s="302">
        <f>'Schippers RD Sumatra 2010'!C41</f>
        <v>13200000</v>
      </c>
      <c r="H1289" s="336"/>
      <c r="I1289" s="301">
        <f>'Schippers RD Sumatra 2010'!D41</f>
        <v>30500000</v>
      </c>
      <c r="J1289" s="301">
        <f>'Schippers RD Sumatra 2010'!E41</f>
        <v>684000000</v>
      </c>
      <c r="K1289" s="301">
        <f>I1289+J1289</f>
        <v>714500000</v>
      </c>
      <c r="N1289" s="27">
        <f>J1289/K1289</f>
        <v>0.95731280615815251</v>
      </c>
      <c r="O1289" s="303"/>
      <c r="P1289" s="328">
        <f>'Schippers RD Sumatra 2010'!G41</f>
        <v>0.55051683476340996</v>
      </c>
      <c r="R1289" s="304"/>
      <c r="S1289" s="304"/>
      <c r="T1289" s="304"/>
      <c r="U1289" s="304"/>
      <c r="V1289" s="334"/>
      <c r="W1289" s="334"/>
      <c r="X1289" s="334"/>
      <c r="Y1289" s="328"/>
      <c r="Z1289" s="334"/>
      <c r="AA1289" s="326" t="s">
        <v>1498</v>
      </c>
      <c r="AD1289" s="326" t="s">
        <v>1717</v>
      </c>
      <c r="AE1289" s="326" t="s">
        <v>1725</v>
      </c>
      <c r="AG1289" s="326" t="s">
        <v>1707</v>
      </c>
      <c r="AH1289" s="326" t="s">
        <v>1714</v>
      </c>
      <c r="AR1289" s="325"/>
      <c r="AT1289"/>
      <c r="AU1289"/>
      <c r="AV1289"/>
      <c r="AW1289" t="b">
        <v>1</v>
      </c>
      <c r="AX1289" t="b">
        <v>1</v>
      </c>
      <c r="AY1289" t="b">
        <v>1</v>
      </c>
    </row>
    <row r="1290" spans="1:51">
      <c r="A1290" s="277" t="s">
        <v>1216</v>
      </c>
      <c r="B1290" s="273" t="s">
        <v>1478</v>
      </c>
      <c r="C1290" s="273">
        <f>'Schippers RD Sumatra 2010'!B42</f>
        <v>0.01</v>
      </c>
      <c r="D1290" s="302">
        <f>'Schippers RD Sumatra 2010'!C42</f>
        <v>1390000000</v>
      </c>
      <c r="I1290" s="301">
        <f>'Schippers RD Sumatra 2010'!D42</f>
        <v>3570000000</v>
      </c>
      <c r="J1290" s="301">
        <f>'Schippers RD Sumatra 2010'!E42</f>
        <v>1700000000</v>
      </c>
      <c r="K1290" s="301">
        <f>I1290+J1290</f>
        <v>5270000000</v>
      </c>
      <c r="N1290" s="27">
        <f>J1290/K1290</f>
        <v>0.32258064516129031</v>
      </c>
      <c r="O1290" s="303"/>
      <c r="P1290" s="328">
        <f>'Schippers RD Sumatra 2010'!G42</f>
        <v>28.256090459089599</v>
      </c>
      <c r="R1290" s="304"/>
      <c r="S1290" s="304"/>
      <c r="T1290" s="304"/>
      <c r="U1290" s="304"/>
      <c r="V1290" s="334"/>
      <c r="W1290" s="334"/>
      <c r="X1290" s="334"/>
      <c r="Y1290" s="328"/>
      <c r="Z1290" s="334"/>
      <c r="AA1290" s="326" t="s">
        <v>1498</v>
      </c>
      <c r="AD1290" s="326" t="s">
        <v>1717</v>
      </c>
      <c r="AE1290" s="326" t="s">
        <v>1725</v>
      </c>
      <c r="AG1290" s="326" t="s">
        <v>1707</v>
      </c>
      <c r="AH1290" s="326" t="s">
        <v>1714</v>
      </c>
      <c r="AR1290" s="325"/>
      <c r="AT1290"/>
      <c r="AU1290"/>
      <c r="AV1290"/>
      <c r="AW1290" t="b">
        <v>1</v>
      </c>
      <c r="AX1290" t="b">
        <v>1</v>
      </c>
      <c r="AY1290" t="b">
        <v>1</v>
      </c>
    </row>
    <row r="1291" spans="1:51">
      <c r="A1291" s="277" t="s">
        <v>1216</v>
      </c>
      <c r="B1291" s="273" t="s">
        <v>1478</v>
      </c>
      <c r="C1291" s="273">
        <f>'Schippers RD Sumatra 2010'!B43</f>
        <v>0.03</v>
      </c>
      <c r="D1291" s="302">
        <f>'Schippers RD Sumatra 2010'!C43</f>
        <v>1040000000</v>
      </c>
      <c r="I1291" s="301">
        <f>'Schippers RD Sumatra 2010'!D43</f>
        <v>2770000000</v>
      </c>
      <c r="J1291" s="301">
        <f>'Schippers RD Sumatra 2010'!E43</f>
        <v>790000000</v>
      </c>
      <c r="K1291" s="301">
        <f>I1291+J1291</f>
        <v>3560000000</v>
      </c>
      <c r="N1291" s="27">
        <f>J1291/K1291</f>
        <v>0.22191011235955055</v>
      </c>
      <c r="O1291" s="303"/>
      <c r="P1291" s="328">
        <f>'Schippers RD Sumatra 2010'!G43</f>
        <v>28.490245559545698</v>
      </c>
      <c r="R1291" s="304"/>
      <c r="S1291" s="304"/>
      <c r="T1291" s="304"/>
      <c r="U1291" s="304"/>
      <c r="V1291" s="334"/>
      <c r="W1291" s="334"/>
      <c r="X1291" s="334"/>
      <c r="Y1291" s="328"/>
      <c r="Z1291" s="334"/>
      <c r="AA1291" s="326" t="s">
        <v>1498</v>
      </c>
      <c r="AD1291" s="326" t="s">
        <v>1717</v>
      </c>
      <c r="AE1291" s="326" t="s">
        <v>1725</v>
      </c>
      <c r="AG1291" s="326" t="s">
        <v>1707</v>
      </c>
      <c r="AH1291" s="326" t="s">
        <v>1714</v>
      </c>
      <c r="AR1291" s="325"/>
      <c r="AT1291"/>
      <c r="AU1291"/>
      <c r="AV1291"/>
      <c r="AW1291" t="b">
        <v>1</v>
      </c>
      <c r="AX1291" t="b">
        <v>1</v>
      </c>
      <c r="AY1291" t="b">
        <v>1</v>
      </c>
    </row>
    <row r="1292" spans="1:51">
      <c r="A1292" s="277" t="s">
        <v>1216</v>
      </c>
      <c r="B1292" s="273" t="s">
        <v>1478</v>
      </c>
      <c r="C1292" s="273">
        <f>'Schippers RD Sumatra 2010'!B44</f>
        <v>0.05</v>
      </c>
      <c r="D1292" s="302">
        <f>'Schippers RD Sumatra 2010'!C44</f>
        <v>924000000</v>
      </c>
      <c r="I1292" s="301">
        <f>'Schippers RD Sumatra 2010'!D44</f>
        <v>1730000000</v>
      </c>
      <c r="J1292" s="301">
        <f>'Schippers RD Sumatra 2010'!E44</f>
        <v>1340000000</v>
      </c>
      <c r="K1292" s="301">
        <f>I1292+J1292</f>
        <v>3070000000</v>
      </c>
      <c r="N1292" s="27">
        <f>J1292/K1292</f>
        <v>0.43648208469055377</v>
      </c>
      <c r="O1292" s="303"/>
      <c r="P1292" s="328">
        <f>'Schippers RD Sumatra 2010'!G44</f>
        <v>27.736824225953601</v>
      </c>
      <c r="R1292" s="304"/>
      <c r="S1292" s="304"/>
      <c r="T1292" s="304"/>
      <c r="U1292" s="304"/>
      <c r="V1292" s="334"/>
      <c r="W1292" s="334"/>
      <c r="X1292" s="334"/>
      <c r="Y1292" s="328"/>
      <c r="Z1292" s="334"/>
      <c r="AA1292" s="326" t="s">
        <v>1498</v>
      </c>
      <c r="AD1292" s="326" t="s">
        <v>1717</v>
      </c>
      <c r="AE1292" s="326" t="s">
        <v>1725</v>
      </c>
      <c r="AG1292" s="326" t="s">
        <v>1707</v>
      </c>
      <c r="AH1292" s="326" t="s">
        <v>1714</v>
      </c>
      <c r="AR1292" s="325"/>
      <c r="AT1292"/>
      <c r="AU1292"/>
      <c r="AV1292"/>
      <c r="AW1292" t="b">
        <v>1</v>
      </c>
      <c r="AX1292" t="b">
        <v>1</v>
      </c>
      <c r="AY1292" t="b">
        <v>1</v>
      </c>
    </row>
    <row r="1293" spans="1:51">
      <c r="A1293" s="277" t="s">
        <v>1216</v>
      </c>
      <c r="B1293" s="273" t="s">
        <v>1478</v>
      </c>
      <c r="C1293" s="273">
        <f>'Schippers RD Sumatra 2010'!B45</f>
        <v>7.0000000000000007E-2</v>
      </c>
      <c r="D1293" s="302">
        <f>'Schippers RD Sumatra 2010'!C45</f>
        <v>481000000</v>
      </c>
      <c r="I1293" s="301">
        <f>'Schippers RD Sumatra 2010'!D45</f>
        <v>2130000000</v>
      </c>
      <c r="J1293" s="301">
        <f>'Schippers RD Sumatra 2010'!E45</f>
        <v>753000000</v>
      </c>
      <c r="K1293" s="301">
        <f>I1293+J1293</f>
        <v>2883000000</v>
      </c>
      <c r="N1293" s="27">
        <f>J1293/K1293</f>
        <v>0.26118626430801251</v>
      </c>
      <c r="O1293" s="303"/>
      <c r="P1293" s="328">
        <f>'Schippers RD Sumatra 2010'!G45</f>
        <v>28.274531689799002</v>
      </c>
      <c r="R1293" s="304"/>
      <c r="S1293" s="304"/>
      <c r="T1293" s="304"/>
      <c r="U1293" s="304"/>
      <c r="V1293" s="334"/>
      <c r="W1293" s="334"/>
      <c r="X1293" s="334"/>
      <c r="Z1293" s="334"/>
      <c r="AA1293" s="326" t="s">
        <v>1498</v>
      </c>
      <c r="AD1293" s="326" t="s">
        <v>1717</v>
      </c>
      <c r="AE1293" s="326" t="s">
        <v>1725</v>
      </c>
      <c r="AG1293" s="326" t="s">
        <v>1707</v>
      </c>
      <c r="AH1293" s="326" t="s">
        <v>1714</v>
      </c>
      <c r="AR1293" s="325"/>
      <c r="AT1293"/>
      <c r="AU1293"/>
      <c r="AV1293"/>
      <c r="AW1293" t="b">
        <v>1</v>
      </c>
      <c r="AX1293" t="b">
        <v>1</v>
      </c>
      <c r="AY1293" t="b">
        <v>1</v>
      </c>
    </row>
    <row r="1294" spans="1:51">
      <c r="A1294" s="277" t="s">
        <v>1216</v>
      </c>
      <c r="B1294" s="273" t="s">
        <v>1478</v>
      </c>
      <c r="C1294" s="273">
        <f>'Schippers RD Sumatra 2010'!B46</f>
        <v>0.09</v>
      </c>
      <c r="D1294" s="302">
        <f>'Schippers RD Sumatra 2010'!C46</f>
        <v>957000000</v>
      </c>
      <c r="I1294" s="301">
        <f>'Schippers RD Sumatra 2010'!D46</f>
        <v>1650000000</v>
      </c>
      <c r="J1294" s="301">
        <f>'Schippers RD Sumatra 2010'!E46</f>
        <v>639000000</v>
      </c>
      <c r="K1294" s="301">
        <f>I1294+J1294</f>
        <v>2289000000</v>
      </c>
      <c r="N1294" s="27">
        <f>J1294/K1294</f>
        <v>0.27916120576671033</v>
      </c>
      <c r="O1294" s="303"/>
      <c r="P1294" s="328">
        <f>'Schippers RD Sumatra 2010'!G46</f>
        <v>28.1287003785305</v>
      </c>
      <c r="R1294" s="304"/>
      <c r="S1294" s="304"/>
      <c r="T1294" s="304"/>
      <c r="U1294" s="304"/>
      <c r="V1294" s="334"/>
      <c r="W1294" s="334"/>
      <c r="X1294" s="334"/>
      <c r="Z1294" s="334"/>
      <c r="AA1294" s="326" t="s">
        <v>1498</v>
      </c>
      <c r="AD1294" s="326" t="s">
        <v>1717</v>
      </c>
      <c r="AE1294" s="326" t="s">
        <v>1725</v>
      </c>
      <c r="AG1294" s="326" t="s">
        <v>1707</v>
      </c>
      <c r="AH1294" s="326" t="s">
        <v>1714</v>
      </c>
      <c r="AR1294" s="325"/>
      <c r="AT1294"/>
      <c r="AU1294"/>
      <c r="AV1294"/>
      <c r="AW1294" t="b">
        <v>1</v>
      </c>
      <c r="AX1294" t="b">
        <v>1</v>
      </c>
      <c r="AY1294" t="b">
        <v>1</v>
      </c>
    </row>
    <row r="1295" spans="1:51">
      <c r="A1295" s="277" t="s">
        <v>1216</v>
      </c>
      <c r="B1295" s="273" t="s">
        <v>1478</v>
      </c>
      <c r="C1295" s="273">
        <f>'Schippers RD Sumatra 2010'!B47</f>
        <v>0.13</v>
      </c>
      <c r="D1295" s="302">
        <f>'Schippers RD Sumatra 2010'!C47</f>
        <v>402000000</v>
      </c>
      <c r="I1295" s="301">
        <f>'Schippers RD Sumatra 2010'!D47</f>
        <v>749000000</v>
      </c>
      <c r="J1295" s="301">
        <f>'Schippers RD Sumatra 2010'!E47</f>
        <v>1120000000</v>
      </c>
      <c r="K1295" s="301">
        <f>I1295+J1295</f>
        <v>1869000000</v>
      </c>
      <c r="N1295" s="27">
        <f>J1295/K1295</f>
        <v>0.59925093632958804</v>
      </c>
      <c r="O1295" s="303"/>
      <c r="P1295" s="328">
        <f>'Schippers RD Sumatra 2010'!G47</f>
        <v>28.064641366592198</v>
      </c>
      <c r="R1295" s="304"/>
      <c r="S1295" s="304"/>
      <c r="T1295" s="304"/>
      <c r="U1295" s="304"/>
      <c r="V1295" s="334"/>
      <c r="W1295" s="334"/>
      <c r="X1295" s="334"/>
      <c r="Z1295" s="334"/>
      <c r="AA1295" s="326" t="s">
        <v>1498</v>
      </c>
      <c r="AD1295" s="326" t="s">
        <v>1717</v>
      </c>
      <c r="AE1295" s="326" t="s">
        <v>1725</v>
      </c>
      <c r="AG1295" s="326" t="s">
        <v>1707</v>
      </c>
      <c r="AH1295" s="326" t="s">
        <v>1714</v>
      </c>
      <c r="AR1295" s="325"/>
      <c r="AT1295"/>
      <c r="AU1295"/>
      <c r="AV1295"/>
      <c r="AW1295" t="b">
        <v>1</v>
      </c>
      <c r="AX1295" t="b">
        <v>1</v>
      </c>
      <c r="AY1295" t="b">
        <v>1</v>
      </c>
    </row>
    <row r="1296" spans="1:51">
      <c r="A1296" s="277" t="s">
        <v>1216</v>
      </c>
      <c r="B1296" s="273" t="s">
        <v>1478</v>
      </c>
      <c r="C1296" s="273">
        <f>'Schippers RD Sumatra 2010'!B48</f>
        <v>0.17</v>
      </c>
      <c r="D1296" s="302">
        <f>'Schippers RD Sumatra 2010'!C48</f>
        <v>273000000</v>
      </c>
      <c r="I1296" s="301">
        <f>'Schippers RD Sumatra 2010'!D48</f>
        <v>639000000</v>
      </c>
      <c r="J1296" s="301">
        <f>'Schippers RD Sumatra 2010'!E48</f>
        <v>741000000</v>
      </c>
      <c r="K1296" s="301">
        <f>I1296+J1296</f>
        <v>1380000000</v>
      </c>
      <c r="N1296" s="27">
        <f>J1296/K1296</f>
        <v>0.53695652173913044</v>
      </c>
      <c r="O1296" s="303"/>
      <c r="P1296" s="328">
        <f>'Schippers RD Sumatra 2010'!G48</f>
        <v>28.912210035911801</v>
      </c>
      <c r="V1296" s="334"/>
      <c r="W1296" s="334"/>
      <c r="X1296" s="334"/>
      <c r="Z1296" s="334"/>
      <c r="AA1296" s="326" t="s">
        <v>1498</v>
      </c>
      <c r="AD1296" s="326" t="s">
        <v>1717</v>
      </c>
      <c r="AE1296" s="326" t="s">
        <v>1725</v>
      </c>
      <c r="AG1296" s="326" t="s">
        <v>1707</v>
      </c>
      <c r="AH1296" s="326" t="s">
        <v>1714</v>
      </c>
      <c r="AR1296" s="325"/>
      <c r="AT1296"/>
      <c r="AU1296"/>
      <c r="AV1296"/>
      <c r="AW1296" t="b">
        <v>1</v>
      </c>
      <c r="AX1296" t="b">
        <v>1</v>
      </c>
      <c r="AY1296" t="b">
        <v>1</v>
      </c>
    </row>
    <row r="1297" spans="1:51">
      <c r="A1297" s="277" t="s">
        <v>1216</v>
      </c>
      <c r="B1297" s="273" t="s">
        <v>1478</v>
      </c>
      <c r="C1297" s="273">
        <f>'Schippers RD Sumatra 2010'!B49</f>
        <v>0.21</v>
      </c>
      <c r="D1297" s="302">
        <f>'Schippers RD Sumatra 2010'!C49</f>
        <v>176000000</v>
      </c>
      <c r="H1297" s="336"/>
      <c r="I1297" s="301">
        <f>'Schippers RD Sumatra 2010'!D49</f>
        <v>1070000000</v>
      </c>
      <c r="J1297" s="301">
        <f>'Schippers RD Sumatra 2010'!E49</f>
        <v>1240000000</v>
      </c>
      <c r="K1297" s="301">
        <f>I1297+J1297</f>
        <v>2310000000</v>
      </c>
      <c r="N1297" s="27">
        <f>J1297/K1297</f>
        <v>0.53679653679653683</v>
      </c>
      <c r="O1297" s="303"/>
      <c r="P1297" s="328">
        <f>'Schippers RD Sumatra 2010'!G49</f>
        <v>27.785353780452301</v>
      </c>
      <c r="R1297" s="304"/>
      <c r="S1297" s="304"/>
      <c r="T1297" s="304"/>
      <c r="U1297" s="304"/>
      <c r="V1297" s="334"/>
      <c r="W1297" s="334"/>
      <c r="X1297" s="334"/>
      <c r="Y1297" s="334"/>
      <c r="Z1297" s="334"/>
      <c r="AA1297" s="326" t="s">
        <v>1498</v>
      </c>
      <c r="AD1297" s="326" t="s">
        <v>1717</v>
      </c>
      <c r="AE1297" s="326" t="s">
        <v>1725</v>
      </c>
      <c r="AG1297" s="326" t="s">
        <v>1707</v>
      </c>
      <c r="AH1297" s="326" t="s">
        <v>1714</v>
      </c>
      <c r="AR1297" s="325"/>
      <c r="AT1297"/>
      <c r="AU1297"/>
      <c r="AV1297"/>
      <c r="AW1297" t="b">
        <v>1</v>
      </c>
      <c r="AX1297" t="b">
        <v>1</v>
      </c>
      <c r="AY1297" t="b">
        <v>1</v>
      </c>
    </row>
    <row r="1298" spans="1:51">
      <c r="A1298" s="277" t="s">
        <v>1216</v>
      </c>
      <c r="B1298" s="273" t="s">
        <v>1478</v>
      </c>
      <c r="C1298" s="273">
        <f>'Schippers RD Sumatra 2010'!B53</f>
        <v>0.25</v>
      </c>
      <c r="D1298" s="302">
        <f>'Schippers RD Sumatra 2010'!C53</f>
        <v>15100000</v>
      </c>
      <c r="I1298" s="301">
        <f>'Schippers RD Sumatra 2010'!D53</f>
        <v>402000000</v>
      </c>
      <c r="J1298" s="301">
        <f>'Schippers RD Sumatra 2010'!E53</f>
        <v>802000000</v>
      </c>
      <c r="K1298" s="301">
        <f>I1298+J1298</f>
        <v>1204000000</v>
      </c>
      <c r="N1298" s="27">
        <f>J1298/K1298</f>
        <v>0.66611295681063121</v>
      </c>
      <c r="O1298" s="303"/>
      <c r="P1298" s="328">
        <f>'Schippers RD Sumatra 2010'!G51</f>
        <v>27.733912452683601</v>
      </c>
      <c r="R1298" s="304"/>
      <c r="S1298" s="304"/>
      <c r="T1298" s="304"/>
      <c r="U1298" s="304"/>
      <c r="V1298" s="334"/>
      <c r="W1298" s="334"/>
      <c r="X1298" s="334"/>
      <c r="Y1298" s="334"/>
      <c r="Z1298" s="334"/>
      <c r="AA1298" s="326" t="s">
        <v>1498</v>
      </c>
      <c r="AD1298" s="326" t="s">
        <v>1717</v>
      </c>
      <c r="AE1298" s="326" t="s">
        <v>1725</v>
      </c>
      <c r="AG1298" s="326" t="s">
        <v>1707</v>
      </c>
      <c r="AH1298" s="326" t="s">
        <v>1714</v>
      </c>
      <c r="AR1298" s="325"/>
      <c r="AT1298"/>
      <c r="AU1298"/>
      <c r="AV1298"/>
      <c r="AW1298" t="b">
        <v>1</v>
      </c>
      <c r="AX1298" t="b">
        <v>1</v>
      </c>
      <c r="AY1298" t="b">
        <v>1</v>
      </c>
    </row>
    <row r="1299" spans="1:51">
      <c r="A1299" s="277" t="s">
        <v>1216</v>
      </c>
      <c r="B1299" s="273" t="s">
        <v>1478</v>
      </c>
      <c r="C1299" s="273">
        <f>'Schippers RD Sumatra 2010'!B50</f>
        <v>0.25</v>
      </c>
      <c r="D1299" s="302">
        <f>'Schippers RD Sumatra 2010'!C50</f>
        <v>215000000</v>
      </c>
      <c r="I1299" s="301">
        <f>'Schippers RD Sumatra 2010'!D50</f>
        <v>329000000</v>
      </c>
      <c r="J1299" s="301">
        <f>'Schippers RD Sumatra 2010'!E50</f>
        <v>464000000</v>
      </c>
      <c r="K1299" s="301">
        <f>I1299+J1299</f>
        <v>793000000</v>
      </c>
      <c r="N1299" s="27">
        <f>J1299/K1299</f>
        <v>0.58511979823455229</v>
      </c>
      <c r="O1299" s="303"/>
      <c r="P1299" s="328">
        <f>'Schippers RD Sumatra 2010'!G50</f>
        <v>27.4174997573522</v>
      </c>
      <c r="R1299" s="304"/>
      <c r="S1299" s="304"/>
      <c r="T1299" s="304"/>
      <c r="U1299" s="304"/>
      <c r="V1299" s="334"/>
      <c r="W1299" s="334"/>
      <c r="X1299" s="334"/>
      <c r="Y1299" s="334"/>
      <c r="Z1299" s="334"/>
      <c r="AA1299" s="326" t="s">
        <v>1498</v>
      </c>
      <c r="AD1299" s="326" t="s">
        <v>1717</v>
      </c>
      <c r="AE1299" s="326" t="s">
        <v>1725</v>
      </c>
      <c r="AG1299" s="326" t="s">
        <v>1707</v>
      </c>
      <c r="AH1299" s="326" t="s">
        <v>1714</v>
      </c>
      <c r="AR1299" s="325"/>
      <c r="AT1299"/>
      <c r="AU1299"/>
      <c r="AV1299"/>
      <c r="AW1299" t="b">
        <v>1</v>
      </c>
      <c r="AX1299" t="b">
        <v>1</v>
      </c>
      <c r="AY1299" t="b">
        <v>1</v>
      </c>
    </row>
    <row r="1300" spans="1:51">
      <c r="A1300" s="277" t="s">
        <v>1216</v>
      </c>
      <c r="B1300" s="273" t="s">
        <v>1478</v>
      </c>
      <c r="C1300" s="273">
        <f>'Schippers RD Sumatra 2010'!B51</f>
        <v>0.28999999999999998</v>
      </c>
      <c r="D1300" s="302">
        <f>'Schippers RD Sumatra 2010'!C51</f>
        <v>212000000</v>
      </c>
      <c r="H1300" s="336"/>
      <c r="I1300" s="301">
        <f>'Schippers RD Sumatra 2010'!D51</f>
        <v>291000000</v>
      </c>
      <c r="J1300" s="301">
        <f>'Schippers RD Sumatra 2010'!E51</f>
        <v>467000000</v>
      </c>
      <c r="K1300" s="301">
        <f>I1300+J1300</f>
        <v>758000000</v>
      </c>
      <c r="N1300" s="27">
        <f>J1300/K1300</f>
        <v>0.61609498680738783</v>
      </c>
      <c r="O1300" s="303"/>
      <c r="P1300" s="328">
        <f>'Schippers RD Sumatra 2010'!G52</f>
        <v>26.917160050470699</v>
      </c>
      <c r="R1300" s="304"/>
      <c r="S1300" s="304"/>
      <c r="T1300" s="304"/>
      <c r="U1300" s="304"/>
      <c r="V1300" s="334"/>
      <c r="W1300" s="334"/>
      <c r="X1300" s="334"/>
      <c r="Y1300" s="334"/>
      <c r="Z1300" s="334"/>
      <c r="AA1300" s="326" t="s">
        <v>1498</v>
      </c>
      <c r="AD1300" s="326" t="s">
        <v>1717</v>
      </c>
      <c r="AE1300" s="326" t="s">
        <v>1725</v>
      </c>
      <c r="AG1300" s="326" t="s">
        <v>1707</v>
      </c>
      <c r="AH1300" s="326" t="s">
        <v>1714</v>
      </c>
      <c r="AR1300" s="325"/>
      <c r="AT1300"/>
      <c r="AU1300"/>
      <c r="AV1300"/>
      <c r="AW1300" t="b">
        <v>1</v>
      </c>
      <c r="AX1300" t="b">
        <v>1</v>
      </c>
      <c r="AY1300" t="b">
        <v>1</v>
      </c>
    </row>
    <row r="1301" spans="1:51">
      <c r="A1301" s="277" t="s">
        <v>1216</v>
      </c>
      <c r="B1301" s="273" t="s">
        <v>1478</v>
      </c>
      <c r="C1301" s="273">
        <f>'Schippers RD Sumatra 2010'!B52</f>
        <v>0.35</v>
      </c>
      <c r="D1301" s="302">
        <f>'Schippers RD Sumatra 2010'!C52</f>
        <v>154000000</v>
      </c>
      <c r="H1301" s="336"/>
      <c r="I1301" s="301">
        <f>'Schippers RD Sumatra 2010'!D52</f>
        <v>270000000</v>
      </c>
      <c r="J1301" s="301">
        <f>'Schippers RD Sumatra 2010'!E52</f>
        <v>337000000</v>
      </c>
      <c r="K1301" s="301">
        <f>I1301+J1301</f>
        <v>607000000</v>
      </c>
      <c r="N1301" s="27">
        <f>J1301/K1301</f>
        <v>0.55518945634266881</v>
      </c>
      <c r="O1301" s="303"/>
      <c r="P1301" s="328">
        <f>'Schippers RD Sumatra 2010'!G53</f>
        <v>26.537269807817701</v>
      </c>
      <c r="R1301" s="304"/>
      <c r="S1301" s="304"/>
      <c r="T1301" s="304"/>
      <c r="U1301" s="304"/>
      <c r="V1301" s="334"/>
      <c r="W1301" s="334"/>
      <c r="X1301" s="334"/>
      <c r="Y1301" s="334"/>
      <c r="Z1301" s="334"/>
      <c r="AA1301" s="326" t="s">
        <v>1498</v>
      </c>
      <c r="AD1301" s="326" t="s">
        <v>1717</v>
      </c>
      <c r="AE1301" s="326" t="s">
        <v>1725</v>
      </c>
      <c r="AG1301" s="326" t="s">
        <v>1707</v>
      </c>
      <c r="AH1301" s="326" t="s">
        <v>1714</v>
      </c>
      <c r="AR1301" s="325"/>
      <c r="AT1301"/>
      <c r="AU1301"/>
      <c r="AV1301"/>
      <c r="AW1301" t="b">
        <v>1</v>
      </c>
      <c r="AX1301" t="b">
        <v>1</v>
      </c>
      <c r="AY1301" t="b">
        <v>1</v>
      </c>
    </row>
    <row r="1302" spans="1:51">
      <c r="A1302" s="277" t="s">
        <v>1216</v>
      </c>
      <c r="B1302" s="273" t="s">
        <v>1478</v>
      </c>
      <c r="C1302" s="273">
        <f>'Schippers RD Sumatra 2010'!B54</f>
        <v>0.83</v>
      </c>
      <c r="D1302" s="302">
        <f>'Schippers RD Sumatra 2010'!C54</f>
        <v>36800000</v>
      </c>
      <c r="I1302" s="301">
        <f>'Schippers RD Sumatra 2010'!D54</f>
        <v>307000000</v>
      </c>
      <c r="J1302" s="301">
        <f>'Schippers RD Sumatra 2010'!E54</f>
        <v>852000000</v>
      </c>
      <c r="K1302" s="301">
        <f>I1302+J1302</f>
        <v>1159000000</v>
      </c>
      <c r="N1302" s="27">
        <f>J1302/K1302</f>
        <v>0.73511647972389993</v>
      </c>
      <c r="O1302" s="303"/>
      <c r="P1302" s="328">
        <f>'Schippers RD Sumatra 2010'!G54</f>
        <v>23.5126574338903</v>
      </c>
      <c r="R1302" s="304"/>
      <c r="S1302" s="304"/>
      <c r="T1302" s="304"/>
      <c r="U1302" s="304"/>
      <c r="V1302" s="334"/>
      <c r="W1302" s="334"/>
      <c r="X1302" s="334"/>
      <c r="Y1302" s="334"/>
      <c r="Z1302" s="334"/>
      <c r="AA1302" s="326" t="s">
        <v>1498</v>
      </c>
      <c r="AD1302" s="326" t="s">
        <v>1717</v>
      </c>
      <c r="AE1302" s="326" t="s">
        <v>1725</v>
      </c>
      <c r="AG1302" s="326" t="s">
        <v>1707</v>
      </c>
      <c r="AH1302" s="326" t="s">
        <v>1714</v>
      </c>
      <c r="AR1302" s="325"/>
      <c r="AT1302"/>
      <c r="AU1302"/>
      <c r="AV1302"/>
      <c r="AW1302" t="b">
        <v>1</v>
      </c>
      <c r="AX1302" t="b">
        <v>1</v>
      </c>
      <c r="AY1302" t="b">
        <v>1</v>
      </c>
    </row>
    <row r="1303" spans="1:51">
      <c r="A1303" s="277" t="s">
        <v>1216</v>
      </c>
      <c r="B1303" s="273" t="s">
        <v>1478</v>
      </c>
      <c r="C1303" s="273">
        <f>'Schippers RD Sumatra 2010'!B55</f>
        <v>1.34</v>
      </c>
      <c r="D1303" s="302">
        <f>'Schippers RD Sumatra 2010'!C55</f>
        <v>36400000</v>
      </c>
      <c r="I1303" s="301">
        <f>'Schippers RD Sumatra 2010'!D55</f>
        <v>174000000</v>
      </c>
      <c r="J1303" s="301">
        <f>'Schippers RD Sumatra 2010'!E55</f>
        <v>463000000</v>
      </c>
      <c r="K1303" s="301">
        <f>I1303+J1303</f>
        <v>637000000</v>
      </c>
      <c r="N1303" s="27">
        <f>J1303/K1303</f>
        <v>0.72684458398744112</v>
      </c>
      <c r="O1303" s="303"/>
      <c r="P1303" s="328">
        <f>'Schippers RD Sumatra 2010'!G55</f>
        <v>21.9718751568066</v>
      </c>
      <c r="R1303" s="304"/>
      <c r="S1303" s="304"/>
      <c r="T1303" s="304"/>
      <c r="U1303" s="304"/>
      <c r="V1303" s="334"/>
      <c r="W1303" s="334"/>
      <c r="X1303" s="334"/>
      <c r="Y1303" s="327"/>
      <c r="Z1303" s="334"/>
      <c r="AA1303" s="326" t="s">
        <v>1498</v>
      </c>
      <c r="AD1303" s="326" t="s">
        <v>1717</v>
      </c>
      <c r="AE1303" s="326" t="s">
        <v>1725</v>
      </c>
      <c r="AG1303" s="326" t="s">
        <v>1707</v>
      </c>
      <c r="AH1303" s="326" t="s">
        <v>1714</v>
      </c>
      <c r="AR1303" s="325"/>
      <c r="AT1303"/>
      <c r="AU1303"/>
      <c r="AV1303"/>
      <c r="AW1303" t="b">
        <v>1</v>
      </c>
      <c r="AX1303" t="b">
        <v>1</v>
      </c>
      <c r="AY1303" t="b">
        <v>1</v>
      </c>
    </row>
    <row r="1304" spans="1:51">
      <c r="A1304" s="277" t="s">
        <v>1216</v>
      </c>
      <c r="B1304" s="273" t="s">
        <v>1478</v>
      </c>
      <c r="C1304" s="273">
        <f>'Schippers RD Sumatra 2010'!B56</f>
        <v>1.84</v>
      </c>
      <c r="D1304" s="302">
        <f>'Schippers RD Sumatra 2010'!C56</f>
        <v>25800000</v>
      </c>
      <c r="I1304" s="301">
        <f>'Schippers RD Sumatra 2010'!D56</f>
        <v>53100000</v>
      </c>
      <c r="J1304" s="301">
        <f>'Schippers RD Sumatra 2010'!E56</f>
        <v>211000000</v>
      </c>
      <c r="K1304" s="301">
        <f>I1304+J1304</f>
        <v>264100000</v>
      </c>
      <c r="N1304" s="27">
        <f>J1304/K1304</f>
        <v>0.79893979553199546</v>
      </c>
      <c r="O1304" s="303"/>
      <c r="P1304" s="328">
        <f>'Schippers RD Sumatra 2010'!G56</f>
        <v>20.540982989613099</v>
      </c>
      <c r="R1304" s="304"/>
      <c r="S1304" s="304"/>
      <c r="T1304" s="304"/>
      <c r="U1304" s="304"/>
      <c r="V1304" s="334"/>
      <c r="W1304" s="334"/>
      <c r="X1304" s="334"/>
      <c r="Z1304" s="334"/>
      <c r="AA1304" s="326" t="s">
        <v>1498</v>
      </c>
      <c r="AD1304" s="326" t="s">
        <v>1717</v>
      </c>
      <c r="AE1304" s="326" t="s">
        <v>1725</v>
      </c>
      <c r="AG1304" s="326" t="s">
        <v>1707</v>
      </c>
      <c r="AH1304" s="326" t="s">
        <v>1714</v>
      </c>
      <c r="AR1304" s="325"/>
      <c r="AT1304"/>
      <c r="AU1304"/>
      <c r="AV1304"/>
      <c r="AW1304" t="b">
        <v>1</v>
      </c>
      <c r="AX1304" t="b">
        <v>1</v>
      </c>
      <c r="AY1304" t="b">
        <v>1</v>
      </c>
    </row>
    <row r="1305" spans="1:51">
      <c r="A1305" s="277" t="s">
        <v>1216</v>
      </c>
      <c r="B1305" s="273" t="s">
        <v>1478</v>
      </c>
      <c r="C1305" s="273">
        <f>'Schippers RD Sumatra 2010'!B57</f>
        <v>2.34</v>
      </c>
      <c r="D1305" s="302">
        <f>'Schippers RD Sumatra 2010'!C57</f>
        <v>27000000</v>
      </c>
      <c r="I1305" s="301">
        <f>'Schippers RD Sumatra 2010'!D57</f>
        <v>140000000</v>
      </c>
      <c r="J1305" s="301">
        <f>'Schippers RD Sumatra 2010'!E57</f>
        <v>462000000</v>
      </c>
      <c r="K1305" s="301">
        <f>I1305+J1305</f>
        <v>602000000</v>
      </c>
      <c r="N1305" s="27">
        <f>J1305/K1305</f>
        <v>0.76744186046511631</v>
      </c>
      <c r="O1305" s="303"/>
      <c r="P1305" s="328">
        <f>'Schippers RD Sumatra 2010'!G57</f>
        <v>19.220106377640601</v>
      </c>
      <c r="R1305" s="304"/>
      <c r="S1305" s="304"/>
      <c r="T1305" s="304"/>
      <c r="U1305" s="304"/>
      <c r="V1305" s="334"/>
      <c r="W1305" s="334"/>
      <c r="X1305" s="334"/>
      <c r="Z1305" s="334"/>
      <c r="AA1305" s="326" t="s">
        <v>1498</v>
      </c>
      <c r="AD1305" s="326" t="s">
        <v>1717</v>
      </c>
      <c r="AE1305" s="326" t="s">
        <v>1725</v>
      </c>
      <c r="AG1305" s="326" t="s">
        <v>1707</v>
      </c>
      <c r="AH1305" s="326" t="s">
        <v>1714</v>
      </c>
      <c r="AR1305" s="325"/>
      <c r="AT1305"/>
      <c r="AU1305"/>
      <c r="AV1305"/>
      <c r="AW1305" t="b">
        <v>1</v>
      </c>
      <c r="AX1305" t="b">
        <v>1</v>
      </c>
      <c r="AY1305" t="b">
        <v>1</v>
      </c>
    </row>
    <row r="1306" spans="1:51">
      <c r="A1306" s="277" t="s">
        <v>1216</v>
      </c>
      <c r="B1306" s="273" t="s">
        <v>1478</v>
      </c>
      <c r="C1306" s="273">
        <f>'Schippers RD Sumatra 2010'!B58</f>
        <v>2.84</v>
      </c>
      <c r="D1306" s="302">
        <f>'Schippers RD Sumatra 2010'!C58</f>
        <v>15700000</v>
      </c>
      <c r="I1306" s="301">
        <f>'Schippers RD Sumatra 2010'!D58</f>
        <v>165000000</v>
      </c>
      <c r="J1306" s="301">
        <f>'Schippers RD Sumatra 2010'!E58</f>
        <v>831000000</v>
      </c>
      <c r="K1306" s="301">
        <f>I1306+J1306</f>
        <v>996000000</v>
      </c>
      <c r="N1306" s="27">
        <f>J1306/K1306</f>
        <v>0.83433734939759041</v>
      </c>
      <c r="O1306" s="303"/>
      <c r="P1306" s="328">
        <f>'Schippers RD Sumatra 2010'!G58</f>
        <v>17.074991218826799</v>
      </c>
      <c r="R1306" s="304"/>
      <c r="S1306" s="304"/>
      <c r="T1306" s="304"/>
      <c r="U1306" s="304"/>
      <c r="V1306" s="334"/>
      <c r="W1306" s="334"/>
      <c r="X1306" s="334"/>
      <c r="Z1306" s="334"/>
      <c r="AA1306" s="326" t="s">
        <v>1498</v>
      </c>
      <c r="AD1306" s="326" t="s">
        <v>1717</v>
      </c>
      <c r="AE1306" s="326" t="s">
        <v>1725</v>
      </c>
      <c r="AG1306" s="326" t="s">
        <v>1707</v>
      </c>
      <c r="AH1306" s="326" t="s">
        <v>1714</v>
      </c>
      <c r="AR1306" s="325"/>
      <c r="AT1306"/>
      <c r="AU1306"/>
      <c r="AV1306"/>
      <c r="AW1306" t="b">
        <v>1</v>
      </c>
      <c r="AX1306" t="b">
        <v>1</v>
      </c>
      <c r="AY1306" t="b">
        <v>1</v>
      </c>
    </row>
    <row r="1307" spans="1:51">
      <c r="A1307" s="277" t="s">
        <v>1216</v>
      </c>
      <c r="B1307" s="273" t="s">
        <v>1478</v>
      </c>
      <c r="C1307" s="273">
        <f>'Schippers RD Sumatra 2010'!B59</f>
        <v>3.34</v>
      </c>
      <c r="D1307" s="302">
        <f>'Schippers RD Sumatra 2010'!C59</f>
        <v>19500000</v>
      </c>
      <c r="I1307" s="301">
        <f>'Schippers RD Sumatra 2010'!D59</f>
        <v>132000000</v>
      </c>
      <c r="J1307" s="301">
        <f>'Schippers RD Sumatra 2010'!E59</f>
        <v>613000000</v>
      </c>
      <c r="K1307" s="301">
        <f>I1307+J1307</f>
        <v>745000000</v>
      </c>
      <c r="N1307" s="27">
        <f>J1307/K1307</f>
        <v>0.82281879194630869</v>
      </c>
      <c r="O1307" s="303"/>
      <c r="P1307" s="328">
        <f>'Schippers RD Sumatra 2010'!G59</f>
        <v>15.0946485021827</v>
      </c>
      <c r="R1307" s="304"/>
      <c r="S1307" s="304"/>
      <c r="T1307" s="304"/>
      <c r="U1307" s="304"/>
      <c r="V1307" s="334"/>
      <c r="W1307" s="334"/>
      <c r="X1307" s="334"/>
      <c r="Y1307" s="328"/>
      <c r="Z1307" s="334"/>
      <c r="AA1307" s="326" t="s">
        <v>1498</v>
      </c>
      <c r="AD1307" s="326" t="s">
        <v>1717</v>
      </c>
      <c r="AE1307" s="326" t="s">
        <v>1725</v>
      </c>
      <c r="AG1307" s="326" t="s">
        <v>1707</v>
      </c>
      <c r="AH1307" s="326" t="s">
        <v>1714</v>
      </c>
      <c r="AR1307" s="325"/>
      <c r="AT1307"/>
      <c r="AU1307"/>
      <c r="AV1307"/>
      <c r="AW1307" t="b">
        <v>1</v>
      </c>
      <c r="AX1307" t="b">
        <v>1</v>
      </c>
      <c r="AY1307" t="b">
        <v>1</v>
      </c>
    </row>
    <row r="1308" spans="1:51">
      <c r="A1308" s="277" t="s">
        <v>1216</v>
      </c>
      <c r="B1308" s="273" t="s">
        <v>1478</v>
      </c>
      <c r="C1308" s="273">
        <f>'Schippers RD Sumatra 2010'!B60</f>
        <v>3.84</v>
      </c>
      <c r="D1308" s="302">
        <f>'Schippers RD Sumatra 2010'!C60</f>
        <v>22000000</v>
      </c>
      <c r="I1308" s="301">
        <f>'Schippers RD Sumatra 2010'!D60</f>
        <v>130000000</v>
      </c>
      <c r="J1308" s="301">
        <f>'Schippers RD Sumatra 2010'!E60</f>
        <v>642000000</v>
      </c>
      <c r="K1308" s="301">
        <f>I1308+J1308</f>
        <v>772000000</v>
      </c>
      <c r="N1308" s="27">
        <f>J1308/K1308</f>
        <v>0.83160621761658027</v>
      </c>
      <c r="O1308" s="303"/>
      <c r="P1308" s="328">
        <f>'Schippers RD Sumatra 2010'!G60</f>
        <v>13.773646444879301</v>
      </c>
      <c r="R1308" s="304"/>
      <c r="S1308" s="304"/>
      <c r="T1308" s="304"/>
      <c r="U1308" s="304"/>
      <c r="V1308" s="334"/>
      <c r="W1308" s="334"/>
      <c r="X1308" s="334"/>
      <c r="Z1308" s="334"/>
      <c r="AA1308" s="326" t="s">
        <v>1498</v>
      </c>
      <c r="AD1308" s="326" t="s">
        <v>1717</v>
      </c>
      <c r="AE1308" s="326" t="s">
        <v>1725</v>
      </c>
      <c r="AG1308" s="326" t="s">
        <v>1707</v>
      </c>
      <c r="AH1308" s="326" t="s">
        <v>1714</v>
      </c>
      <c r="AR1308" s="325"/>
      <c r="AT1308"/>
      <c r="AU1308"/>
      <c r="AV1308"/>
      <c r="AW1308" t="b">
        <v>1</v>
      </c>
      <c r="AX1308" t="b">
        <v>1</v>
      </c>
      <c r="AY1308" t="b">
        <v>1</v>
      </c>
    </row>
    <row r="1309" spans="1:51">
      <c r="A1309" s="277" t="s">
        <v>1216</v>
      </c>
      <c r="B1309" s="273" t="s">
        <v>1478</v>
      </c>
      <c r="C1309" s="273">
        <f>'Schippers RD Sumatra 2010'!B61</f>
        <v>4.54</v>
      </c>
      <c r="D1309" s="302">
        <f>'Schippers RD Sumatra 2010'!C61</f>
        <v>8170000</v>
      </c>
      <c r="I1309" s="301">
        <f>'Schippers RD Sumatra 2010'!D61</f>
        <v>101000000</v>
      </c>
      <c r="J1309" s="301">
        <f>'Schippers RD Sumatra 2010'!E61</f>
        <v>337000000</v>
      </c>
      <c r="K1309" s="301">
        <f>I1309+J1309</f>
        <v>438000000</v>
      </c>
      <c r="N1309" s="27">
        <f>J1309/K1309</f>
        <v>0.76940639269406397</v>
      </c>
      <c r="O1309" s="303"/>
      <c r="P1309" s="328">
        <f>'Schippers RD Sumatra 2010'!G61</f>
        <v>11.462818003913799</v>
      </c>
      <c r="R1309" s="304"/>
      <c r="S1309" s="304"/>
      <c r="T1309" s="304"/>
      <c r="U1309" s="304"/>
      <c r="V1309" s="334"/>
      <c r="W1309" s="334"/>
      <c r="X1309" s="334"/>
      <c r="Z1309" s="334"/>
      <c r="AA1309" s="326" t="s">
        <v>1498</v>
      </c>
      <c r="AD1309" s="326" t="s">
        <v>1717</v>
      </c>
      <c r="AE1309" s="326" t="s">
        <v>1725</v>
      </c>
      <c r="AG1309" s="326" t="s">
        <v>1707</v>
      </c>
      <c r="AH1309" s="326" t="s">
        <v>1714</v>
      </c>
      <c r="AR1309" s="325"/>
      <c r="AT1309"/>
      <c r="AU1309"/>
      <c r="AV1309"/>
      <c r="AW1309" t="b">
        <v>1</v>
      </c>
      <c r="AX1309" t="b">
        <v>1</v>
      </c>
      <c r="AY1309" t="b">
        <v>1</v>
      </c>
    </row>
    <row r="1310" spans="1:51">
      <c r="A1310" s="277" t="s">
        <v>1216</v>
      </c>
      <c r="B1310" s="273" t="s">
        <v>1478</v>
      </c>
      <c r="C1310" s="273">
        <f>'Schippers RD Sumatra 2010'!B62</f>
        <v>5.04</v>
      </c>
      <c r="D1310" s="302">
        <f>'Schippers RD Sumatra 2010'!C62</f>
        <v>5650000</v>
      </c>
      <c r="I1310" s="301">
        <f>'Schippers RD Sumatra 2010'!D62</f>
        <v>56600000</v>
      </c>
      <c r="J1310" s="301">
        <f>'Schippers RD Sumatra 2010'!E62</f>
        <v>263000000</v>
      </c>
      <c r="K1310" s="301">
        <f>I1310+J1310</f>
        <v>319600000</v>
      </c>
      <c r="N1310" s="27">
        <f>J1310/K1310</f>
        <v>0.8229036295369212</v>
      </c>
      <c r="O1310" s="303"/>
      <c r="P1310" s="328">
        <f>'Schippers RD Sumatra 2010'!G62</f>
        <v>9.9220357268302397</v>
      </c>
      <c r="R1310" s="304"/>
      <c r="S1310" s="304"/>
      <c r="T1310" s="304"/>
      <c r="U1310" s="304"/>
      <c r="V1310" s="334"/>
      <c r="W1310" s="334"/>
      <c r="X1310" s="334"/>
      <c r="Z1310" s="334"/>
      <c r="AA1310" s="326" t="s">
        <v>1498</v>
      </c>
      <c r="AD1310" s="326" t="s">
        <v>1717</v>
      </c>
      <c r="AE1310" s="326" t="s">
        <v>1725</v>
      </c>
      <c r="AG1310" s="326" t="s">
        <v>1707</v>
      </c>
      <c r="AH1310" s="326" t="s">
        <v>1714</v>
      </c>
      <c r="AR1310" s="325"/>
      <c r="AT1310"/>
      <c r="AU1310"/>
      <c r="AV1310"/>
      <c r="AW1310" t="b">
        <v>1</v>
      </c>
      <c r="AX1310" t="b">
        <v>1</v>
      </c>
      <c r="AY1310" t="b">
        <v>1</v>
      </c>
    </row>
    <row r="1311" spans="1:51">
      <c r="A1311" s="277" t="s">
        <v>1216</v>
      </c>
      <c r="B1311" s="273" t="s">
        <v>1478</v>
      </c>
      <c r="C1311" s="273">
        <f>'Schippers RD Sumatra 2010'!B63</f>
        <v>5.54</v>
      </c>
      <c r="D1311" s="302">
        <f>'Schippers RD Sumatra 2010'!C63</f>
        <v>1570000</v>
      </c>
      <c r="I1311" s="301">
        <f>'Schippers RD Sumatra 2010'!D63</f>
        <v>91100000</v>
      </c>
      <c r="J1311" s="301">
        <f>'Schippers RD Sumatra 2010'!E63</f>
        <v>196000000</v>
      </c>
      <c r="K1311" s="301">
        <f>I1311+J1311</f>
        <v>287100000</v>
      </c>
      <c r="N1311" s="27">
        <f>J1311/K1311</f>
        <v>0.68268895855102751</v>
      </c>
      <c r="O1311" s="303"/>
      <c r="P1311" s="328">
        <f>'Schippers RD Sumatra 2010'!G63</f>
        <v>8.2164182849114304</v>
      </c>
      <c r="R1311" s="304"/>
      <c r="S1311" s="304"/>
      <c r="T1311" s="304"/>
      <c r="U1311" s="304"/>
      <c r="V1311" s="334"/>
      <c r="W1311" s="334"/>
      <c r="X1311" s="334"/>
      <c r="Y1311" s="326"/>
      <c r="Z1311" s="334"/>
      <c r="AA1311" s="326" t="s">
        <v>1498</v>
      </c>
      <c r="AD1311" s="326" t="s">
        <v>1717</v>
      </c>
      <c r="AE1311" s="326" t="s">
        <v>1725</v>
      </c>
      <c r="AG1311" s="326" t="s">
        <v>1707</v>
      </c>
      <c r="AH1311" s="326" t="s">
        <v>1714</v>
      </c>
      <c r="AR1311" s="325"/>
      <c r="AT1311"/>
      <c r="AU1311"/>
      <c r="AV1311"/>
      <c r="AW1311" t="b">
        <v>1</v>
      </c>
      <c r="AX1311" t="b">
        <v>1</v>
      </c>
      <c r="AY1311" t="b">
        <v>1</v>
      </c>
    </row>
    <row r="1312" spans="1:51">
      <c r="A1312" s="277" t="s">
        <v>1216</v>
      </c>
      <c r="B1312" s="273" t="s">
        <v>1478</v>
      </c>
      <c r="C1312" s="273">
        <f>'Schippers RD Sumatra 2010'!B64</f>
        <v>6.04</v>
      </c>
      <c r="D1312" s="302">
        <f>'Schippers RD Sumatra 2010'!C64</f>
        <v>3140000</v>
      </c>
      <c r="I1312" s="301">
        <f>'Schippers RD Sumatra 2010'!D64</f>
        <v>64100000</v>
      </c>
      <c r="J1312" s="301">
        <f>'Schippers RD Sumatra 2010'!E64</f>
        <v>341000000</v>
      </c>
      <c r="K1312" s="301">
        <f>I1312+J1312</f>
        <v>405100000</v>
      </c>
      <c r="N1312" s="27">
        <f>J1312/K1312</f>
        <v>0.8417674648235004</v>
      </c>
      <c r="O1312" s="303"/>
      <c r="P1312" s="328">
        <f>'Schippers RD Sumatra 2010'!G64</f>
        <v>7.1152591700536796</v>
      </c>
      <c r="R1312" s="304"/>
      <c r="S1312" s="304"/>
      <c r="T1312" s="304"/>
      <c r="U1312" s="304"/>
      <c r="V1312" s="334"/>
      <c r="W1312" s="334"/>
      <c r="X1312" s="334"/>
      <c r="Y1312" s="334"/>
      <c r="Z1312" s="334"/>
      <c r="AA1312" s="326" t="s">
        <v>1498</v>
      </c>
      <c r="AD1312" s="326" t="s">
        <v>1717</v>
      </c>
      <c r="AE1312" s="326" t="s">
        <v>1725</v>
      </c>
      <c r="AG1312" s="326" t="s">
        <v>1707</v>
      </c>
      <c r="AH1312" s="326" t="s">
        <v>1714</v>
      </c>
      <c r="AR1312" s="325"/>
      <c r="AT1312"/>
      <c r="AU1312"/>
      <c r="AV1312"/>
      <c r="AW1312" t="b">
        <v>1</v>
      </c>
      <c r="AX1312" t="b">
        <v>1</v>
      </c>
      <c r="AY1312" t="b">
        <v>1</v>
      </c>
    </row>
    <row r="1313" spans="1:51">
      <c r="A1313" s="277" t="s">
        <v>1216</v>
      </c>
      <c r="B1313" s="273" t="s">
        <v>1478</v>
      </c>
      <c r="C1313" s="273">
        <f>'Schippers RD Sumatra 2010'!B65</f>
        <v>6.54</v>
      </c>
      <c r="D1313" s="302">
        <f>'Schippers RD Sumatra 2010'!C65</f>
        <v>628000</v>
      </c>
      <c r="I1313" s="301">
        <f>'Schippers RD Sumatra 2010'!D65</f>
        <v>42000000</v>
      </c>
      <c r="J1313" s="301">
        <f>'Schippers RD Sumatra 2010'!E65</f>
        <v>188000000</v>
      </c>
      <c r="K1313" s="301">
        <f>I1313+J1313</f>
        <v>230000000</v>
      </c>
      <c r="N1313" s="27">
        <f>J1313/K1313</f>
        <v>0.81739130434782614</v>
      </c>
      <c r="O1313" s="303"/>
      <c r="P1313" s="328">
        <f>'Schippers RD Sumatra 2010'!G65</f>
        <v>5.5195318380249798</v>
      </c>
      <c r="R1313" s="304"/>
      <c r="S1313" s="304"/>
      <c r="T1313" s="304"/>
      <c r="U1313" s="304"/>
      <c r="V1313" s="334"/>
      <c r="W1313" s="334"/>
      <c r="X1313" s="334"/>
      <c r="Y1313" s="334"/>
      <c r="Z1313" s="334"/>
      <c r="AA1313" s="326" t="s">
        <v>1498</v>
      </c>
      <c r="AD1313" s="326" t="s">
        <v>1717</v>
      </c>
      <c r="AE1313" s="326" t="s">
        <v>1725</v>
      </c>
      <c r="AG1313" s="326" t="s">
        <v>1707</v>
      </c>
      <c r="AH1313" s="326" t="s">
        <v>1714</v>
      </c>
      <c r="AR1313" s="325"/>
      <c r="AT1313"/>
      <c r="AU1313"/>
      <c r="AV1313"/>
      <c r="AW1313" t="b">
        <v>1</v>
      </c>
      <c r="AX1313" t="b">
        <v>1</v>
      </c>
      <c r="AY1313" t="b">
        <v>1</v>
      </c>
    </row>
    <row r="1314" spans="1:51">
      <c r="A1314" s="277" t="s">
        <v>1216</v>
      </c>
      <c r="B1314" s="273" t="s">
        <v>1478</v>
      </c>
      <c r="C1314" s="273">
        <f>'Schippers RD Sumatra 2010'!B66</f>
        <v>7.04</v>
      </c>
      <c r="D1314" s="302">
        <f>'Schippers RD Sumatra 2010'!C66</f>
        <v>1260000</v>
      </c>
      <c r="I1314" s="301">
        <f>'Schippers RD Sumatra 2010'!D66</f>
        <v>77900000</v>
      </c>
      <c r="J1314" s="301">
        <f>'Schippers RD Sumatra 2010'!E66</f>
        <v>92400000</v>
      </c>
      <c r="K1314" s="301">
        <f>I1314+J1314</f>
        <v>170300000</v>
      </c>
      <c r="N1314" s="27">
        <f>J1314/K1314</f>
        <v>0.54257193188490893</v>
      </c>
      <c r="O1314" s="303"/>
      <c r="P1314" s="328">
        <f>'Schippers RD Sumatra 2010'!G66</f>
        <v>4.2534748356666103</v>
      </c>
      <c r="R1314" s="304"/>
      <c r="S1314" s="304"/>
      <c r="T1314" s="304"/>
      <c r="U1314" s="304"/>
      <c r="V1314" s="334"/>
      <c r="W1314" s="334"/>
      <c r="X1314" s="334"/>
      <c r="Y1314" s="334"/>
      <c r="Z1314" s="334"/>
      <c r="AA1314" s="326" t="s">
        <v>1498</v>
      </c>
      <c r="AD1314" s="326" t="s">
        <v>1717</v>
      </c>
      <c r="AE1314" s="326" t="s">
        <v>1725</v>
      </c>
      <c r="AG1314" s="326" t="s">
        <v>1707</v>
      </c>
      <c r="AH1314" s="326" t="s">
        <v>1714</v>
      </c>
      <c r="AR1314" s="325"/>
      <c r="AT1314"/>
      <c r="AU1314"/>
      <c r="AV1314"/>
      <c r="AW1314" t="b">
        <v>1</v>
      </c>
      <c r="AX1314" t="b">
        <v>1</v>
      </c>
      <c r="AY1314" t="b">
        <v>1</v>
      </c>
    </row>
    <row r="1315" spans="1:51">
      <c r="A1315" s="277" t="s">
        <v>1216</v>
      </c>
      <c r="B1315" s="273" t="s">
        <v>1478</v>
      </c>
      <c r="C1315" s="273">
        <f>'Schippers RD Sumatra 2010'!B67</f>
        <v>7.54</v>
      </c>
      <c r="D1315" s="302">
        <f>'Schippers RD Sumatra 2010'!C67</f>
        <v>3550000</v>
      </c>
      <c r="I1315" s="301">
        <f>'Schippers RD Sumatra 2010'!D67</f>
        <v>191000000</v>
      </c>
      <c r="J1315" s="301">
        <f>'Schippers RD Sumatra 2010'!E67</f>
        <v>117000000</v>
      </c>
      <c r="K1315" s="301">
        <f>I1315+J1315</f>
        <v>308000000</v>
      </c>
      <c r="N1315" s="27">
        <f>J1315/K1315</f>
        <v>0.37987012987012986</v>
      </c>
      <c r="O1315" s="303"/>
      <c r="P1315" s="328">
        <f>'Schippers RD Sumatra 2010'!G67</f>
        <v>3.0972452205328902</v>
      </c>
      <c r="R1315" s="304"/>
      <c r="S1315" s="304"/>
      <c r="T1315" s="304"/>
      <c r="U1315" s="304"/>
      <c r="V1315" s="334"/>
      <c r="W1315" s="334"/>
      <c r="X1315" s="334"/>
      <c r="Y1315" s="334"/>
      <c r="Z1315" s="334"/>
      <c r="AA1315" s="326" t="s">
        <v>1498</v>
      </c>
      <c r="AD1315" s="326" t="s">
        <v>1717</v>
      </c>
      <c r="AE1315" s="326" t="s">
        <v>1725</v>
      </c>
      <c r="AG1315" s="326" t="s">
        <v>1707</v>
      </c>
      <c r="AH1315" s="326" t="s">
        <v>1714</v>
      </c>
      <c r="AR1315" s="325"/>
      <c r="AT1315"/>
      <c r="AU1315"/>
      <c r="AV1315"/>
      <c r="AW1315" t="b">
        <v>1</v>
      </c>
      <c r="AX1315" t="b">
        <v>1</v>
      </c>
      <c r="AY1315" t="b">
        <v>1</v>
      </c>
    </row>
    <row r="1316" spans="1:51">
      <c r="A1316" s="277" t="s">
        <v>1216</v>
      </c>
      <c r="B1316" s="273" t="s">
        <v>1478</v>
      </c>
      <c r="C1316" s="273">
        <f>'Schippers RD Sumatra 2010'!B68</f>
        <v>8.0399999999999991</v>
      </c>
      <c r="D1316" s="302">
        <f>'Schippers RD Sumatra 2010'!C68</f>
        <v>5320000</v>
      </c>
      <c r="H1316" s="336"/>
      <c r="I1316" s="301">
        <f>'Schippers RD Sumatra 2010'!D68</f>
        <v>174000000</v>
      </c>
      <c r="J1316" s="301">
        <f>'Schippers RD Sumatra 2010'!E68</f>
        <v>147000000</v>
      </c>
      <c r="K1316" s="301">
        <f>I1316+J1316</f>
        <v>321000000</v>
      </c>
      <c r="N1316" s="27">
        <f>J1316/K1316</f>
        <v>0.45794392523364486</v>
      </c>
      <c r="O1316" s="303"/>
      <c r="P1316" s="328">
        <f>'Schippers RD Sumatra 2010'!G68</f>
        <v>1.9412037733955501</v>
      </c>
      <c r="R1316" s="304"/>
      <c r="S1316" s="304"/>
      <c r="T1316" s="304"/>
      <c r="U1316" s="304"/>
      <c r="V1316" s="334"/>
      <c r="W1316" s="334"/>
      <c r="X1316" s="334"/>
      <c r="Y1316" s="334"/>
      <c r="Z1316" s="334"/>
      <c r="AA1316" s="326" t="s">
        <v>1498</v>
      </c>
      <c r="AD1316" s="326" t="s">
        <v>1717</v>
      </c>
      <c r="AE1316" s="326" t="s">
        <v>1725</v>
      </c>
      <c r="AG1316" s="326" t="s">
        <v>1707</v>
      </c>
      <c r="AH1316" s="326" t="s">
        <v>1714</v>
      </c>
      <c r="AR1316" s="325"/>
      <c r="AT1316"/>
      <c r="AU1316"/>
      <c r="AV1316"/>
      <c r="AW1316" t="b">
        <v>1</v>
      </c>
      <c r="AX1316" t="b">
        <v>1</v>
      </c>
      <c r="AY1316" t="b">
        <v>1</v>
      </c>
    </row>
    <row r="1317" spans="1:51">
      <c r="A1317" s="277" t="s">
        <v>1216</v>
      </c>
      <c r="B1317" s="273" t="s">
        <v>1478</v>
      </c>
      <c r="C1317" s="273">
        <f>'Schippers RD Sumatra 2010'!B69</f>
        <v>8.5399999999999991</v>
      </c>
      <c r="D1317" s="302">
        <f>'Schippers RD Sumatra 2010'!C69</f>
        <v>1330000</v>
      </c>
      <c r="I1317" s="301">
        <f>'Schippers RD Sumatra 2010'!D69</f>
        <v>84300000</v>
      </c>
      <c r="J1317" s="301">
        <f>'Schippers RD Sumatra 2010'!E69</f>
        <v>114000000</v>
      </c>
      <c r="K1317" s="301">
        <f>I1317+J1317</f>
        <v>198300000</v>
      </c>
      <c r="N1317" s="27">
        <f>J1317/K1317</f>
        <v>0.5748865355521936</v>
      </c>
      <c r="O1317" s="303"/>
      <c r="P1317" s="328">
        <f>'Schippers RD Sumatra 2010'!G69</f>
        <v>0.94993476842791802</v>
      </c>
      <c r="R1317" s="304"/>
      <c r="S1317" s="304"/>
      <c r="T1317" s="304"/>
      <c r="U1317" s="304"/>
      <c r="V1317" s="334"/>
      <c r="W1317" s="334"/>
      <c r="X1317" s="334"/>
      <c r="Y1317" s="334"/>
      <c r="Z1317" s="334"/>
      <c r="AA1317" s="326" t="s">
        <v>1498</v>
      </c>
      <c r="AD1317" s="326" t="s">
        <v>1717</v>
      </c>
      <c r="AE1317" s="326" t="s">
        <v>1725</v>
      </c>
      <c r="AG1317" s="326" t="s">
        <v>1707</v>
      </c>
      <c r="AH1317" s="326" t="s">
        <v>1714</v>
      </c>
      <c r="AR1317" s="325"/>
      <c r="AT1317"/>
      <c r="AU1317"/>
      <c r="AV1317"/>
      <c r="AW1317" t="b">
        <v>1</v>
      </c>
      <c r="AX1317" t="b">
        <v>1</v>
      </c>
      <c r="AY1317" t="b">
        <v>1</v>
      </c>
    </row>
    <row r="1318" spans="1:51">
      <c r="A1318" s="277" t="s">
        <v>1216</v>
      </c>
      <c r="B1318" s="273" t="s">
        <v>1478</v>
      </c>
      <c r="C1318" s="273">
        <f>'Schippers RD Sumatra 2010'!B70</f>
        <v>9.0399999999999991</v>
      </c>
      <c r="D1318" s="302">
        <f>'Schippers RD Sumatra 2010'!C70</f>
        <v>444000</v>
      </c>
      <c r="I1318" s="301">
        <f>'Schippers RD Sumatra 2010'!D70</f>
        <v>47700000</v>
      </c>
      <c r="J1318" s="301">
        <f>'Schippers RD Sumatra 2010'!E70</f>
        <v>49300000</v>
      </c>
      <c r="K1318" s="301">
        <f>I1318+J1318</f>
        <v>97000000</v>
      </c>
      <c r="N1318" s="27">
        <f>J1318/K1318</f>
        <v>0.50824742268041234</v>
      </c>
      <c r="O1318" s="303"/>
      <c r="P1318" s="328">
        <f>'Schippers RD Sumatra 2010'!G70</f>
        <v>0.178383260575041</v>
      </c>
      <c r="R1318" s="304"/>
      <c r="S1318" s="304"/>
      <c r="T1318" s="304"/>
      <c r="U1318" s="304"/>
      <c r="V1318" s="334"/>
      <c r="W1318" s="334"/>
      <c r="X1318" s="334"/>
      <c r="Y1318" s="334"/>
      <c r="Z1318" s="334"/>
      <c r="AA1318" s="326" t="s">
        <v>1498</v>
      </c>
      <c r="AD1318" s="326" t="s">
        <v>1717</v>
      </c>
      <c r="AE1318" s="326" t="s">
        <v>1725</v>
      </c>
      <c r="AG1318" s="326" t="s">
        <v>1707</v>
      </c>
      <c r="AH1318" s="326" t="s">
        <v>1714</v>
      </c>
      <c r="AR1318" s="325"/>
      <c r="AT1318"/>
      <c r="AU1318"/>
      <c r="AV1318"/>
      <c r="AW1318" t="b">
        <v>1</v>
      </c>
      <c r="AX1318" t="b">
        <v>1</v>
      </c>
      <c r="AY1318" t="b">
        <v>1</v>
      </c>
    </row>
    <row r="1319" spans="1:51">
      <c r="A1319" s="277" t="s">
        <v>1361</v>
      </c>
      <c r="B1319" s="328" t="s">
        <v>104</v>
      </c>
      <c r="C1319" s="273">
        <f>'Schippers RD Namibia 2012'!B2</f>
        <v>0.01</v>
      </c>
      <c r="D1319" s="302">
        <f>'Schippers RD Namibia 2012'!C2</f>
        <v>7650000000</v>
      </c>
      <c r="E1319" s="301">
        <f>'Schippers RD Namibia 2012'!F2</f>
        <v>424000000</v>
      </c>
      <c r="F1319" s="301">
        <f>'Schippers RD Namibia 2012'!G2</f>
        <v>19600000</v>
      </c>
      <c r="G1319" s="301">
        <f>E1319+F1319</f>
        <v>443600000</v>
      </c>
      <c r="H1319" s="27">
        <f>G1319/D1319</f>
        <v>5.7986928104575161E-2</v>
      </c>
      <c r="I1319" s="301">
        <f>'Schippers RD Namibia 2012'!H2</f>
        <v>109000000</v>
      </c>
      <c r="J1319" s="301">
        <f>'Schippers RD Namibia 2012'!I2</f>
        <v>27800000</v>
      </c>
      <c r="K1319" s="301">
        <f>I1319+J1319</f>
        <v>136800000</v>
      </c>
      <c r="L1319" s="301">
        <f>'Schippers RD Namibia 2012'!R2</f>
        <v>139000000</v>
      </c>
      <c r="M1319" s="27">
        <f>F1319/G1319</f>
        <v>4.4183949504057712E-2</v>
      </c>
      <c r="N1319" s="27">
        <f>J1319/K1319</f>
        <v>0.20321637426900585</v>
      </c>
      <c r="O1319" s="303" t="s">
        <v>71</v>
      </c>
      <c r="P1319" s="328"/>
      <c r="R1319" s="304" t="s">
        <v>1278</v>
      </c>
      <c r="S1319" s="304" t="s">
        <v>141</v>
      </c>
      <c r="T1319" s="304" t="s">
        <v>145</v>
      </c>
      <c r="U1319" s="304" t="s">
        <v>145</v>
      </c>
      <c r="V1319" s="313">
        <v>0.55000000000000004</v>
      </c>
      <c r="W1319" s="313">
        <v>0.55000000000000004</v>
      </c>
      <c r="X1319" s="306" t="s">
        <v>248</v>
      </c>
      <c r="Y1319" s="334" t="s">
        <v>96</v>
      </c>
      <c r="Z1319" s="314" t="s">
        <v>100</v>
      </c>
      <c r="AA1319" s="326" t="s">
        <v>1498</v>
      </c>
      <c r="AB1319" s="334" t="s">
        <v>1739</v>
      </c>
      <c r="AC1319" s="334" t="s">
        <v>1702</v>
      </c>
      <c r="AD1319" s="326" t="s">
        <v>1717</v>
      </c>
      <c r="AE1319" s="326" t="s">
        <v>1725</v>
      </c>
      <c r="AG1319" s="326" t="s">
        <v>1707</v>
      </c>
      <c r="AH1319" s="326" t="s">
        <v>1714</v>
      </c>
      <c r="AQ1319">
        <v>120</v>
      </c>
      <c r="AR1319" s="325"/>
      <c r="AT1319"/>
      <c r="AU1319"/>
      <c r="AV1319"/>
      <c r="AW1319" t="b">
        <v>1</v>
      </c>
      <c r="AX1319" t="b">
        <v>1</v>
      </c>
      <c r="AY1319" t="b">
        <v>1</v>
      </c>
    </row>
    <row r="1320" spans="1:51">
      <c r="A1320" s="277" t="s">
        <v>1361</v>
      </c>
      <c r="B1320" s="328" t="s">
        <v>104</v>
      </c>
      <c r="C1320" s="273">
        <f>'Schippers RD Namibia 2012'!B3</f>
        <v>0.03</v>
      </c>
      <c r="D1320" s="302">
        <f>'Schippers RD Namibia 2012'!C3</f>
        <v>9580000000</v>
      </c>
      <c r="E1320" s="301">
        <f>'Schippers RD Namibia 2012'!F3</f>
        <v>537000000</v>
      </c>
      <c r="F1320" s="301">
        <f>'Schippers RD Namibia 2012'!G3</f>
        <v>203000000</v>
      </c>
      <c r="G1320" s="301">
        <f>E1320+F1320</f>
        <v>740000000</v>
      </c>
      <c r="H1320" s="27">
        <f>G1320/D1320</f>
        <v>7.724425887265135E-2</v>
      </c>
      <c r="I1320" s="301">
        <f>'Schippers RD Namibia 2012'!H3</f>
        <v>139000000</v>
      </c>
      <c r="J1320" s="301">
        <f>'Schippers RD Namibia 2012'!I3</f>
        <v>61700000</v>
      </c>
      <c r="K1320" s="301">
        <f>I1320+J1320</f>
        <v>200700000</v>
      </c>
      <c r="L1320" s="301">
        <f>'Schippers RD Namibia 2012'!R3</f>
        <v>340000000</v>
      </c>
      <c r="M1320" s="27">
        <f>F1320/G1320</f>
        <v>0.2743243243243243</v>
      </c>
      <c r="N1320" s="27">
        <f>J1320/K1320</f>
        <v>0.30742401594419533</v>
      </c>
      <c r="O1320" s="303" t="s">
        <v>71</v>
      </c>
      <c r="P1320" s="328"/>
      <c r="R1320" s="304" t="s">
        <v>1278</v>
      </c>
      <c r="S1320" s="304" t="s">
        <v>141</v>
      </c>
      <c r="T1320" s="304" t="s">
        <v>145</v>
      </c>
      <c r="U1320" s="304" t="s">
        <v>145</v>
      </c>
      <c r="V1320" s="313">
        <v>0.55000000000000004</v>
      </c>
      <c r="W1320" s="313">
        <v>0.55000000000000004</v>
      </c>
      <c r="X1320" s="306" t="s">
        <v>248</v>
      </c>
      <c r="Y1320" s="334" t="s">
        <v>96</v>
      </c>
      <c r="Z1320" s="314" t="s">
        <v>100</v>
      </c>
      <c r="AA1320" s="326" t="s">
        <v>1498</v>
      </c>
      <c r="AB1320" s="334" t="s">
        <v>1739</v>
      </c>
      <c r="AC1320" s="334" t="s">
        <v>1702</v>
      </c>
      <c r="AD1320" s="326" t="s">
        <v>1717</v>
      </c>
      <c r="AE1320" s="326" t="s">
        <v>1725</v>
      </c>
      <c r="AG1320" s="326" t="s">
        <v>1707</v>
      </c>
      <c r="AH1320" s="326" t="s">
        <v>1714</v>
      </c>
      <c r="AQ1320">
        <v>120</v>
      </c>
      <c r="AR1320" s="325"/>
      <c r="AT1320"/>
      <c r="AU1320"/>
      <c r="AV1320"/>
      <c r="AW1320" t="b">
        <v>1</v>
      </c>
      <c r="AX1320" t="b">
        <v>1</v>
      </c>
      <c r="AY1320" t="b">
        <v>1</v>
      </c>
    </row>
    <row r="1321" spans="1:51">
      <c r="A1321" s="277" t="s">
        <v>1328</v>
      </c>
      <c r="B1321" s="328" t="s">
        <v>104</v>
      </c>
      <c r="C1321" s="273">
        <f>'Schippers RD Namibia 2012'!B4</f>
        <v>0.05</v>
      </c>
      <c r="D1321" s="302">
        <f>'Schippers RD Namibia 2012'!C4</f>
        <v>9370000000</v>
      </c>
      <c r="E1321" s="301">
        <f>'Schippers RD Namibia 2012'!F4</f>
        <v>301000000</v>
      </c>
      <c r="F1321" s="301">
        <f>'Schippers RD Namibia 2012'!G4</f>
        <v>96000000</v>
      </c>
      <c r="G1321" s="301">
        <f>E1321+F1321</f>
        <v>397000000</v>
      </c>
      <c r="H1321" s="27">
        <f>G1321/D1321</f>
        <v>4.2369263607257207E-2</v>
      </c>
      <c r="I1321" s="301">
        <f>'Schippers RD Namibia 2012'!H4</f>
        <v>235000000</v>
      </c>
      <c r="J1321" s="301">
        <f>'Schippers RD Namibia 2012'!I4</f>
        <v>161000000</v>
      </c>
      <c r="K1321" s="301">
        <f>I1321+J1321</f>
        <v>396000000</v>
      </c>
      <c r="L1321" s="301">
        <f>'Schippers RD Namibia 2012'!R4</f>
        <v>994000000</v>
      </c>
      <c r="M1321" s="27">
        <f>F1321/G1321</f>
        <v>0.24181360201511334</v>
      </c>
      <c r="N1321" s="27">
        <f>J1321/K1321</f>
        <v>0.40656565656565657</v>
      </c>
      <c r="O1321" s="303" t="s">
        <v>71</v>
      </c>
      <c r="P1321" s="328"/>
      <c r="R1321" s="304" t="s">
        <v>1278</v>
      </c>
      <c r="S1321" s="304" t="s">
        <v>141</v>
      </c>
      <c r="T1321" s="304" t="s">
        <v>145</v>
      </c>
      <c r="U1321" s="304" t="s">
        <v>145</v>
      </c>
      <c r="V1321" s="313">
        <v>0.55000000000000004</v>
      </c>
      <c r="W1321" s="313">
        <v>0.55000000000000004</v>
      </c>
      <c r="X1321" s="306" t="s">
        <v>248</v>
      </c>
      <c r="Y1321" s="334" t="s">
        <v>96</v>
      </c>
      <c r="Z1321" s="314" t="s">
        <v>100</v>
      </c>
      <c r="AA1321" s="326" t="s">
        <v>1498</v>
      </c>
      <c r="AB1321" s="334" t="s">
        <v>1739</v>
      </c>
      <c r="AC1321" s="334" t="s">
        <v>1702</v>
      </c>
      <c r="AD1321" s="326" t="s">
        <v>1717</v>
      </c>
      <c r="AE1321" s="326" t="s">
        <v>1725</v>
      </c>
      <c r="AG1321" s="326" t="s">
        <v>1707</v>
      </c>
      <c r="AH1321" s="326" t="s">
        <v>1714</v>
      </c>
      <c r="AQ1321">
        <v>120</v>
      </c>
      <c r="AR1321" s="325"/>
      <c r="AT1321"/>
      <c r="AU1321"/>
      <c r="AV1321"/>
      <c r="AW1321" t="b">
        <v>1</v>
      </c>
      <c r="AX1321" t="b">
        <v>1</v>
      </c>
      <c r="AY1321" t="b">
        <v>1</v>
      </c>
    </row>
    <row r="1322" spans="1:51">
      <c r="A1322" s="277" t="s">
        <v>1328</v>
      </c>
      <c r="B1322" s="328" t="s">
        <v>104</v>
      </c>
      <c r="C1322" s="273">
        <f>'Schippers RD Namibia 2012'!B5</f>
        <v>7.0000000000000007E-2</v>
      </c>
      <c r="D1322" s="302">
        <f>'Schippers RD Namibia 2012'!C5</f>
        <v>8540000000</v>
      </c>
      <c r="E1322" s="301">
        <f>'Schippers RD Namibia 2012'!F5</f>
        <v>257000000</v>
      </c>
      <c r="F1322" s="301">
        <f>'Schippers RD Namibia 2012'!G5</f>
        <v>519000000</v>
      </c>
      <c r="G1322" s="301">
        <f>E1322+F1322</f>
        <v>776000000</v>
      </c>
      <c r="H1322" s="27">
        <f>G1322/D1322</f>
        <v>9.0866510538641684E-2</v>
      </c>
      <c r="I1322" s="301">
        <f>'Schippers RD Namibia 2012'!H5</f>
        <v>73900000</v>
      </c>
      <c r="J1322" s="301">
        <f>'Schippers RD Namibia 2012'!I5</f>
        <v>122000000</v>
      </c>
      <c r="K1322" s="301">
        <f>I1322+J1322</f>
        <v>195900000</v>
      </c>
      <c r="L1322" s="301">
        <f>'Schippers RD Namibia 2012'!R5</f>
        <v>726000000</v>
      </c>
      <c r="M1322" s="27">
        <f>F1322/G1322</f>
        <v>0.66881443298969068</v>
      </c>
      <c r="N1322" s="27">
        <f>J1322/K1322</f>
        <v>0.62276671771311898</v>
      </c>
      <c r="O1322" s="303" t="s">
        <v>71</v>
      </c>
      <c r="P1322" s="328"/>
      <c r="R1322" s="304" t="s">
        <v>1278</v>
      </c>
      <c r="S1322" s="304" t="s">
        <v>141</v>
      </c>
      <c r="T1322" s="304" t="s">
        <v>145</v>
      </c>
      <c r="U1322" s="304" t="s">
        <v>145</v>
      </c>
      <c r="V1322" s="313">
        <v>0.55000000000000004</v>
      </c>
      <c r="W1322" s="313">
        <v>0.55000000000000004</v>
      </c>
      <c r="X1322" s="306" t="s">
        <v>248</v>
      </c>
      <c r="Y1322" s="325" t="s">
        <v>96</v>
      </c>
      <c r="Z1322" s="314" t="s">
        <v>100</v>
      </c>
      <c r="AA1322" s="326" t="s">
        <v>1498</v>
      </c>
      <c r="AB1322" s="334" t="s">
        <v>1739</v>
      </c>
      <c r="AC1322" s="334" t="s">
        <v>1702</v>
      </c>
      <c r="AD1322" s="326" t="s">
        <v>1717</v>
      </c>
      <c r="AE1322" s="326" t="s">
        <v>1725</v>
      </c>
      <c r="AG1322" s="326" t="s">
        <v>1707</v>
      </c>
      <c r="AH1322" s="326" t="s">
        <v>1714</v>
      </c>
      <c r="AQ1322">
        <v>120</v>
      </c>
      <c r="AR1322" s="325"/>
      <c r="AT1322"/>
      <c r="AU1322"/>
      <c r="AV1322"/>
      <c r="AW1322" t="b">
        <v>1</v>
      </c>
      <c r="AX1322" t="b">
        <v>1</v>
      </c>
      <c r="AY1322" t="b">
        <v>1</v>
      </c>
    </row>
    <row r="1323" spans="1:51">
      <c r="A1323" s="277" t="s">
        <v>1328</v>
      </c>
      <c r="B1323" s="328" t="s">
        <v>104</v>
      </c>
      <c r="C1323" s="273">
        <f>'Schippers RD Namibia 2012'!B6</f>
        <v>0.09</v>
      </c>
      <c r="D1323" s="302">
        <f>'Schippers RD Namibia 2012'!C6</f>
        <v>9730000000</v>
      </c>
      <c r="E1323" s="301">
        <f>'Schippers RD Namibia 2012'!F6</f>
        <v>170000000</v>
      </c>
      <c r="F1323" s="301">
        <f>'Schippers RD Namibia 2012'!G6</f>
        <v>345000000</v>
      </c>
      <c r="G1323" s="301">
        <f>E1323+F1323</f>
        <v>515000000</v>
      </c>
      <c r="H1323" s="27">
        <f>G1323/D1323</f>
        <v>5.2929085303186026E-2</v>
      </c>
      <c r="I1323" s="301">
        <f>'Schippers RD Namibia 2012'!H6</f>
        <v>733000000</v>
      </c>
      <c r="J1323" s="301">
        <f>'Schippers RD Namibia 2012'!I6</f>
        <v>252000000</v>
      </c>
      <c r="K1323" s="301">
        <f>I1323+J1323</f>
        <v>985000000</v>
      </c>
      <c r="L1323" s="301">
        <f>'Schippers RD Namibia 2012'!R6</f>
        <v>1170000000</v>
      </c>
      <c r="M1323" s="27">
        <f>F1323/G1323</f>
        <v>0.66990291262135926</v>
      </c>
      <c r="N1323" s="27">
        <f>J1323/K1323</f>
        <v>0.25583756345177666</v>
      </c>
      <c r="O1323" s="303" t="s">
        <v>71</v>
      </c>
      <c r="P1323" s="328"/>
      <c r="R1323" t="s">
        <v>1278</v>
      </c>
      <c r="S1323" t="s">
        <v>141</v>
      </c>
      <c r="T1323" t="s">
        <v>145</v>
      </c>
      <c r="U1323" t="s">
        <v>145</v>
      </c>
      <c r="V1323" s="313">
        <v>0.55000000000000004</v>
      </c>
      <c r="W1323" s="313">
        <v>0.55000000000000004</v>
      </c>
      <c r="X1323" s="306" t="s">
        <v>248</v>
      </c>
      <c r="Y1323" s="311" t="s">
        <v>96</v>
      </c>
      <c r="Z1323" s="314" t="s">
        <v>100</v>
      </c>
      <c r="AA1323" s="326" t="s">
        <v>1498</v>
      </c>
      <c r="AB1323" s="334" t="s">
        <v>1739</v>
      </c>
      <c r="AC1323" s="334" t="s">
        <v>1702</v>
      </c>
      <c r="AD1323" s="326" t="s">
        <v>1717</v>
      </c>
      <c r="AE1323" s="326" t="s">
        <v>1725</v>
      </c>
      <c r="AG1323" s="326" t="s">
        <v>1707</v>
      </c>
      <c r="AH1323" s="326" t="s">
        <v>1714</v>
      </c>
      <c r="AQ1323">
        <v>120</v>
      </c>
      <c r="AR1323" s="325"/>
      <c r="AT1323"/>
      <c r="AU1323"/>
      <c r="AV1323"/>
      <c r="AW1323" t="b">
        <v>1</v>
      </c>
      <c r="AX1323" t="b">
        <v>1</v>
      </c>
      <c r="AY1323" t="b">
        <v>1</v>
      </c>
    </row>
    <row r="1324" spans="1:51">
      <c r="A1324" s="277" t="s">
        <v>1328</v>
      </c>
      <c r="B1324" s="328" t="s">
        <v>104</v>
      </c>
      <c r="C1324" s="273">
        <f>'Schippers RD Namibia 2012'!B7</f>
        <v>0.11</v>
      </c>
      <c r="D1324" s="302">
        <f>'Schippers RD Namibia 2012'!C7</f>
        <v>9070000000</v>
      </c>
      <c r="E1324" s="301">
        <f>'Schippers RD Namibia 2012'!F7</f>
        <v>681000000</v>
      </c>
      <c r="F1324" s="301">
        <f>'Schippers RD Namibia 2012'!G7</f>
        <v>157000000</v>
      </c>
      <c r="G1324" s="301">
        <f>E1324+F1324</f>
        <v>838000000</v>
      </c>
      <c r="H1324" s="27">
        <f>G1324/D1324</f>
        <v>9.2392502756339576E-2</v>
      </c>
      <c r="I1324" s="301">
        <f>'Schippers RD Namibia 2012'!H7</f>
        <v>1020000000</v>
      </c>
      <c r="J1324" s="301">
        <f>'Schippers RD Namibia 2012'!I7</f>
        <v>324000000</v>
      </c>
      <c r="K1324" s="301">
        <f>I1324+J1324</f>
        <v>1344000000</v>
      </c>
      <c r="L1324" s="301">
        <f>'Schippers RD Namibia 2012'!R7</f>
        <v>627000000</v>
      </c>
      <c r="M1324" s="27">
        <f>F1324/G1324</f>
        <v>0.18735083532219571</v>
      </c>
      <c r="N1324" s="27">
        <f>J1324/K1324</f>
        <v>0.24107142857142858</v>
      </c>
      <c r="O1324" s="303" t="s">
        <v>71</v>
      </c>
      <c r="P1324" s="328"/>
      <c r="R1324" t="s">
        <v>1278</v>
      </c>
      <c r="S1324" t="s">
        <v>141</v>
      </c>
      <c r="T1324" t="s">
        <v>145</v>
      </c>
      <c r="U1324" t="s">
        <v>145</v>
      </c>
      <c r="V1324" s="313">
        <v>0.55000000000000004</v>
      </c>
      <c r="W1324" s="313">
        <v>0.55000000000000004</v>
      </c>
      <c r="X1324" s="306" t="s">
        <v>248</v>
      </c>
      <c r="Y1324" s="311" t="s">
        <v>96</v>
      </c>
      <c r="Z1324" s="314" t="s">
        <v>100</v>
      </c>
      <c r="AA1324" s="326" t="s">
        <v>1498</v>
      </c>
      <c r="AB1324" s="334" t="s">
        <v>1739</v>
      </c>
      <c r="AC1324" s="334" t="s">
        <v>1702</v>
      </c>
      <c r="AD1324" s="326" t="s">
        <v>1717</v>
      </c>
      <c r="AE1324" s="326" t="s">
        <v>1725</v>
      </c>
      <c r="AG1324" s="326" t="s">
        <v>1707</v>
      </c>
      <c r="AH1324" s="326" t="s">
        <v>1714</v>
      </c>
      <c r="AQ1324">
        <v>120</v>
      </c>
      <c r="AR1324" s="323"/>
      <c r="AT1324"/>
      <c r="AU1324"/>
      <c r="AV1324"/>
      <c r="AW1324" t="b">
        <v>1</v>
      </c>
      <c r="AX1324" t="b">
        <v>1</v>
      </c>
      <c r="AY1324" t="b">
        <v>1</v>
      </c>
    </row>
    <row r="1325" spans="1:51">
      <c r="A1325" s="277" t="s">
        <v>1328</v>
      </c>
      <c r="B1325" s="328" t="s">
        <v>104</v>
      </c>
      <c r="C1325" s="273">
        <f>'Schippers RD Namibia 2012'!B8</f>
        <v>0.13</v>
      </c>
      <c r="D1325" s="302">
        <f>'Schippers RD Namibia 2012'!C8</f>
        <v>5560000000</v>
      </c>
      <c r="E1325" s="301">
        <f>'Schippers RD Namibia 2012'!F8</f>
        <v>226000000</v>
      </c>
      <c r="F1325" s="301">
        <f>'Schippers RD Namibia 2012'!G8</f>
        <v>142000000</v>
      </c>
      <c r="G1325" s="301">
        <f>E1325+F1325</f>
        <v>368000000</v>
      </c>
      <c r="H1325" s="27">
        <f>G1325/D1325</f>
        <v>6.6187050359712229E-2</v>
      </c>
      <c r="I1325" s="301">
        <f>'Schippers RD Namibia 2012'!H8</f>
        <v>1020000000</v>
      </c>
      <c r="J1325" s="301">
        <f>'Schippers RD Namibia 2012'!I8</f>
        <v>407000000</v>
      </c>
      <c r="K1325" s="301">
        <f>I1325+J1325</f>
        <v>1427000000</v>
      </c>
      <c r="L1325" s="301">
        <f>'Schippers RD Namibia 2012'!R8</f>
        <v>1260000000</v>
      </c>
      <c r="M1325" s="27">
        <f>F1325/G1325</f>
        <v>0.3858695652173913</v>
      </c>
      <c r="N1325" s="27">
        <f>J1325/K1325</f>
        <v>0.28521373510861947</v>
      </c>
      <c r="O1325" s="303" t="s">
        <v>71</v>
      </c>
      <c r="P1325" s="328"/>
      <c r="R1325" t="s">
        <v>1278</v>
      </c>
      <c r="S1325" t="s">
        <v>141</v>
      </c>
      <c r="T1325" t="s">
        <v>145</v>
      </c>
      <c r="U1325" t="s">
        <v>145</v>
      </c>
      <c r="V1325" s="313">
        <v>0.55000000000000004</v>
      </c>
      <c r="W1325" s="313">
        <v>0.55000000000000004</v>
      </c>
      <c r="X1325" s="306" t="s">
        <v>248</v>
      </c>
      <c r="Y1325" s="311" t="s">
        <v>96</v>
      </c>
      <c r="Z1325" s="314" t="s">
        <v>100</v>
      </c>
      <c r="AA1325" s="326" t="s">
        <v>1498</v>
      </c>
      <c r="AB1325" s="334" t="s">
        <v>1739</v>
      </c>
      <c r="AC1325" s="334" t="s">
        <v>1702</v>
      </c>
      <c r="AD1325" s="326" t="s">
        <v>1717</v>
      </c>
      <c r="AE1325" s="326" t="s">
        <v>1725</v>
      </c>
      <c r="AG1325" s="326" t="s">
        <v>1707</v>
      </c>
      <c r="AH1325" s="326" t="s">
        <v>1714</v>
      </c>
      <c r="AQ1325">
        <v>120</v>
      </c>
      <c r="AR1325" s="323"/>
      <c r="AT1325"/>
      <c r="AU1325"/>
      <c r="AV1325"/>
      <c r="AW1325" t="b">
        <v>1</v>
      </c>
      <c r="AX1325" t="b">
        <v>1</v>
      </c>
      <c r="AY1325" t="b">
        <v>1</v>
      </c>
    </row>
    <row r="1326" spans="1:51">
      <c r="A1326" s="277" t="s">
        <v>1328</v>
      </c>
      <c r="B1326" s="328" t="s">
        <v>104</v>
      </c>
      <c r="C1326" s="273">
        <f>'Schippers RD Namibia 2012'!B9</f>
        <v>0.17</v>
      </c>
      <c r="D1326" s="302">
        <f>'Schippers RD Namibia 2012'!C9</f>
        <v>5980000000</v>
      </c>
      <c r="E1326" s="301">
        <f>'Schippers RD Namibia 2012'!F9</f>
        <v>121000000</v>
      </c>
      <c r="F1326" s="301">
        <f>'Schippers RD Namibia 2012'!G9</f>
        <v>62200000</v>
      </c>
      <c r="G1326" s="301">
        <f>E1326+F1326</f>
        <v>183200000</v>
      </c>
      <c r="H1326" s="27">
        <f>G1326/D1326</f>
        <v>3.0635451505016724E-2</v>
      </c>
      <c r="I1326" s="301">
        <f>'Schippers RD Namibia 2012'!H9</f>
        <v>456000000</v>
      </c>
      <c r="J1326" s="301">
        <f>'Schippers RD Namibia 2012'!I9</f>
        <v>332000000</v>
      </c>
      <c r="K1326" s="301">
        <f>I1326+J1326</f>
        <v>788000000</v>
      </c>
      <c r="L1326" s="301">
        <f>'Schippers RD Namibia 2012'!R9</f>
        <v>745000000</v>
      </c>
      <c r="M1326" s="27">
        <f>F1326/G1326</f>
        <v>0.33951965065502182</v>
      </c>
      <c r="N1326" s="27">
        <f>J1326/K1326</f>
        <v>0.42131979695431471</v>
      </c>
      <c r="O1326" s="303" t="s">
        <v>71</v>
      </c>
      <c r="P1326" s="328"/>
      <c r="R1326" t="s">
        <v>1278</v>
      </c>
      <c r="S1326" t="s">
        <v>141</v>
      </c>
      <c r="T1326" t="s">
        <v>145</v>
      </c>
      <c r="U1326" t="s">
        <v>145</v>
      </c>
      <c r="V1326" s="313">
        <v>0.55000000000000004</v>
      </c>
      <c r="W1326" s="313">
        <v>0.55000000000000004</v>
      </c>
      <c r="X1326" s="306" t="s">
        <v>248</v>
      </c>
      <c r="Y1326" s="311" t="s">
        <v>96</v>
      </c>
      <c r="Z1326" s="314" t="s">
        <v>100</v>
      </c>
      <c r="AA1326" s="326" t="s">
        <v>1498</v>
      </c>
      <c r="AB1326" s="334" t="s">
        <v>1739</v>
      </c>
      <c r="AC1326" s="334" t="s">
        <v>1702</v>
      </c>
      <c r="AD1326" s="326" t="s">
        <v>1717</v>
      </c>
      <c r="AE1326" s="326" t="s">
        <v>1725</v>
      </c>
      <c r="AG1326" s="326" t="s">
        <v>1707</v>
      </c>
      <c r="AH1326" s="326" t="s">
        <v>1714</v>
      </c>
      <c r="AQ1326">
        <v>120</v>
      </c>
      <c r="AR1326" s="323"/>
      <c r="AT1326"/>
      <c r="AU1326"/>
      <c r="AV1326"/>
      <c r="AW1326" t="b">
        <v>1</v>
      </c>
      <c r="AX1326" t="b">
        <v>1</v>
      </c>
      <c r="AY1326" t="b">
        <v>1</v>
      </c>
    </row>
    <row r="1327" spans="1:51">
      <c r="A1327" s="277" t="s">
        <v>1328</v>
      </c>
      <c r="B1327" s="328" t="s">
        <v>104</v>
      </c>
      <c r="C1327" s="273">
        <f>'Schippers RD Namibia 2012'!B10</f>
        <v>0.22</v>
      </c>
      <c r="D1327" s="302">
        <f>'Schippers RD Namibia 2012'!C10</f>
        <v>5220000000</v>
      </c>
      <c r="E1327" s="301">
        <f>'Schippers RD Namibia 2012'!F10</f>
        <v>57700000</v>
      </c>
      <c r="F1327" s="301">
        <f>'Schippers RD Namibia 2012'!G10</f>
        <v>52400000</v>
      </c>
      <c r="G1327" s="301">
        <f>E1327+F1327</f>
        <v>110100000</v>
      </c>
      <c r="H1327" s="27">
        <f>G1327/D1327</f>
        <v>2.1091954022988506E-2</v>
      </c>
      <c r="I1327" s="301">
        <f>'Schippers RD Namibia 2012'!H10</f>
        <v>505000000</v>
      </c>
      <c r="J1327" s="301">
        <f>'Schippers RD Namibia 2012'!I10</f>
        <v>259000000</v>
      </c>
      <c r="K1327" s="301">
        <f>I1327+J1327</f>
        <v>764000000</v>
      </c>
      <c r="L1327" s="301">
        <f>'Schippers RD Namibia 2012'!R10</f>
        <v>186000000</v>
      </c>
      <c r="M1327" s="27">
        <f>F1327/G1327</f>
        <v>0.47593097184377836</v>
      </c>
      <c r="N1327" s="27">
        <f>J1327/K1327</f>
        <v>0.33900523560209422</v>
      </c>
      <c r="O1327" s="303" t="s">
        <v>71</v>
      </c>
      <c r="P1327" s="328"/>
      <c r="R1327" t="s">
        <v>1278</v>
      </c>
      <c r="S1327" t="s">
        <v>141</v>
      </c>
      <c r="T1327" t="s">
        <v>145</v>
      </c>
      <c r="U1327" t="s">
        <v>145</v>
      </c>
      <c r="V1327" s="313">
        <v>0.55000000000000004</v>
      </c>
      <c r="W1327" s="313">
        <v>0.55000000000000004</v>
      </c>
      <c r="X1327" s="306" t="s">
        <v>248</v>
      </c>
      <c r="Y1327" s="328" t="s">
        <v>96</v>
      </c>
      <c r="Z1327" s="314" t="s">
        <v>100</v>
      </c>
      <c r="AA1327" s="326" t="s">
        <v>1498</v>
      </c>
      <c r="AB1327" s="334" t="s">
        <v>1739</v>
      </c>
      <c r="AC1327" s="334" t="s">
        <v>1702</v>
      </c>
      <c r="AD1327" s="326" t="s">
        <v>1717</v>
      </c>
      <c r="AE1327" s="326" t="s">
        <v>1725</v>
      </c>
      <c r="AG1327" s="326" t="s">
        <v>1707</v>
      </c>
      <c r="AH1327" s="326" t="s">
        <v>1714</v>
      </c>
      <c r="AQ1327">
        <v>120</v>
      </c>
      <c r="AR1327" s="323"/>
      <c r="AT1327"/>
      <c r="AU1327"/>
      <c r="AV1327"/>
      <c r="AW1327" t="b">
        <v>1</v>
      </c>
      <c r="AX1327" t="b">
        <v>1</v>
      </c>
      <c r="AY1327" t="b">
        <v>1</v>
      </c>
    </row>
    <row r="1328" spans="1:51">
      <c r="A1328" s="277" t="s">
        <v>1328</v>
      </c>
      <c r="B1328" s="328" t="s">
        <v>104</v>
      </c>
      <c r="C1328" s="273">
        <f>'Schippers RD Namibia 2012'!B11</f>
        <v>0.28000000000000003</v>
      </c>
      <c r="D1328" s="302">
        <f>'Schippers RD Namibia 2012'!C11</f>
        <v>4450000000</v>
      </c>
      <c r="E1328" s="301">
        <f>'Schippers RD Namibia 2012'!F11</f>
        <v>39300000</v>
      </c>
      <c r="G1328" s="301">
        <f>E1328+F1328</f>
        <v>39300000</v>
      </c>
      <c r="H1328" s="27">
        <f>G1328/D1328</f>
        <v>8.8314606741573039E-3</v>
      </c>
      <c r="I1328" s="301">
        <f>'Schippers RD Namibia 2012'!H11</f>
        <v>329000000</v>
      </c>
      <c r="J1328" s="301">
        <f>'Schippers RD Namibia 2012'!I11</f>
        <v>286000000</v>
      </c>
      <c r="K1328" s="301">
        <f>I1328+J1328</f>
        <v>615000000</v>
      </c>
      <c r="L1328" s="301">
        <f>'Schippers RD Namibia 2012'!R11</f>
        <v>131000000</v>
      </c>
      <c r="M1328" s="27">
        <f>F1328/G1328</f>
        <v>0</v>
      </c>
      <c r="N1328" s="27">
        <f>J1328/K1328</f>
        <v>0.46504065040650405</v>
      </c>
      <c r="O1328" s="303" t="s">
        <v>71</v>
      </c>
      <c r="P1328" s="328"/>
      <c r="Q1328" s="301" t="b">
        <v>1</v>
      </c>
      <c r="R1328" t="s">
        <v>1278</v>
      </c>
      <c r="S1328" t="s">
        <v>141</v>
      </c>
      <c r="T1328" t="s">
        <v>145</v>
      </c>
      <c r="U1328" t="s">
        <v>145</v>
      </c>
      <c r="V1328" s="313">
        <v>0.55000000000000004</v>
      </c>
      <c r="W1328" s="313">
        <v>0.55000000000000004</v>
      </c>
      <c r="X1328" s="306" t="s">
        <v>248</v>
      </c>
      <c r="Y1328" s="328" t="s">
        <v>96</v>
      </c>
      <c r="Z1328" s="314" t="s">
        <v>100</v>
      </c>
      <c r="AA1328" s="326" t="s">
        <v>1498</v>
      </c>
      <c r="AB1328" s="334" t="s">
        <v>1739</v>
      </c>
      <c r="AC1328" s="334" t="s">
        <v>1702</v>
      </c>
      <c r="AD1328" s="326" t="s">
        <v>1717</v>
      </c>
      <c r="AE1328" s="326" t="s">
        <v>1725</v>
      </c>
      <c r="AG1328" s="326" t="s">
        <v>1707</v>
      </c>
      <c r="AH1328" s="326" t="s">
        <v>1714</v>
      </c>
      <c r="AQ1328">
        <v>120</v>
      </c>
      <c r="AR1328" s="323"/>
      <c r="AT1328"/>
      <c r="AU1328"/>
      <c r="AV1328"/>
      <c r="AW1328" t="b">
        <v>1</v>
      </c>
      <c r="AX1328" t="b">
        <v>1</v>
      </c>
      <c r="AY1328" t="b">
        <v>1</v>
      </c>
    </row>
    <row r="1329" spans="1:51">
      <c r="A1329" s="277" t="s">
        <v>1328</v>
      </c>
      <c r="B1329" s="328" t="s">
        <v>104</v>
      </c>
      <c r="C1329" s="273">
        <f>'Schippers RD Namibia 2012'!B12</f>
        <v>0.34</v>
      </c>
      <c r="D1329" s="302">
        <f>'Schippers RD Namibia 2012'!C12</f>
        <v>2250000000</v>
      </c>
      <c r="E1329" s="301">
        <f>'Schippers RD Namibia 2012'!F12</f>
        <v>1960000</v>
      </c>
      <c r="G1329" s="301">
        <f>E1329+F1329</f>
        <v>1960000</v>
      </c>
      <c r="H1329" s="27">
        <f>G1329/D1329</f>
        <v>8.7111111111111113E-4</v>
      </c>
      <c r="I1329" s="301">
        <f>'Schippers RD Namibia 2012'!H12</f>
        <v>324000000</v>
      </c>
      <c r="J1329" s="301">
        <f>'Schippers RD Namibia 2012'!I12</f>
        <v>804000000</v>
      </c>
      <c r="K1329" s="301">
        <f>I1329+J1329</f>
        <v>1128000000</v>
      </c>
      <c r="L1329" s="301">
        <f>'Schippers RD Namibia 2012'!R12</f>
        <v>279000000</v>
      </c>
      <c r="M1329" s="27">
        <f>F1329/G1329</f>
        <v>0</v>
      </c>
      <c r="N1329" s="27">
        <f>J1329/K1329</f>
        <v>0.71276595744680848</v>
      </c>
      <c r="O1329" s="303" t="s">
        <v>71</v>
      </c>
      <c r="P1329" s="328"/>
      <c r="Q1329" s="301" t="b">
        <v>1</v>
      </c>
      <c r="R1329" t="s">
        <v>1278</v>
      </c>
      <c r="S1329" t="s">
        <v>141</v>
      </c>
      <c r="T1329" t="s">
        <v>145</v>
      </c>
      <c r="U1329" t="s">
        <v>145</v>
      </c>
      <c r="V1329" s="313">
        <v>0.55000000000000004</v>
      </c>
      <c r="W1329" s="313">
        <v>0.55000000000000004</v>
      </c>
      <c r="X1329" s="306" t="s">
        <v>248</v>
      </c>
      <c r="Y1329" s="328" t="s">
        <v>96</v>
      </c>
      <c r="Z1329" s="314" t="s">
        <v>100</v>
      </c>
      <c r="AA1329" s="326" t="s">
        <v>1498</v>
      </c>
      <c r="AB1329" s="334" t="s">
        <v>1739</v>
      </c>
      <c r="AC1329" s="334" t="s">
        <v>1702</v>
      </c>
      <c r="AD1329" s="326" t="s">
        <v>1717</v>
      </c>
      <c r="AE1329" s="326" t="s">
        <v>1725</v>
      </c>
      <c r="AG1329" s="326" t="s">
        <v>1707</v>
      </c>
      <c r="AH1329" s="326" t="s">
        <v>1714</v>
      </c>
      <c r="AQ1329">
        <v>120</v>
      </c>
      <c r="AR1329" s="323"/>
      <c r="AT1329"/>
      <c r="AU1329"/>
      <c r="AV1329"/>
      <c r="AW1329" t="b">
        <v>1</v>
      </c>
      <c r="AX1329" t="b">
        <v>1</v>
      </c>
      <c r="AY1329" t="b">
        <v>1</v>
      </c>
    </row>
    <row r="1330" spans="1:51">
      <c r="A1330" s="277" t="s">
        <v>1328</v>
      </c>
      <c r="B1330" s="328" t="s">
        <v>104</v>
      </c>
      <c r="C1330" s="273">
        <f>'Schippers RD Namibia 2012'!B14</f>
        <v>0.4</v>
      </c>
      <c r="D1330" s="302">
        <f>'Schippers RD Namibia 2012'!C14</f>
        <v>1340000000</v>
      </c>
      <c r="E1330" s="301">
        <f>'Schippers RD Namibia 2012'!F14</f>
        <v>47700000</v>
      </c>
      <c r="G1330" s="301">
        <f>E1330+F1330</f>
        <v>47700000</v>
      </c>
      <c r="H1330" s="27">
        <f>G1330/D1330</f>
        <v>3.5597014925373135E-2</v>
      </c>
      <c r="I1330" s="301">
        <f>'Schippers RD Namibia 2012'!H14</f>
        <v>53600000</v>
      </c>
      <c r="J1330" s="301">
        <f>'Schippers RD Namibia 2012'!I14</f>
        <v>1560000000</v>
      </c>
      <c r="K1330" s="301">
        <f>I1330+J1330</f>
        <v>1613600000</v>
      </c>
      <c r="L1330" s="301">
        <f>'Schippers RD Namibia 2012'!R14</f>
        <v>133000000</v>
      </c>
      <c r="M1330" s="27">
        <f>F1330/G1330</f>
        <v>0</v>
      </c>
      <c r="N1330" s="27">
        <f>J1330/K1330</f>
        <v>0.96678235002478929</v>
      </c>
      <c r="O1330" s="303" t="s">
        <v>71</v>
      </c>
      <c r="P1330" s="328"/>
      <c r="Q1330" s="301" t="b">
        <v>1</v>
      </c>
      <c r="R1330" t="s">
        <v>1278</v>
      </c>
      <c r="S1330" t="s">
        <v>141</v>
      </c>
      <c r="T1330" t="s">
        <v>145</v>
      </c>
      <c r="U1330" t="s">
        <v>145</v>
      </c>
      <c r="V1330" s="313">
        <v>0.55000000000000004</v>
      </c>
      <c r="W1330" s="313">
        <v>0.55000000000000004</v>
      </c>
      <c r="X1330" s="306" t="s">
        <v>248</v>
      </c>
      <c r="Y1330" s="328" t="s">
        <v>96</v>
      </c>
      <c r="Z1330" s="314" t="s">
        <v>100</v>
      </c>
      <c r="AA1330" s="326" t="s">
        <v>1498</v>
      </c>
      <c r="AB1330" s="334" t="s">
        <v>1739</v>
      </c>
      <c r="AC1330" s="334" t="s">
        <v>1702</v>
      </c>
      <c r="AD1330" s="326" t="s">
        <v>1717</v>
      </c>
      <c r="AE1330" s="326" t="s">
        <v>1725</v>
      </c>
      <c r="AG1330" s="326" t="s">
        <v>1707</v>
      </c>
      <c r="AH1330" s="326" t="s">
        <v>1714</v>
      </c>
      <c r="AQ1330">
        <v>120</v>
      </c>
      <c r="AR1330" s="323"/>
      <c r="AT1330"/>
      <c r="AU1330"/>
      <c r="AV1330"/>
      <c r="AW1330" t="b">
        <v>1</v>
      </c>
      <c r="AX1330" t="b">
        <v>1</v>
      </c>
      <c r="AY1330" t="b">
        <v>1</v>
      </c>
    </row>
    <row r="1331" spans="1:51">
      <c r="A1331" s="277" t="s">
        <v>1328</v>
      </c>
      <c r="B1331" s="328" t="s">
        <v>104</v>
      </c>
      <c r="C1331" s="273">
        <f>'Schippers RD Namibia 2012'!B13</f>
        <v>0.4</v>
      </c>
      <c r="D1331" s="302">
        <f>'Schippers RD Namibia 2012'!C13</f>
        <v>2390000000</v>
      </c>
      <c r="E1331" s="301">
        <f>'Schippers RD Namibia 2012'!F13</f>
        <v>3930000</v>
      </c>
      <c r="G1331" s="301">
        <f>E1331+F1331</f>
        <v>3930000</v>
      </c>
      <c r="H1331" s="27">
        <f>G1331/D1331</f>
        <v>1.6443514644351464E-3</v>
      </c>
      <c r="I1331" s="301">
        <f>'Schippers RD Namibia 2012'!H13</f>
        <v>451000000</v>
      </c>
      <c r="J1331" s="301">
        <f>'Schippers RD Namibia 2012'!I13</f>
        <v>1480000000</v>
      </c>
      <c r="K1331" s="301">
        <f>I1331+J1331</f>
        <v>1931000000</v>
      </c>
      <c r="L1331" s="301">
        <f>'Schippers RD Namibia 2012'!R13</f>
        <v>526000000</v>
      </c>
      <c r="M1331" s="27">
        <f>F1331/G1331</f>
        <v>0</v>
      </c>
      <c r="N1331" s="27">
        <f>J1331/K1331</f>
        <v>0.76644225789746245</v>
      </c>
      <c r="O1331" s="303" t="s">
        <v>71</v>
      </c>
      <c r="P1331" s="328"/>
      <c r="Q1331" s="301" t="b">
        <v>1</v>
      </c>
      <c r="R1331" t="s">
        <v>1278</v>
      </c>
      <c r="S1331" t="s">
        <v>141</v>
      </c>
      <c r="T1331" t="s">
        <v>145</v>
      </c>
      <c r="U1331" t="s">
        <v>145</v>
      </c>
      <c r="V1331" s="313">
        <v>0.55000000000000004</v>
      </c>
      <c r="W1331" s="313">
        <v>0.55000000000000004</v>
      </c>
      <c r="X1331" s="306" t="s">
        <v>248</v>
      </c>
      <c r="Y1331" s="328" t="s">
        <v>96</v>
      </c>
      <c r="Z1331" s="314" t="s">
        <v>100</v>
      </c>
      <c r="AA1331" s="326" t="s">
        <v>1498</v>
      </c>
      <c r="AB1331" s="334" t="s">
        <v>1739</v>
      </c>
      <c r="AC1331" s="334" t="s">
        <v>1702</v>
      </c>
      <c r="AD1331" s="326" t="s">
        <v>1717</v>
      </c>
      <c r="AE1331" s="326" t="s">
        <v>1725</v>
      </c>
      <c r="AG1331" s="326" t="s">
        <v>1707</v>
      </c>
      <c r="AH1331" s="326" t="s">
        <v>1714</v>
      </c>
      <c r="AQ1331">
        <v>120</v>
      </c>
      <c r="AR1331" s="323"/>
      <c r="AT1331"/>
      <c r="AU1331"/>
      <c r="AV1331"/>
      <c r="AW1331" t="b">
        <v>1</v>
      </c>
      <c r="AX1331" t="b">
        <v>1</v>
      </c>
      <c r="AY1331" t="b">
        <v>1</v>
      </c>
    </row>
    <row r="1332" spans="1:51">
      <c r="A1332" s="277" t="s">
        <v>1328</v>
      </c>
      <c r="B1332" s="328" t="s">
        <v>104</v>
      </c>
      <c r="C1332" s="273">
        <f>'Schippers RD Namibia 2012'!B15</f>
        <v>1.4</v>
      </c>
      <c r="D1332" s="302">
        <f>'Schippers RD Namibia 2012'!C15</f>
        <v>1100000000</v>
      </c>
      <c r="E1332" s="301">
        <f>'Schippers RD Namibia 2012'!F15</f>
        <v>6930000</v>
      </c>
      <c r="F1332" s="301">
        <f>'Schippers RD Namibia 2012'!G15</f>
        <v>2310000</v>
      </c>
      <c r="G1332" s="301">
        <f>E1332+F1332</f>
        <v>9240000</v>
      </c>
      <c r="H1332" s="27">
        <f>G1332/D1332</f>
        <v>8.3999999999999995E-3</v>
      </c>
      <c r="I1332" s="301">
        <f>'Schippers RD Namibia 2012'!H15</f>
        <v>64000000</v>
      </c>
      <c r="J1332" s="301">
        <f>'Schippers RD Namibia 2012'!I15</f>
        <v>1320000000</v>
      </c>
      <c r="K1332" s="301">
        <f>I1332+J1332</f>
        <v>1384000000</v>
      </c>
      <c r="L1332" s="301">
        <f>'Schippers RD Namibia 2012'!R15</f>
        <v>102000000</v>
      </c>
      <c r="M1332" s="27">
        <f>F1332/G1332</f>
        <v>0.25</v>
      </c>
      <c r="N1332" s="27">
        <f>J1332/K1332</f>
        <v>0.95375722543352603</v>
      </c>
      <c r="O1332" s="303" t="s">
        <v>71</v>
      </c>
      <c r="P1332" s="328"/>
      <c r="R1332" t="s">
        <v>1278</v>
      </c>
      <c r="S1332" t="s">
        <v>141</v>
      </c>
      <c r="T1332" t="s">
        <v>145</v>
      </c>
      <c r="U1332" t="s">
        <v>145</v>
      </c>
      <c r="V1332" s="313">
        <v>0.55000000000000004</v>
      </c>
      <c r="W1332" s="313">
        <v>0.55000000000000004</v>
      </c>
      <c r="X1332" s="306" t="s">
        <v>248</v>
      </c>
      <c r="Y1332" s="328" t="s">
        <v>96</v>
      </c>
      <c r="Z1332" s="314" t="s">
        <v>100</v>
      </c>
      <c r="AA1332" s="326" t="s">
        <v>1498</v>
      </c>
      <c r="AB1332" s="334" t="s">
        <v>1739</v>
      </c>
      <c r="AC1332" s="334" t="s">
        <v>1702</v>
      </c>
      <c r="AD1332" s="326" t="s">
        <v>1717</v>
      </c>
      <c r="AE1332" s="326" t="s">
        <v>1725</v>
      </c>
      <c r="AG1332" s="326" t="s">
        <v>1707</v>
      </c>
      <c r="AH1332" s="326" t="s">
        <v>1714</v>
      </c>
      <c r="AQ1332">
        <v>120</v>
      </c>
      <c r="AR1332" s="323"/>
      <c r="AT1332"/>
      <c r="AU1332"/>
      <c r="AV1332"/>
      <c r="AW1332" t="b">
        <v>1</v>
      </c>
      <c r="AX1332" t="b">
        <v>1</v>
      </c>
      <c r="AY1332" t="b">
        <v>1</v>
      </c>
    </row>
    <row r="1333" spans="1:51">
      <c r="A1333" s="277" t="s">
        <v>1328</v>
      </c>
      <c r="B1333" s="328" t="s">
        <v>104</v>
      </c>
      <c r="C1333" s="273">
        <f>'Schippers RD Namibia 2012'!B16</f>
        <v>2.2999999999999998</v>
      </c>
      <c r="D1333" s="302">
        <f>'Schippers RD Namibia 2012'!C16</f>
        <v>1780000000</v>
      </c>
      <c r="E1333" s="301">
        <f>'Schippers RD Namibia 2012'!F16</f>
        <v>3270000</v>
      </c>
      <c r="G1333" s="301">
        <f>E1333+F1333</f>
        <v>3270000</v>
      </c>
      <c r="H1333" s="27">
        <f>G1333/D1333</f>
        <v>1.8370786516853932E-3</v>
      </c>
      <c r="I1333" s="301">
        <f>'Schippers RD Namibia 2012'!H16</f>
        <v>68800000</v>
      </c>
      <c r="J1333" s="301">
        <f>'Schippers RD Namibia 2012'!I16</f>
        <v>1900000000</v>
      </c>
      <c r="K1333" s="301">
        <f>I1333+J1333</f>
        <v>1968800000</v>
      </c>
      <c r="L1333" s="301">
        <f>'Schippers RD Namibia 2012'!R16</f>
        <v>128000000</v>
      </c>
      <c r="M1333" s="27">
        <f>F1333/G1333</f>
        <v>0</v>
      </c>
      <c r="N1333" s="27">
        <f>J1333/K1333</f>
        <v>0.9650548557496953</v>
      </c>
      <c r="O1333" s="303" t="s">
        <v>71</v>
      </c>
      <c r="P1333" s="328"/>
      <c r="Q1333" s="301" t="b">
        <v>1</v>
      </c>
      <c r="R1333" t="s">
        <v>1278</v>
      </c>
      <c r="S1333" t="s">
        <v>141</v>
      </c>
      <c r="T1333" t="s">
        <v>145</v>
      </c>
      <c r="U1333" t="s">
        <v>145</v>
      </c>
      <c r="V1333" s="313">
        <v>0.55000000000000004</v>
      </c>
      <c r="W1333" s="313">
        <v>0.55000000000000004</v>
      </c>
      <c r="X1333" s="306" t="s">
        <v>248</v>
      </c>
      <c r="Y1333" s="328" t="s">
        <v>96</v>
      </c>
      <c r="Z1333" s="314" t="s">
        <v>100</v>
      </c>
      <c r="AA1333" s="326" t="s">
        <v>1498</v>
      </c>
      <c r="AB1333" s="334" t="s">
        <v>1739</v>
      </c>
      <c r="AC1333" s="334" t="s">
        <v>1702</v>
      </c>
      <c r="AD1333" s="326" t="s">
        <v>1717</v>
      </c>
      <c r="AE1333" s="326" t="s">
        <v>1725</v>
      </c>
      <c r="AG1333" s="326" t="s">
        <v>1707</v>
      </c>
      <c r="AH1333" s="326" t="s">
        <v>1714</v>
      </c>
      <c r="AQ1333">
        <v>120</v>
      </c>
      <c r="AR1333" s="323"/>
      <c r="AT1333"/>
      <c r="AU1333"/>
      <c r="AV1333"/>
      <c r="AW1333" t="b">
        <v>1</v>
      </c>
      <c r="AX1333" t="b">
        <v>1</v>
      </c>
      <c r="AY1333" t="b">
        <v>1</v>
      </c>
    </row>
    <row r="1334" spans="1:51">
      <c r="A1334" s="277" t="s">
        <v>1328</v>
      </c>
      <c r="B1334" s="328" t="s">
        <v>105</v>
      </c>
      <c r="C1334" s="273">
        <f>'Schippers RD Namibia 2012'!B20</f>
        <v>0.01</v>
      </c>
      <c r="D1334" s="302">
        <f>'Schippers RD Namibia 2012'!C20</f>
        <v>5960000000</v>
      </c>
      <c r="E1334" s="301">
        <f>'Schippers RD Namibia 2012'!F20</f>
        <v>401000000</v>
      </c>
      <c r="F1334" s="301">
        <f>'Schippers RD Namibia 2012'!G20</f>
        <v>295000000</v>
      </c>
      <c r="G1334" s="301">
        <f>E1334+F1334</f>
        <v>696000000</v>
      </c>
      <c r="H1334" s="27">
        <f>G1334/D1334</f>
        <v>0.11677852348993288</v>
      </c>
      <c r="I1334" s="301">
        <f>'Schippers RD Namibia 2012'!H20</f>
        <v>1090000000</v>
      </c>
      <c r="J1334" s="301">
        <f>'Schippers RD Namibia 2012'!I20</f>
        <v>373000000</v>
      </c>
      <c r="K1334" s="301">
        <f>I1334+J1334</f>
        <v>1463000000</v>
      </c>
      <c r="L1334" s="301">
        <f>'Schippers RD Namibia 2012'!R20</f>
        <v>892000000</v>
      </c>
      <c r="M1334" s="27">
        <f>F1334/G1334</f>
        <v>0.4238505747126437</v>
      </c>
      <c r="N1334" s="27">
        <f>J1334/K1334</f>
        <v>0.25495557074504444</v>
      </c>
      <c r="O1334" s="303" t="s">
        <v>71</v>
      </c>
      <c r="P1334" s="328"/>
      <c r="R1334" t="s">
        <v>1278</v>
      </c>
      <c r="S1334" t="s">
        <v>141</v>
      </c>
      <c r="T1334" t="s">
        <v>145</v>
      </c>
      <c r="U1334" t="s">
        <v>145</v>
      </c>
      <c r="V1334" s="313">
        <v>0.55000000000000004</v>
      </c>
      <c r="W1334" s="313">
        <v>0.55000000000000004</v>
      </c>
      <c r="X1334" s="306" t="s">
        <v>248</v>
      </c>
      <c r="Y1334" s="328" t="s">
        <v>96</v>
      </c>
      <c r="Z1334" s="314" t="s">
        <v>100</v>
      </c>
      <c r="AA1334" s="326" t="s">
        <v>1498</v>
      </c>
      <c r="AB1334" s="334" t="s">
        <v>1739</v>
      </c>
      <c r="AC1334" s="334" t="s">
        <v>1702</v>
      </c>
      <c r="AD1334" s="326" t="s">
        <v>1717</v>
      </c>
      <c r="AE1334" s="326" t="s">
        <v>1725</v>
      </c>
      <c r="AG1334" s="326" t="s">
        <v>1707</v>
      </c>
      <c r="AH1334" s="326" t="s">
        <v>1714</v>
      </c>
      <c r="AQ1334">
        <v>1940</v>
      </c>
      <c r="AR1334" s="323" t="s">
        <v>1463</v>
      </c>
      <c r="AT1334"/>
      <c r="AU1334"/>
      <c r="AV1334"/>
      <c r="AW1334" t="b">
        <v>1</v>
      </c>
      <c r="AX1334" t="b">
        <v>1</v>
      </c>
      <c r="AY1334" t="b">
        <v>1</v>
      </c>
    </row>
    <row r="1335" spans="1:51">
      <c r="A1335" s="277" t="s">
        <v>1328</v>
      </c>
      <c r="B1335" s="328" t="s">
        <v>105</v>
      </c>
      <c r="C1335" s="273">
        <f>'Schippers RD Namibia 2012'!B21</f>
        <v>0.03</v>
      </c>
      <c r="D1335" s="302">
        <f>'Schippers RD Namibia 2012'!C21</f>
        <v>4390000000</v>
      </c>
      <c r="E1335" s="301">
        <f>'Schippers RD Namibia 2012'!F21</f>
        <v>232000000</v>
      </c>
      <c r="F1335" s="301">
        <f>'Schippers RD Namibia 2012'!G21</f>
        <v>255000000</v>
      </c>
      <c r="G1335" s="301">
        <f>E1335+F1335</f>
        <v>487000000</v>
      </c>
      <c r="H1335" s="27">
        <f>G1335/D1335</f>
        <v>0.11093394077448747</v>
      </c>
      <c r="I1335" s="301">
        <f>'Schippers RD Namibia 2012'!H21</f>
        <v>597000000</v>
      </c>
      <c r="J1335" s="301">
        <f>'Schippers RD Namibia 2012'!I21</f>
        <v>396000000</v>
      </c>
      <c r="K1335" s="301">
        <f>I1335+J1335</f>
        <v>993000000</v>
      </c>
      <c r="L1335" s="301">
        <f>'Schippers RD Namibia 2012'!R21</f>
        <v>1080000000</v>
      </c>
      <c r="M1335" s="27">
        <f>F1335/G1335</f>
        <v>0.52361396303901442</v>
      </c>
      <c r="N1335" s="27">
        <f>J1335/K1335</f>
        <v>0.3987915407854985</v>
      </c>
      <c r="O1335" s="303" t="s">
        <v>71</v>
      </c>
      <c r="P1335" s="328"/>
      <c r="R1335" t="s">
        <v>1278</v>
      </c>
      <c r="S1335" t="s">
        <v>141</v>
      </c>
      <c r="T1335" t="s">
        <v>145</v>
      </c>
      <c r="U1335" t="s">
        <v>145</v>
      </c>
      <c r="V1335" s="313">
        <v>0.55000000000000004</v>
      </c>
      <c r="W1335" s="313">
        <v>0.55000000000000004</v>
      </c>
      <c r="X1335" s="306" t="s">
        <v>248</v>
      </c>
      <c r="Y1335" s="328" t="s">
        <v>96</v>
      </c>
      <c r="Z1335" s="314" t="s">
        <v>100</v>
      </c>
      <c r="AA1335" s="326" t="s">
        <v>1498</v>
      </c>
      <c r="AB1335" s="334" t="s">
        <v>1739</v>
      </c>
      <c r="AC1335" s="334" t="s">
        <v>1702</v>
      </c>
      <c r="AD1335" s="326" t="s">
        <v>1717</v>
      </c>
      <c r="AE1335" s="326" t="s">
        <v>1725</v>
      </c>
      <c r="AG1335" s="326" t="s">
        <v>1707</v>
      </c>
      <c r="AH1335" s="326" t="s">
        <v>1714</v>
      </c>
      <c r="AQ1335">
        <v>1940</v>
      </c>
      <c r="AR1335" s="323" t="s">
        <v>1463</v>
      </c>
      <c r="AT1335"/>
      <c r="AU1335"/>
      <c r="AV1335"/>
      <c r="AW1335" t="b">
        <v>1</v>
      </c>
      <c r="AX1335" t="b">
        <v>1</v>
      </c>
      <c r="AY1335" t="b">
        <v>1</v>
      </c>
    </row>
    <row r="1336" spans="1:51">
      <c r="A1336" s="277" t="s">
        <v>1328</v>
      </c>
      <c r="B1336" s="328" t="s">
        <v>105</v>
      </c>
      <c r="C1336" s="273">
        <f>'Schippers RD Namibia 2012'!B22</f>
        <v>0.05</v>
      </c>
      <c r="D1336" s="302">
        <f>'Schippers RD Namibia 2012'!C22</f>
        <v>4970000000</v>
      </c>
      <c r="E1336" s="301">
        <f>'Schippers RD Namibia 2012'!F22</f>
        <v>149000000</v>
      </c>
      <c r="F1336" s="301">
        <f>'Schippers RD Namibia 2012'!G22</f>
        <v>275000000</v>
      </c>
      <c r="G1336" s="301">
        <f>E1336+F1336</f>
        <v>424000000</v>
      </c>
      <c r="H1336" s="27">
        <f>G1336/D1336</f>
        <v>8.531187122736418E-2</v>
      </c>
      <c r="I1336" s="301">
        <f>'Schippers RD Namibia 2012'!H22</f>
        <v>1610000000</v>
      </c>
      <c r="J1336" s="301">
        <f>'Schippers RD Namibia 2012'!I22</f>
        <v>708000000</v>
      </c>
      <c r="K1336" s="301">
        <f>I1336+J1336</f>
        <v>2318000000</v>
      </c>
      <c r="L1336" s="301">
        <f>'Schippers RD Namibia 2012'!R22</f>
        <v>1220000000</v>
      </c>
      <c r="M1336" s="27">
        <f>F1336/G1336</f>
        <v>0.64858490566037741</v>
      </c>
      <c r="N1336" s="27">
        <f>J1336/K1336</f>
        <v>0.30543572044866263</v>
      </c>
      <c r="O1336" s="303" t="s">
        <v>71</v>
      </c>
      <c r="P1336" s="328"/>
      <c r="R1336" t="s">
        <v>1278</v>
      </c>
      <c r="S1336" t="s">
        <v>141</v>
      </c>
      <c r="T1336" t="s">
        <v>145</v>
      </c>
      <c r="U1336" t="s">
        <v>145</v>
      </c>
      <c r="V1336" s="313">
        <v>0.55000000000000004</v>
      </c>
      <c r="W1336" s="313">
        <v>0.55000000000000004</v>
      </c>
      <c r="X1336" s="306" t="s">
        <v>248</v>
      </c>
      <c r="Y1336" s="328" t="s">
        <v>96</v>
      </c>
      <c r="Z1336" s="314" t="s">
        <v>100</v>
      </c>
      <c r="AA1336" s="326" t="s">
        <v>1498</v>
      </c>
      <c r="AB1336" s="334" t="s">
        <v>1739</v>
      </c>
      <c r="AC1336" s="334" t="s">
        <v>1702</v>
      </c>
      <c r="AD1336" s="326" t="s">
        <v>1717</v>
      </c>
      <c r="AE1336" s="326" t="s">
        <v>1725</v>
      </c>
      <c r="AG1336" s="326" t="s">
        <v>1707</v>
      </c>
      <c r="AH1336" s="326" t="s">
        <v>1714</v>
      </c>
      <c r="AQ1336">
        <v>1940</v>
      </c>
      <c r="AR1336" s="323" t="s">
        <v>1463</v>
      </c>
      <c r="AT1336"/>
      <c r="AU1336"/>
      <c r="AV1336"/>
      <c r="AW1336" t="b">
        <v>1</v>
      </c>
      <c r="AX1336" t="b">
        <v>1</v>
      </c>
      <c r="AY1336" t="b">
        <v>1</v>
      </c>
    </row>
    <row r="1337" spans="1:51">
      <c r="A1337" s="277" t="s">
        <v>1328</v>
      </c>
      <c r="B1337" s="328" t="s">
        <v>105</v>
      </c>
      <c r="C1337" s="273">
        <f>'Schippers RD Namibia 2012'!B23</f>
        <v>7.0000000000000007E-2</v>
      </c>
      <c r="D1337" s="302">
        <f>'Schippers RD Namibia 2012'!C23</f>
        <v>5320000000</v>
      </c>
      <c r="E1337" s="301">
        <f>'Schippers RD Namibia 2012'!F23</f>
        <v>114000000</v>
      </c>
      <c r="F1337" s="301">
        <f>'Schippers RD Namibia 2012'!G23</f>
        <v>157000000</v>
      </c>
      <c r="G1337" s="301">
        <f>E1337+F1337</f>
        <v>271000000</v>
      </c>
      <c r="H1337" s="27">
        <f>G1337/D1337</f>
        <v>5.0939849624060153E-2</v>
      </c>
      <c r="I1337" s="301">
        <f>'Schippers RD Namibia 2012'!H23</f>
        <v>1070000000</v>
      </c>
      <c r="J1337" s="301">
        <f>'Schippers RD Namibia 2012'!I23</f>
        <v>985000000</v>
      </c>
      <c r="K1337" s="301">
        <f>I1337+J1337</f>
        <v>2055000000</v>
      </c>
      <c r="L1337" s="301">
        <f>'Schippers RD Namibia 2012'!R23</f>
        <v>877000000</v>
      </c>
      <c r="M1337" s="27">
        <f>F1337/G1337</f>
        <v>0.57933579335793361</v>
      </c>
      <c r="N1337" s="27">
        <f>J1337/K1337</f>
        <v>0.47931873479318737</v>
      </c>
      <c r="O1337" s="303" t="s">
        <v>71</v>
      </c>
      <c r="P1337" s="334"/>
      <c r="R1337" t="s">
        <v>1278</v>
      </c>
      <c r="S1337" t="s">
        <v>141</v>
      </c>
      <c r="T1337" t="s">
        <v>145</v>
      </c>
      <c r="U1337" t="s">
        <v>145</v>
      </c>
      <c r="V1337" s="313">
        <v>0.55000000000000004</v>
      </c>
      <c r="W1337" s="313">
        <v>0.55000000000000004</v>
      </c>
      <c r="X1337" s="306" t="s">
        <v>248</v>
      </c>
      <c r="Y1337" s="311" t="s">
        <v>96</v>
      </c>
      <c r="Z1337" s="314" t="s">
        <v>100</v>
      </c>
      <c r="AA1337" s="326" t="s">
        <v>1498</v>
      </c>
      <c r="AB1337" s="334" t="s">
        <v>1739</v>
      </c>
      <c r="AC1337" s="334" t="s">
        <v>1702</v>
      </c>
      <c r="AD1337" s="326" t="s">
        <v>1717</v>
      </c>
      <c r="AE1337" s="326" t="s">
        <v>1725</v>
      </c>
      <c r="AG1337" s="326" t="s">
        <v>1707</v>
      </c>
      <c r="AH1337" s="326" t="s">
        <v>1714</v>
      </c>
      <c r="AQ1337">
        <v>1940</v>
      </c>
      <c r="AR1337" s="323" t="s">
        <v>1463</v>
      </c>
      <c r="AT1337"/>
      <c r="AU1337"/>
      <c r="AV1337"/>
      <c r="AW1337" t="b">
        <v>1</v>
      </c>
      <c r="AX1337" t="b">
        <v>1</v>
      </c>
      <c r="AY1337" t="b">
        <v>1</v>
      </c>
    </row>
    <row r="1338" spans="1:51">
      <c r="A1338" s="277" t="s">
        <v>1328</v>
      </c>
      <c r="B1338" s="328" t="s">
        <v>105</v>
      </c>
      <c r="C1338" s="273">
        <f>'Schippers RD Namibia 2012'!B24</f>
        <v>0.08</v>
      </c>
      <c r="D1338" s="302">
        <f>'Schippers RD Namibia 2012'!C24</f>
        <v>1150000000</v>
      </c>
      <c r="E1338" s="301">
        <f>'Schippers RD Namibia 2012'!F24</f>
        <v>13700000</v>
      </c>
      <c r="F1338" s="301">
        <f>'Schippers RD Namibia 2012'!G24</f>
        <v>7850000</v>
      </c>
      <c r="G1338" s="301">
        <f>E1338+F1338</f>
        <v>21550000</v>
      </c>
      <c r="H1338" s="27">
        <f>G1338/D1338</f>
        <v>1.8739130434782609E-2</v>
      </c>
      <c r="I1338" s="301">
        <f>'Schippers RD Namibia 2012'!H24</f>
        <v>37500000</v>
      </c>
      <c r="J1338" s="301">
        <f>'Schippers RD Namibia 2012'!I24</f>
        <v>237000000</v>
      </c>
      <c r="K1338" s="301">
        <f>I1338+J1338</f>
        <v>274500000</v>
      </c>
      <c r="L1338" s="301">
        <f>'Schippers RD Namibia 2012'!R24</f>
        <v>149000000</v>
      </c>
      <c r="M1338" s="27">
        <f>F1338/G1338</f>
        <v>0.3642691415313225</v>
      </c>
      <c r="N1338" s="27">
        <f>J1338/K1338</f>
        <v>0.86338797814207646</v>
      </c>
      <c r="O1338" s="303" t="s">
        <v>71</v>
      </c>
      <c r="P1338" s="334"/>
      <c r="R1338" t="s">
        <v>1278</v>
      </c>
      <c r="S1338" t="s">
        <v>141</v>
      </c>
      <c r="T1338" t="s">
        <v>145</v>
      </c>
      <c r="U1338" t="s">
        <v>145</v>
      </c>
      <c r="V1338" s="313">
        <v>0.55000000000000004</v>
      </c>
      <c r="W1338" s="313">
        <v>0.55000000000000004</v>
      </c>
      <c r="X1338" s="306" t="s">
        <v>248</v>
      </c>
      <c r="Y1338" s="311" t="s">
        <v>96</v>
      </c>
      <c r="Z1338" s="314" t="s">
        <v>100</v>
      </c>
      <c r="AA1338" s="326" t="s">
        <v>1498</v>
      </c>
      <c r="AB1338" s="334" t="s">
        <v>1739</v>
      </c>
      <c r="AC1338" s="334" t="s">
        <v>1702</v>
      </c>
      <c r="AD1338" s="326" t="s">
        <v>1717</v>
      </c>
      <c r="AE1338" s="326" t="s">
        <v>1725</v>
      </c>
      <c r="AG1338" s="326" t="s">
        <v>1707</v>
      </c>
      <c r="AH1338" s="326" t="s">
        <v>1714</v>
      </c>
      <c r="AQ1338">
        <v>1940</v>
      </c>
      <c r="AR1338" s="323" t="s">
        <v>1463</v>
      </c>
      <c r="AT1338"/>
      <c r="AU1338"/>
      <c r="AV1338"/>
      <c r="AW1338" t="b">
        <v>1</v>
      </c>
      <c r="AX1338" t="b">
        <v>1</v>
      </c>
      <c r="AY1338" t="b">
        <v>1</v>
      </c>
    </row>
    <row r="1339" spans="1:51">
      <c r="A1339" s="277" t="s">
        <v>1328</v>
      </c>
      <c r="B1339" s="328" t="s">
        <v>105</v>
      </c>
      <c r="C1339" s="273">
        <f>'Schippers RD Namibia 2012'!B25</f>
        <v>0.09</v>
      </c>
      <c r="D1339" s="302">
        <f>'Schippers RD Namibia 2012'!C25</f>
        <v>4260000000</v>
      </c>
      <c r="E1339" s="301">
        <f>'Schippers RD Namibia 2012'!F25</f>
        <v>240000000</v>
      </c>
      <c r="F1339" s="301">
        <f>'Schippers RD Namibia 2012'!G25</f>
        <v>123000000</v>
      </c>
      <c r="G1339" s="301">
        <f>E1339+F1339</f>
        <v>363000000</v>
      </c>
      <c r="H1339" s="27">
        <f>G1339/D1339</f>
        <v>8.52112676056338E-2</v>
      </c>
      <c r="I1339" s="301">
        <f>'Schippers RD Namibia 2012'!H25</f>
        <v>1040000000</v>
      </c>
      <c r="J1339" s="301">
        <f>'Schippers RD Namibia 2012'!I25</f>
        <v>1200000000</v>
      </c>
      <c r="K1339" s="301">
        <f>I1339+J1339</f>
        <v>2240000000</v>
      </c>
      <c r="L1339" s="301">
        <f>'Schippers RD Namibia 2012'!R25</f>
        <v>1120000000</v>
      </c>
      <c r="M1339" s="27">
        <f>F1339/G1339</f>
        <v>0.33884297520661155</v>
      </c>
      <c r="N1339" s="27">
        <f>J1339/K1339</f>
        <v>0.5357142857142857</v>
      </c>
      <c r="O1339" s="303" t="s">
        <v>71</v>
      </c>
      <c r="P1339" s="334"/>
      <c r="R1339" t="s">
        <v>1278</v>
      </c>
      <c r="S1339" t="s">
        <v>141</v>
      </c>
      <c r="T1339" t="s">
        <v>145</v>
      </c>
      <c r="U1339" t="s">
        <v>145</v>
      </c>
      <c r="V1339" s="313">
        <v>0.55000000000000004</v>
      </c>
      <c r="W1339" s="313">
        <v>0.55000000000000004</v>
      </c>
      <c r="X1339" s="306" t="s">
        <v>248</v>
      </c>
      <c r="Y1339" s="311" t="s">
        <v>96</v>
      </c>
      <c r="Z1339" s="314" t="s">
        <v>100</v>
      </c>
      <c r="AA1339" s="326" t="s">
        <v>1498</v>
      </c>
      <c r="AB1339" s="334" t="s">
        <v>1739</v>
      </c>
      <c r="AC1339" s="334" t="s">
        <v>1702</v>
      </c>
      <c r="AD1339" s="326" t="s">
        <v>1717</v>
      </c>
      <c r="AE1339" s="326" t="s">
        <v>1725</v>
      </c>
      <c r="AG1339" s="326" t="s">
        <v>1707</v>
      </c>
      <c r="AH1339" s="326" t="s">
        <v>1714</v>
      </c>
      <c r="AQ1339">
        <v>1940</v>
      </c>
      <c r="AR1339" s="323" t="s">
        <v>1463</v>
      </c>
      <c r="AT1339"/>
      <c r="AU1339"/>
      <c r="AV1339"/>
      <c r="AW1339" t="b">
        <v>1</v>
      </c>
      <c r="AX1339" t="b">
        <v>1</v>
      </c>
      <c r="AY1339" t="b">
        <v>1</v>
      </c>
    </row>
    <row r="1340" spans="1:51">
      <c r="A1340" s="277" t="s">
        <v>1328</v>
      </c>
      <c r="B1340" s="328" t="s">
        <v>105</v>
      </c>
      <c r="C1340" s="273">
        <f>'Schippers RD Namibia 2012'!B26</f>
        <v>0.11</v>
      </c>
      <c r="D1340" s="302">
        <f>'Schippers RD Namibia 2012'!C26</f>
        <v>3530000000</v>
      </c>
      <c r="E1340" s="301">
        <f>'Schippers RD Namibia 2012'!F26</f>
        <v>251000000</v>
      </c>
      <c r="F1340" s="301">
        <f>'Schippers RD Namibia 2012'!G26</f>
        <v>42100000</v>
      </c>
      <c r="G1340" s="301">
        <f>E1340+F1340</f>
        <v>293100000</v>
      </c>
      <c r="H1340" s="27">
        <f>G1340/D1340</f>
        <v>8.3031161473087825E-2</v>
      </c>
      <c r="I1340" s="301">
        <f>'Schippers RD Namibia 2012'!H26</f>
        <v>1430000000</v>
      </c>
      <c r="J1340" s="301">
        <f>'Schippers RD Namibia 2012'!I26</f>
        <v>632000000</v>
      </c>
      <c r="K1340" s="301">
        <f>I1340+J1340</f>
        <v>2062000000</v>
      </c>
      <c r="L1340" s="301">
        <f>'Schippers RD Namibia 2012'!R26</f>
        <v>913000000</v>
      </c>
      <c r="M1340" s="27">
        <f>F1340/G1340</f>
        <v>0.14363698396451724</v>
      </c>
      <c r="N1340" s="27">
        <f>J1340/K1340</f>
        <v>0.30649854510184288</v>
      </c>
      <c r="O1340" s="303" t="s">
        <v>71</v>
      </c>
      <c r="P1340" s="334"/>
      <c r="R1340" t="s">
        <v>1278</v>
      </c>
      <c r="S1340" t="s">
        <v>141</v>
      </c>
      <c r="T1340" t="s">
        <v>145</v>
      </c>
      <c r="U1340" t="s">
        <v>145</v>
      </c>
      <c r="V1340" s="313">
        <v>0.55000000000000004</v>
      </c>
      <c r="W1340" s="313">
        <v>0.55000000000000004</v>
      </c>
      <c r="X1340" s="306" t="s">
        <v>248</v>
      </c>
      <c r="Y1340" s="326" t="s">
        <v>96</v>
      </c>
      <c r="Z1340" s="314" t="s">
        <v>100</v>
      </c>
      <c r="AA1340" s="326" t="s">
        <v>1498</v>
      </c>
      <c r="AB1340" s="334" t="s">
        <v>1739</v>
      </c>
      <c r="AC1340" s="334" t="s">
        <v>1702</v>
      </c>
      <c r="AD1340" s="326" t="s">
        <v>1717</v>
      </c>
      <c r="AE1340" s="326" t="s">
        <v>1725</v>
      </c>
      <c r="AG1340" s="326" t="s">
        <v>1707</v>
      </c>
      <c r="AH1340" s="326" t="s">
        <v>1714</v>
      </c>
      <c r="AQ1340">
        <v>1940</v>
      </c>
      <c r="AR1340" t="s">
        <v>1463</v>
      </c>
      <c r="AT1340"/>
      <c r="AU1340"/>
      <c r="AV1340"/>
      <c r="AW1340" t="b">
        <v>1</v>
      </c>
      <c r="AX1340" t="b">
        <v>1</v>
      </c>
      <c r="AY1340" t="b">
        <v>1</v>
      </c>
    </row>
    <row r="1341" spans="1:51">
      <c r="A1341" s="277" t="s">
        <v>1328</v>
      </c>
      <c r="B1341" s="328" t="s">
        <v>105</v>
      </c>
      <c r="C1341" s="273">
        <f>'Schippers RD Namibia 2012'!B27</f>
        <v>0.15</v>
      </c>
      <c r="D1341" s="302">
        <f>'Schippers RD Namibia 2012'!C27</f>
        <v>4400000000</v>
      </c>
      <c r="E1341" s="301">
        <f>'Schippers RD Namibia 2012'!F27</f>
        <v>163000000</v>
      </c>
      <c r="F1341" s="301">
        <f>'Schippers RD Namibia 2012'!G27</f>
        <v>19600000</v>
      </c>
      <c r="G1341" s="301">
        <f>E1341+F1341</f>
        <v>182600000</v>
      </c>
      <c r="H1341" s="27">
        <f>G1341/D1341</f>
        <v>4.1500000000000002E-2</v>
      </c>
      <c r="I1341" s="301">
        <f>'Schippers RD Namibia 2012'!H27</f>
        <v>1490000000</v>
      </c>
      <c r="J1341" s="301">
        <f>'Schippers RD Namibia 2012'!I27</f>
        <v>342000000</v>
      </c>
      <c r="K1341" s="301">
        <f>I1341+J1341</f>
        <v>1832000000</v>
      </c>
      <c r="L1341" s="301">
        <f>'Schippers RD Namibia 2012'!R27</f>
        <v>1460000000</v>
      </c>
      <c r="M1341" s="27">
        <f>F1341/G1341</f>
        <v>0.10733844468784227</v>
      </c>
      <c r="N1341" s="27">
        <f>J1341/K1341</f>
        <v>0.18668122270742357</v>
      </c>
      <c r="O1341" s="303" t="s">
        <v>71</v>
      </c>
      <c r="P1341" s="334"/>
      <c r="R1341" t="s">
        <v>1278</v>
      </c>
      <c r="S1341" t="s">
        <v>141</v>
      </c>
      <c r="T1341" t="s">
        <v>145</v>
      </c>
      <c r="U1341" t="s">
        <v>145</v>
      </c>
      <c r="V1341" s="313">
        <v>0.55000000000000004</v>
      </c>
      <c r="W1341" s="313">
        <v>0.55000000000000004</v>
      </c>
      <c r="X1341" s="306" t="s">
        <v>248</v>
      </c>
      <c r="Y1341" s="328" t="s">
        <v>96</v>
      </c>
      <c r="Z1341" s="314" t="s">
        <v>100</v>
      </c>
      <c r="AA1341" s="326" t="s">
        <v>1498</v>
      </c>
      <c r="AB1341" s="334" t="s">
        <v>1739</v>
      </c>
      <c r="AC1341" s="334" t="s">
        <v>1702</v>
      </c>
      <c r="AD1341" s="326" t="s">
        <v>1717</v>
      </c>
      <c r="AE1341" s="326" t="s">
        <v>1725</v>
      </c>
      <c r="AG1341" s="326" t="s">
        <v>1707</v>
      </c>
      <c r="AH1341" s="326" t="s">
        <v>1714</v>
      </c>
      <c r="AQ1341">
        <v>1940</v>
      </c>
      <c r="AR1341" s="325" t="s">
        <v>1463</v>
      </c>
      <c r="AT1341"/>
      <c r="AU1341"/>
      <c r="AV1341"/>
      <c r="AW1341" t="b">
        <v>1</v>
      </c>
      <c r="AX1341" t="b">
        <v>1</v>
      </c>
      <c r="AY1341" t="b">
        <v>1</v>
      </c>
    </row>
    <row r="1342" spans="1:51">
      <c r="A1342" s="277" t="s">
        <v>1328</v>
      </c>
      <c r="B1342" s="328" t="s">
        <v>105</v>
      </c>
      <c r="C1342" s="273">
        <f>'Schippers RD Namibia 2012'!B28</f>
        <v>0.19</v>
      </c>
      <c r="D1342" s="302">
        <f>'Schippers RD Namibia 2012'!C28</f>
        <v>2980000000</v>
      </c>
      <c r="E1342" s="301">
        <f>'Schippers RD Namibia 2012'!F28</f>
        <v>285000000</v>
      </c>
      <c r="F1342" s="301">
        <f>'Schippers RD Namibia 2012'!G28</f>
        <v>19600000</v>
      </c>
      <c r="G1342" s="301">
        <f>E1342+F1342</f>
        <v>304600000</v>
      </c>
      <c r="H1342" s="27">
        <f>G1342/D1342</f>
        <v>0.10221476510067114</v>
      </c>
      <c r="I1342" s="301">
        <f>'Schippers RD Namibia 2012'!H28</f>
        <v>716000000</v>
      </c>
      <c r="J1342" s="301">
        <f>'Schippers RD Namibia 2012'!I28</f>
        <v>317000000</v>
      </c>
      <c r="K1342" s="301">
        <f>I1342+J1342</f>
        <v>1033000000</v>
      </c>
      <c r="L1342" s="301">
        <f>'Schippers RD Namibia 2012'!R28</f>
        <v>1190000000</v>
      </c>
      <c r="M1342" s="27">
        <f>F1342/G1342</f>
        <v>6.4346684175968477E-2</v>
      </c>
      <c r="N1342" s="27">
        <f>J1342/K1342</f>
        <v>0.3068731848983543</v>
      </c>
      <c r="O1342" s="303" t="s">
        <v>71</v>
      </c>
      <c r="P1342" s="334"/>
      <c r="R1342" t="s">
        <v>1278</v>
      </c>
      <c r="S1342" t="s">
        <v>141</v>
      </c>
      <c r="T1342" t="s">
        <v>145</v>
      </c>
      <c r="U1342" t="s">
        <v>145</v>
      </c>
      <c r="V1342" s="313">
        <v>0.55000000000000004</v>
      </c>
      <c r="W1342" s="313">
        <v>0.55000000000000004</v>
      </c>
      <c r="X1342" s="306" t="s">
        <v>248</v>
      </c>
      <c r="Y1342" s="328" t="s">
        <v>96</v>
      </c>
      <c r="Z1342" s="314" t="s">
        <v>100</v>
      </c>
      <c r="AA1342" s="326" t="s">
        <v>1498</v>
      </c>
      <c r="AB1342" s="334" t="s">
        <v>1739</v>
      </c>
      <c r="AC1342" s="334" t="s">
        <v>1702</v>
      </c>
      <c r="AD1342" s="326" t="s">
        <v>1717</v>
      </c>
      <c r="AE1342" s="326" t="s">
        <v>1725</v>
      </c>
      <c r="AG1342" s="326" t="s">
        <v>1707</v>
      </c>
      <c r="AH1342" s="326" t="s">
        <v>1714</v>
      </c>
      <c r="AQ1342">
        <v>1940</v>
      </c>
      <c r="AR1342" s="325" t="s">
        <v>1463</v>
      </c>
      <c r="AT1342"/>
      <c r="AU1342"/>
      <c r="AV1342"/>
      <c r="AW1342" t="b">
        <v>1</v>
      </c>
      <c r="AX1342" t="b">
        <v>1</v>
      </c>
      <c r="AY1342" t="b">
        <v>1</v>
      </c>
    </row>
    <row r="1343" spans="1:51">
      <c r="A1343" s="277" t="s">
        <v>1328</v>
      </c>
      <c r="B1343" s="328" t="s">
        <v>105</v>
      </c>
      <c r="C1343" s="273">
        <f>'Schippers RD Namibia 2012'!B29</f>
        <v>0.23</v>
      </c>
      <c r="D1343" s="302">
        <f>'Schippers RD Namibia 2012'!C29</f>
        <v>1990000000</v>
      </c>
      <c r="E1343" s="301">
        <f>'Schippers RD Namibia 2012'!F29</f>
        <v>13700000</v>
      </c>
      <c r="F1343" s="301">
        <f>'Schippers RD Namibia 2012'!G29</f>
        <v>7850000</v>
      </c>
      <c r="G1343" s="301">
        <f>E1343+F1343</f>
        <v>21550000</v>
      </c>
      <c r="H1343" s="27">
        <f>G1343/D1343</f>
        <v>1.0829145728643215E-2</v>
      </c>
      <c r="I1343" s="301">
        <f>'Schippers RD Namibia 2012'!H29</f>
        <v>541000000</v>
      </c>
      <c r="J1343" s="301">
        <f>'Schippers RD Namibia 2012'!I29</f>
        <v>36000000</v>
      </c>
      <c r="K1343" s="301">
        <f>I1343+J1343</f>
        <v>577000000</v>
      </c>
      <c r="L1343" s="301">
        <f>'Schippers RD Namibia 2012'!R29</f>
        <v>1160000000</v>
      </c>
      <c r="M1343" s="27">
        <f>F1343/G1343</f>
        <v>0.3642691415313225</v>
      </c>
      <c r="N1343" s="27">
        <f>J1343/K1343</f>
        <v>6.2391681109185443E-2</v>
      </c>
      <c r="O1343" s="303" t="s">
        <v>71</v>
      </c>
      <c r="P1343" s="334"/>
      <c r="R1343" t="s">
        <v>1278</v>
      </c>
      <c r="S1343" t="s">
        <v>141</v>
      </c>
      <c r="T1343" t="s">
        <v>145</v>
      </c>
      <c r="U1343" t="s">
        <v>145</v>
      </c>
      <c r="V1343" s="313">
        <v>0.55000000000000004</v>
      </c>
      <c r="W1343" s="313">
        <v>0.55000000000000004</v>
      </c>
      <c r="X1343" s="306" t="s">
        <v>248</v>
      </c>
      <c r="Y1343" s="328" t="s">
        <v>96</v>
      </c>
      <c r="Z1343" s="314" t="s">
        <v>100</v>
      </c>
      <c r="AA1343" s="326" t="s">
        <v>1498</v>
      </c>
      <c r="AB1343" s="334" t="s">
        <v>1739</v>
      </c>
      <c r="AC1343" s="334" t="s">
        <v>1702</v>
      </c>
      <c r="AD1343" s="326" t="s">
        <v>1717</v>
      </c>
      <c r="AE1343" s="326" t="s">
        <v>1725</v>
      </c>
      <c r="AG1343" s="326" t="s">
        <v>1707</v>
      </c>
      <c r="AH1343" s="326" t="s">
        <v>1714</v>
      </c>
      <c r="AQ1343">
        <v>1940</v>
      </c>
      <c r="AR1343" s="325" t="s">
        <v>1463</v>
      </c>
      <c r="AS1343" s="322"/>
      <c r="AT1343"/>
      <c r="AU1343"/>
      <c r="AV1343"/>
      <c r="AW1343" t="b">
        <v>1</v>
      </c>
      <c r="AX1343" t="b">
        <v>1</v>
      </c>
      <c r="AY1343" t="b">
        <v>1</v>
      </c>
    </row>
    <row r="1344" spans="1:51">
      <c r="A1344" s="277" t="s">
        <v>1328</v>
      </c>
      <c r="B1344" s="328" t="s">
        <v>105</v>
      </c>
      <c r="C1344" s="273">
        <f>'Schippers RD Namibia 2012'!B30</f>
        <v>0.85</v>
      </c>
      <c r="D1344" s="302">
        <f>'Schippers RD Namibia 2012'!C30</f>
        <v>753000000</v>
      </c>
      <c r="E1344" s="301">
        <f>'Schippers RD Namibia 2012'!F30</f>
        <v>14700000</v>
      </c>
      <c r="G1344" s="301">
        <f>E1344+F1344</f>
        <v>14700000</v>
      </c>
      <c r="H1344" s="27">
        <f>G1344/D1344</f>
        <v>1.9521912350597609E-2</v>
      </c>
      <c r="I1344" s="301">
        <f>'Schippers RD Namibia 2012'!H30</f>
        <v>114000000</v>
      </c>
      <c r="J1344" s="301">
        <f>'Schippers RD Namibia 2012'!I30</f>
        <v>265000000</v>
      </c>
      <c r="K1344" s="301">
        <f>I1344+J1344</f>
        <v>379000000</v>
      </c>
      <c r="L1344" s="301">
        <f>'Schippers RD Namibia 2012'!R30</f>
        <v>159000000</v>
      </c>
      <c r="M1344" s="27">
        <f>F1344/G1344</f>
        <v>0</v>
      </c>
      <c r="N1344" s="27">
        <f>J1344/K1344</f>
        <v>0.69920844327176779</v>
      </c>
      <c r="O1344" s="303" t="s">
        <v>71</v>
      </c>
      <c r="P1344" s="334"/>
      <c r="Q1344" s="301" t="b">
        <v>1</v>
      </c>
      <c r="R1344" t="s">
        <v>1278</v>
      </c>
      <c r="S1344" t="s">
        <v>141</v>
      </c>
      <c r="T1344" t="s">
        <v>145</v>
      </c>
      <c r="U1344" t="s">
        <v>145</v>
      </c>
      <c r="V1344" s="313">
        <v>0.55000000000000004</v>
      </c>
      <c r="W1344" s="313">
        <v>0.55000000000000004</v>
      </c>
      <c r="X1344" s="306" t="s">
        <v>248</v>
      </c>
      <c r="Y1344" s="328" t="s">
        <v>96</v>
      </c>
      <c r="Z1344" s="314" t="s">
        <v>100</v>
      </c>
      <c r="AA1344" s="326" t="s">
        <v>1498</v>
      </c>
      <c r="AB1344" s="334" t="s">
        <v>1739</v>
      </c>
      <c r="AC1344" s="334" t="s">
        <v>1702</v>
      </c>
      <c r="AD1344" s="326" t="s">
        <v>1717</v>
      </c>
      <c r="AE1344" s="326" t="s">
        <v>1725</v>
      </c>
      <c r="AG1344" s="326" t="s">
        <v>1707</v>
      </c>
      <c r="AH1344" s="326" t="s">
        <v>1714</v>
      </c>
      <c r="AQ1344">
        <v>1940</v>
      </c>
      <c r="AR1344" s="325" t="s">
        <v>1463</v>
      </c>
      <c r="AS1344" s="322"/>
      <c r="AT1344"/>
      <c r="AU1344"/>
      <c r="AV1344"/>
      <c r="AW1344" t="b">
        <v>1</v>
      </c>
      <c r="AX1344" t="b">
        <v>1</v>
      </c>
      <c r="AY1344" t="b">
        <v>1</v>
      </c>
    </row>
    <row r="1345" spans="1:51">
      <c r="A1345" s="277" t="s">
        <v>1328</v>
      </c>
      <c r="B1345" s="328" t="s">
        <v>105</v>
      </c>
      <c r="C1345" s="273">
        <f>'Schippers RD Namibia 2012'!B31</f>
        <v>1.85</v>
      </c>
      <c r="D1345" s="302">
        <f>'Schippers RD Namibia 2012'!C31</f>
        <v>337000000</v>
      </c>
      <c r="E1345" s="301">
        <f>'Schippers RD Namibia 2012'!F31</f>
        <v>17700000</v>
      </c>
      <c r="F1345" s="301">
        <f>'Schippers RD Namibia 2012'!G31</f>
        <v>2950000</v>
      </c>
      <c r="G1345" s="301">
        <f>E1345+F1345</f>
        <v>20650000</v>
      </c>
      <c r="H1345" s="27">
        <f>G1345/D1345</f>
        <v>6.1275964391691397E-2</v>
      </c>
      <c r="I1345" s="301">
        <f>'Schippers RD Namibia 2012'!H31</f>
        <v>50100000</v>
      </c>
      <c r="J1345" s="301">
        <f>'Schippers RD Namibia 2012'!I31</f>
        <v>83800000</v>
      </c>
      <c r="K1345" s="301">
        <f>I1345+J1345</f>
        <v>133900000</v>
      </c>
      <c r="L1345" s="301">
        <f>'Schippers RD Namibia 2012'!R31</f>
        <v>65200000</v>
      </c>
      <c r="M1345" s="27">
        <f>F1345/G1345</f>
        <v>0.14285714285714285</v>
      </c>
      <c r="N1345" s="27">
        <f>J1345/K1345</f>
        <v>0.62584017923823754</v>
      </c>
      <c r="O1345" s="303" t="s">
        <v>71</v>
      </c>
      <c r="P1345" s="334"/>
      <c r="R1345" t="s">
        <v>1278</v>
      </c>
      <c r="S1345" t="s">
        <v>141</v>
      </c>
      <c r="T1345" t="s">
        <v>145</v>
      </c>
      <c r="U1345" t="s">
        <v>145</v>
      </c>
      <c r="V1345" s="313">
        <v>0.55000000000000004</v>
      </c>
      <c r="W1345" s="313">
        <v>0.55000000000000004</v>
      </c>
      <c r="X1345" s="306" t="s">
        <v>248</v>
      </c>
      <c r="Y1345" s="334" t="s">
        <v>96</v>
      </c>
      <c r="Z1345" s="314" t="s">
        <v>100</v>
      </c>
      <c r="AA1345" s="326" t="s">
        <v>1498</v>
      </c>
      <c r="AB1345" s="334" t="s">
        <v>1739</v>
      </c>
      <c r="AC1345" s="334" t="s">
        <v>1702</v>
      </c>
      <c r="AD1345" s="326" t="s">
        <v>1717</v>
      </c>
      <c r="AE1345" s="326" t="s">
        <v>1725</v>
      </c>
      <c r="AG1345" s="326" t="s">
        <v>1707</v>
      </c>
      <c r="AH1345" s="326" t="s">
        <v>1714</v>
      </c>
      <c r="AQ1345">
        <v>1940</v>
      </c>
      <c r="AR1345" s="325" t="s">
        <v>1463</v>
      </c>
      <c r="AS1345" s="322"/>
      <c r="AT1345"/>
      <c r="AU1345"/>
      <c r="AV1345"/>
      <c r="AW1345" t="b">
        <v>1</v>
      </c>
      <c r="AX1345" t="b">
        <v>1</v>
      </c>
      <c r="AY1345" t="b">
        <v>1</v>
      </c>
    </row>
    <row r="1346" spans="1:51">
      <c r="A1346" s="277" t="s">
        <v>1328</v>
      </c>
      <c r="B1346" s="328" t="s">
        <v>105</v>
      </c>
      <c r="C1346" s="273">
        <f>'Schippers RD Namibia 2012'!B32</f>
        <v>3.08</v>
      </c>
      <c r="D1346" s="302">
        <f>'Schippers RD Namibia 2012'!C32</f>
        <v>482000000</v>
      </c>
      <c r="E1346" s="301">
        <f>'Schippers RD Namibia 2012'!F32</f>
        <v>8840000</v>
      </c>
      <c r="G1346" s="301">
        <f>E1346+F1346</f>
        <v>8840000</v>
      </c>
      <c r="H1346" s="27">
        <f>G1346/D1346</f>
        <v>1.8340248962655601E-2</v>
      </c>
      <c r="I1346" s="301">
        <f>'Schippers RD Namibia 2012'!H32</f>
        <v>15600000</v>
      </c>
      <c r="J1346" s="301">
        <f>'Schippers RD Namibia 2012'!I32</f>
        <v>26600000</v>
      </c>
      <c r="K1346" s="301">
        <f>I1346+J1346</f>
        <v>42200000</v>
      </c>
      <c r="L1346" s="301">
        <f>'Schippers RD Namibia 2012'!R32</f>
        <v>32900000</v>
      </c>
      <c r="M1346" s="27">
        <f>F1346/G1346</f>
        <v>0</v>
      </c>
      <c r="N1346" s="27">
        <f>J1346/K1346</f>
        <v>0.63033175355450233</v>
      </c>
      <c r="O1346" s="303" t="s">
        <v>71</v>
      </c>
      <c r="P1346" s="334"/>
      <c r="Q1346" s="301" t="b">
        <v>1</v>
      </c>
      <c r="R1346" t="s">
        <v>1278</v>
      </c>
      <c r="S1346" t="s">
        <v>141</v>
      </c>
      <c r="T1346" t="s">
        <v>145</v>
      </c>
      <c r="U1346" t="s">
        <v>145</v>
      </c>
      <c r="V1346" s="313">
        <v>0.55000000000000004</v>
      </c>
      <c r="W1346" s="313">
        <v>0.55000000000000004</v>
      </c>
      <c r="X1346" s="306" t="s">
        <v>248</v>
      </c>
      <c r="Y1346" s="334" t="s">
        <v>96</v>
      </c>
      <c r="Z1346" s="314" t="s">
        <v>100</v>
      </c>
      <c r="AA1346" s="326" t="s">
        <v>1498</v>
      </c>
      <c r="AB1346" s="334" t="s">
        <v>1739</v>
      </c>
      <c r="AC1346" s="334" t="s">
        <v>1702</v>
      </c>
      <c r="AD1346" s="326" t="s">
        <v>1717</v>
      </c>
      <c r="AE1346" s="326" t="s">
        <v>1725</v>
      </c>
      <c r="AG1346" s="326" t="s">
        <v>1707</v>
      </c>
      <c r="AH1346" s="326" t="s">
        <v>1714</v>
      </c>
      <c r="AQ1346">
        <v>1940</v>
      </c>
      <c r="AR1346" t="s">
        <v>1463</v>
      </c>
      <c r="AS1346" s="322"/>
      <c r="AT1346"/>
      <c r="AU1346"/>
      <c r="AV1346"/>
      <c r="AW1346" t="b">
        <v>1</v>
      </c>
      <c r="AX1346" t="b">
        <v>1</v>
      </c>
      <c r="AY1346" t="b">
        <v>1</v>
      </c>
    </row>
    <row r="1347" spans="1:51">
      <c r="A1347" s="277" t="s">
        <v>1328</v>
      </c>
      <c r="B1347" s="328" t="s">
        <v>105</v>
      </c>
      <c r="C1347" s="273">
        <f>'Schippers RD Namibia 2012'!B33</f>
        <v>4.41</v>
      </c>
      <c r="D1347" s="302">
        <f>'Schippers RD Namibia 2012'!C33</f>
        <v>385000000</v>
      </c>
      <c r="E1347" s="301">
        <f>'Schippers RD Namibia 2012'!F33</f>
        <v>5890000</v>
      </c>
      <c r="G1347" s="301">
        <f>E1347+F1347</f>
        <v>5890000</v>
      </c>
      <c r="H1347" s="27">
        <f>G1347/D1347</f>
        <v>1.5298701298701299E-2</v>
      </c>
      <c r="I1347" s="301">
        <f>'Schippers RD Namibia 2012'!H33</f>
        <v>14200000</v>
      </c>
      <c r="J1347" s="301">
        <f>'Schippers RD Namibia 2012'!I33</f>
        <v>14500000</v>
      </c>
      <c r="K1347" s="301">
        <f>I1347+J1347</f>
        <v>28700000</v>
      </c>
      <c r="L1347" s="301">
        <f>'Schippers RD Namibia 2012'!R33</f>
        <v>27200000</v>
      </c>
      <c r="M1347" s="27">
        <f>F1347/G1347</f>
        <v>0</v>
      </c>
      <c r="N1347" s="27">
        <f>J1347/K1347</f>
        <v>0.50522648083623689</v>
      </c>
      <c r="O1347" s="303" t="s">
        <v>71</v>
      </c>
      <c r="P1347" s="334"/>
      <c r="Q1347" s="301" t="b">
        <v>1</v>
      </c>
      <c r="R1347" t="s">
        <v>1278</v>
      </c>
      <c r="S1347" t="s">
        <v>141</v>
      </c>
      <c r="T1347" t="s">
        <v>145</v>
      </c>
      <c r="U1347" t="s">
        <v>145</v>
      </c>
      <c r="V1347" s="313">
        <v>0.55000000000000004</v>
      </c>
      <c r="W1347" s="313">
        <v>0.55000000000000004</v>
      </c>
      <c r="X1347" s="306" t="s">
        <v>248</v>
      </c>
      <c r="Y1347" s="334" t="s">
        <v>96</v>
      </c>
      <c r="Z1347" s="314" t="s">
        <v>100</v>
      </c>
      <c r="AA1347" s="334" t="s">
        <v>1498</v>
      </c>
      <c r="AB1347" s="334" t="s">
        <v>1739</v>
      </c>
      <c r="AC1347" s="334" t="s">
        <v>1702</v>
      </c>
      <c r="AD1347" s="326" t="s">
        <v>1717</v>
      </c>
      <c r="AE1347" s="334" t="s">
        <v>1725</v>
      </c>
      <c r="AG1347" s="326" t="s">
        <v>1707</v>
      </c>
      <c r="AH1347" s="326" t="s">
        <v>1714</v>
      </c>
      <c r="AQ1347">
        <v>1940</v>
      </c>
      <c r="AR1347" t="s">
        <v>1463</v>
      </c>
      <c r="AS1347" s="322"/>
      <c r="AT1347"/>
      <c r="AU1347"/>
      <c r="AV1347"/>
      <c r="AW1347" t="b">
        <v>1</v>
      </c>
      <c r="AX1347" t="b">
        <v>1</v>
      </c>
      <c r="AY1347" t="b">
        <v>1</v>
      </c>
    </row>
    <row r="1348" spans="1:51">
      <c r="A1348" s="277" t="s">
        <v>1328</v>
      </c>
      <c r="B1348" s="328" t="s">
        <v>105</v>
      </c>
      <c r="C1348" s="273">
        <f>'Schippers RD Namibia 2012'!B34</f>
        <v>5.38</v>
      </c>
      <c r="D1348" s="302">
        <f>'Schippers RD Namibia 2012'!C34</f>
        <v>155000000</v>
      </c>
      <c r="E1348" s="301">
        <f>'Schippers RD Namibia 2012'!F34</f>
        <v>2950000</v>
      </c>
      <c r="G1348" s="301">
        <f>E1348+F1348</f>
        <v>2950000</v>
      </c>
      <c r="H1348" s="27">
        <f>G1348/D1348</f>
        <v>1.9032258064516128E-2</v>
      </c>
      <c r="I1348" s="301">
        <f>'Schippers RD Namibia 2012'!H34</f>
        <v>4030000</v>
      </c>
      <c r="J1348" s="301">
        <f>'Schippers RD Namibia 2012'!I34</f>
        <v>4690000</v>
      </c>
      <c r="K1348" s="301">
        <f>I1348+J1348</f>
        <v>8720000</v>
      </c>
      <c r="L1348" s="301">
        <f>'Schippers RD Namibia 2012'!R34</f>
        <v>12300000</v>
      </c>
      <c r="M1348" s="27">
        <f>F1348/G1348</f>
        <v>0</v>
      </c>
      <c r="N1348" s="27">
        <f>J1348/K1348</f>
        <v>0.53784403669724767</v>
      </c>
      <c r="O1348" s="303" t="s">
        <v>71</v>
      </c>
      <c r="P1348" s="334"/>
      <c r="Q1348" s="301" t="b">
        <v>1</v>
      </c>
      <c r="R1348" t="s">
        <v>1278</v>
      </c>
      <c r="S1348" s="304" t="s">
        <v>141</v>
      </c>
      <c r="T1348" s="304" t="s">
        <v>145</v>
      </c>
      <c r="U1348" t="s">
        <v>145</v>
      </c>
      <c r="V1348" s="313">
        <v>0.55000000000000004</v>
      </c>
      <c r="W1348" s="313">
        <v>0.55000000000000004</v>
      </c>
      <c r="X1348" s="306" t="s">
        <v>248</v>
      </c>
      <c r="Y1348" s="334" t="s">
        <v>96</v>
      </c>
      <c r="Z1348" s="314" t="s">
        <v>100</v>
      </c>
      <c r="AA1348" s="326" t="s">
        <v>1498</v>
      </c>
      <c r="AB1348" s="334" t="s">
        <v>1739</v>
      </c>
      <c r="AC1348" s="334" t="s">
        <v>1702</v>
      </c>
      <c r="AD1348" s="326" t="s">
        <v>1717</v>
      </c>
      <c r="AE1348" s="326" t="s">
        <v>1725</v>
      </c>
      <c r="AG1348" s="326" t="s">
        <v>1707</v>
      </c>
      <c r="AH1348" s="326" t="s">
        <v>1714</v>
      </c>
      <c r="AQ1348">
        <v>1940</v>
      </c>
      <c r="AR1348" t="s">
        <v>1463</v>
      </c>
      <c r="AS1348" s="322"/>
      <c r="AT1348"/>
      <c r="AU1348"/>
      <c r="AV1348"/>
      <c r="AW1348" t="b">
        <v>1</v>
      </c>
      <c r="AX1348" t="b">
        <v>1</v>
      </c>
      <c r="AY1348" t="b">
        <v>1</v>
      </c>
    </row>
    <row r="1349" spans="1:51">
      <c r="A1349" s="277" t="s">
        <v>1328</v>
      </c>
      <c r="B1349" s="328" t="s">
        <v>106</v>
      </c>
      <c r="C1349" s="273">
        <f>'Schippers RD Namibia 2012'!B37</f>
        <v>0.01</v>
      </c>
      <c r="D1349" s="302">
        <f>'Schippers RD Namibia 2012'!C37</f>
        <v>2460000000</v>
      </c>
      <c r="E1349" s="301">
        <f>'Schippers RD Namibia 2012'!F37</f>
        <v>350000000</v>
      </c>
      <c r="F1349" s="301">
        <f>'Schippers RD Namibia 2012'!G37</f>
        <v>177000000</v>
      </c>
      <c r="G1349" s="301">
        <f>E1349+F1349</f>
        <v>527000000</v>
      </c>
      <c r="H1349" s="27">
        <f>G1349/D1349</f>
        <v>0.21422764227642277</v>
      </c>
      <c r="I1349" s="301">
        <f>'Schippers RD Namibia 2012'!H37</f>
        <v>314000000</v>
      </c>
      <c r="J1349" s="301">
        <f>'Schippers RD Namibia 2012'!I37</f>
        <v>20700000</v>
      </c>
      <c r="K1349" s="301">
        <f>I1349+J1349</f>
        <v>334700000</v>
      </c>
      <c r="L1349" s="301">
        <f>'Schippers RD Namibia 2012'!R37</f>
        <v>327000000</v>
      </c>
      <c r="M1349" s="27">
        <f>F1349/G1349</f>
        <v>0.33586337760910817</v>
      </c>
      <c r="N1349" s="27">
        <f>J1349/K1349</f>
        <v>6.184642963848222E-2</v>
      </c>
      <c r="O1349" s="303" t="s">
        <v>71</v>
      </c>
      <c r="P1349" s="334"/>
      <c r="R1349" s="304" t="s">
        <v>1278</v>
      </c>
      <c r="S1349" s="304" t="s">
        <v>141</v>
      </c>
      <c r="T1349" s="304" t="s">
        <v>145</v>
      </c>
      <c r="U1349" s="304" t="s">
        <v>145</v>
      </c>
      <c r="V1349" s="313">
        <v>0.55000000000000004</v>
      </c>
      <c r="W1349" s="313">
        <v>0.55000000000000004</v>
      </c>
      <c r="X1349" s="306" t="s">
        <v>248</v>
      </c>
      <c r="Y1349" s="328" t="s">
        <v>96</v>
      </c>
      <c r="Z1349" s="314" t="s">
        <v>100</v>
      </c>
      <c r="AA1349" s="326" t="s">
        <v>1498</v>
      </c>
      <c r="AB1349" s="334" t="s">
        <v>1739</v>
      </c>
      <c r="AC1349" s="334" t="s">
        <v>1702</v>
      </c>
      <c r="AD1349" s="326" t="s">
        <v>1717</v>
      </c>
      <c r="AE1349" s="326" t="s">
        <v>1725</v>
      </c>
      <c r="AG1349" s="326" t="s">
        <v>1707</v>
      </c>
      <c r="AH1349" s="326" t="s">
        <v>1714</v>
      </c>
      <c r="AQ1349">
        <v>3795</v>
      </c>
      <c r="AR1349" t="s">
        <v>1463</v>
      </c>
      <c r="AS1349" s="322"/>
      <c r="AT1349"/>
      <c r="AU1349"/>
      <c r="AV1349"/>
      <c r="AW1349" t="b">
        <v>1</v>
      </c>
      <c r="AX1349" t="b">
        <v>1</v>
      </c>
      <c r="AY1349" t="b">
        <v>1</v>
      </c>
    </row>
    <row r="1350" spans="1:51">
      <c r="A1350" s="277" t="s">
        <v>1328</v>
      </c>
      <c r="B1350" s="328" t="s">
        <v>106</v>
      </c>
      <c r="C1350" s="273">
        <f>'Schippers RD Namibia 2012'!B38</f>
        <v>0.03</v>
      </c>
      <c r="D1350" s="302">
        <f>'Schippers RD Namibia 2012'!C38</f>
        <v>1950000000</v>
      </c>
      <c r="E1350" s="301">
        <f>'Schippers RD Namibia 2012'!F38</f>
        <v>32600000</v>
      </c>
      <c r="F1350" s="301">
        <f>'Schippers RD Namibia 2012'!G38</f>
        <v>43200000</v>
      </c>
      <c r="G1350" s="301">
        <f>E1350+F1350</f>
        <v>75800000</v>
      </c>
      <c r="H1350" s="27">
        <f>G1350/D1350</f>
        <v>3.8871794871794874E-2</v>
      </c>
      <c r="I1350" s="301">
        <f>'Schippers RD Namibia 2012'!H38</f>
        <v>326000000</v>
      </c>
      <c r="J1350" s="301">
        <f>'Schippers RD Namibia 2012'!I38</f>
        <v>1980000</v>
      </c>
      <c r="K1350" s="301">
        <f>I1350+J1350</f>
        <v>327980000</v>
      </c>
      <c r="L1350" s="301">
        <f>'Schippers RD Namibia 2012'!R38</f>
        <v>155000000</v>
      </c>
      <c r="M1350" s="27">
        <f>F1350/G1350</f>
        <v>0.56992084432717682</v>
      </c>
      <c r="N1350" s="27">
        <f>J1350/K1350</f>
        <v>6.0369534727727301E-3</v>
      </c>
      <c r="O1350" s="303" t="s">
        <v>71</v>
      </c>
      <c r="P1350" s="334"/>
      <c r="R1350" s="304" t="s">
        <v>1278</v>
      </c>
      <c r="S1350" s="304" t="s">
        <v>141</v>
      </c>
      <c r="T1350" s="304" t="s">
        <v>145</v>
      </c>
      <c r="U1350" s="304" t="s">
        <v>145</v>
      </c>
      <c r="V1350" s="313">
        <v>0.55000000000000004</v>
      </c>
      <c r="W1350" s="313">
        <v>0.55000000000000004</v>
      </c>
      <c r="X1350" s="306" t="s">
        <v>248</v>
      </c>
      <c r="Y1350" s="328" t="s">
        <v>96</v>
      </c>
      <c r="Z1350" s="314" t="s">
        <v>100</v>
      </c>
      <c r="AA1350" s="326" t="s">
        <v>1498</v>
      </c>
      <c r="AB1350" s="334" t="s">
        <v>1739</v>
      </c>
      <c r="AC1350" s="334" t="s">
        <v>1702</v>
      </c>
      <c r="AD1350" s="326" t="s">
        <v>1717</v>
      </c>
      <c r="AE1350" s="326" t="s">
        <v>1725</v>
      </c>
      <c r="AG1350" s="326" t="s">
        <v>1707</v>
      </c>
      <c r="AH1350" s="326" t="s">
        <v>1714</v>
      </c>
      <c r="AQ1350">
        <v>3795</v>
      </c>
      <c r="AR1350" t="s">
        <v>1463</v>
      </c>
      <c r="AS1350" s="322"/>
      <c r="AW1350" t="b">
        <v>1</v>
      </c>
      <c r="AX1350" t="b">
        <v>1</v>
      </c>
      <c r="AY1350" t="b">
        <v>1</v>
      </c>
    </row>
    <row r="1351" spans="1:51">
      <c r="A1351" s="277" t="s">
        <v>1328</v>
      </c>
      <c r="B1351" s="328" t="s">
        <v>106</v>
      </c>
      <c r="C1351" s="273">
        <f>'Schippers RD Namibia 2012'!B39</f>
        <v>0.05</v>
      </c>
      <c r="D1351" s="302">
        <f>'Schippers RD Namibia 2012'!C39</f>
        <v>1530000000</v>
      </c>
      <c r="E1351" s="301">
        <f>'Schippers RD Namibia 2012'!F39</f>
        <v>45600000</v>
      </c>
      <c r="F1351" s="301">
        <f>'Schippers RD Namibia 2012'!G39</f>
        <v>22000000</v>
      </c>
      <c r="G1351" s="301">
        <f>E1351+F1351</f>
        <v>67600000</v>
      </c>
      <c r="H1351" s="27">
        <f>G1351/D1351</f>
        <v>4.4183006535947714E-2</v>
      </c>
      <c r="I1351" s="301">
        <f>'Schippers RD Namibia 2012'!H39</f>
        <v>500000000</v>
      </c>
      <c r="J1351" s="301">
        <f>'Schippers RD Namibia 2012'!I39</f>
        <v>28800000</v>
      </c>
      <c r="K1351" s="301">
        <f>I1351+J1351</f>
        <v>528800000</v>
      </c>
      <c r="L1351" s="301">
        <f>'Schippers RD Namibia 2012'!R39</f>
        <v>239000000</v>
      </c>
      <c r="M1351" s="27">
        <f>F1351/G1351</f>
        <v>0.32544378698224852</v>
      </c>
      <c r="N1351" s="27">
        <f>J1351/K1351</f>
        <v>5.4462934947049922E-2</v>
      </c>
      <c r="O1351" s="303" t="s">
        <v>71</v>
      </c>
      <c r="P1351" s="334"/>
      <c r="R1351" s="304" t="s">
        <v>1278</v>
      </c>
      <c r="S1351" s="304" t="s">
        <v>141</v>
      </c>
      <c r="T1351" s="304" t="s">
        <v>145</v>
      </c>
      <c r="U1351" s="304" t="s">
        <v>145</v>
      </c>
      <c r="V1351" s="313">
        <v>0.55000000000000004</v>
      </c>
      <c r="W1351" s="313">
        <v>0.55000000000000004</v>
      </c>
      <c r="X1351" s="306" t="s">
        <v>248</v>
      </c>
      <c r="Y1351" s="328" t="s">
        <v>96</v>
      </c>
      <c r="Z1351" s="314" t="s">
        <v>100</v>
      </c>
      <c r="AA1351" s="326" t="s">
        <v>1498</v>
      </c>
      <c r="AB1351" s="334" t="s">
        <v>1739</v>
      </c>
      <c r="AC1351" s="334" t="s">
        <v>1702</v>
      </c>
      <c r="AD1351" s="326" t="s">
        <v>1717</v>
      </c>
      <c r="AE1351" s="326" t="s">
        <v>1725</v>
      </c>
      <c r="AG1351" s="326" t="s">
        <v>1707</v>
      </c>
      <c r="AH1351" s="326" t="s">
        <v>1714</v>
      </c>
      <c r="AQ1351">
        <v>3795</v>
      </c>
      <c r="AR1351" t="s">
        <v>1463</v>
      </c>
      <c r="AS1351" s="322"/>
      <c r="AW1351" t="b">
        <v>1</v>
      </c>
      <c r="AX1351" t="b">
        <v>1</v>
      </c>
      <c r="AY1351" t="b">
        <v>1</v>
      </c>
    </row>
    <row r="1352" spans="1:51">
      <c r="A1352" s="277" t="s">
        <v>1328</v>
      </c>
      <c r="B1352" s="328" t="s">
        <v>106</v>
      </c>
      <c r="C1352" s="273">
        <f>'Schippers RD Namibia 2012'!B40</f>
        <v>7.0000000000000007E-2</v>
      </c>
      <c r="D1352" s="302">
        <f>'Schippers RD Namibia 2012'!C40</f>
        <v>557000000</v>
      </c>
      <c r="E1352" s="301">
        <f>'Schippers RD Namibia 2012'!F40</f>
        <v>9340000</v>
      </c>
      <c r="F1352" s="301">
        <f>'Schippers RD Namibia 2012'!G40</f>
        <v>25100000</v>
      </c>
      <c r="G1352" s="301">
        <f>E1352+F1352</f>
        <v>34440000</v>
      </c>
      <c r="H1352" s="27">
        <f>G1352/D1352</f>
        <v>6.1831238779174146E-2</v>
      </c>
      <c r="I1352" s="301">
        <f>'Schippers RD Namibia 2012'!H40</f>
        <v>31300000</v>
      </c>
      <c r="J1352" s="301">
        <f>'Schippers RD Namibia 2012'!I40</f>
        <v>17500000</v>
      </c>
      <c r="K1352" s="301">
        <f>I1352+J1352</f>
        <v>48800000</v>
      </c>
      <c r="L1352" s="301">
        <f>'Schippers RD Namibia 2012'!R40</f>
        <v>25200000</v>
      </c>
      <c r="M1352" s="27">
        <f>F1352/G1352</f>
        <v>0.72880371660859466</v>
      </c>
      <c r="N1352" s="27">
        <f>J1352/K1352</f>
        <v>0.35860655737704916</v>
      </c>
      <c r="O1352" s="303" t="s">
        <v>71</v>
      </c>
      <c r="P1352" s="334"/>
      <c r="R1352" s="304" t="s">
        <v>1278</v>
      </c>
      <c r="S1352" s="304" t="s">
        <v>141</v>
      </c>
      <c r="T1352" s="304" t="s">
        <v>145</v>
      </c>
      <c r="U1352" s="304" t="s">
        <v>145</v>
      </c>
      <c r="V1352" s="313">
        <v>0.55000000000000004</v>
      </c>
      <c r="W1352" s="313">
        <v>0.55000000000000004</v>
      </c>
      <c r="X1352" s="306" t="s">
        <v>248</v>
      </c>
      <c r="Y1352" s="328" t="s">
        <v>96</v>
      </c>
      <c r="Z1352" s="314" t="s">
        <v>100</v>
      </c>
      <c r="AA1352" s="326" t="s">
        <v>1498</v>
      </c>
      <c r="AB1352" s="334" t="s">
        <v>1739</v>
      </c>
      <c r="AC1352" s="334" t="s">
        <v>1702</v>
      </c>
      <c r="AD1352" s="326" t="s">
        <v>1717</v>
      </c>
      <c r="AE1352" s="326" t="s">
        <v>1725</v>
      </c>
      <c r="AG1352" s="326" t="s">
        <v>1707</v>
      </c>
      <c r="AH1352" s="326" t="s">
        <v>1714</v>
      </c>
      <c r="AQ1352">
        <v>3795</v>
      </c>
      <c r="AR1352" t="s">
        <v>1463</v>
      </c>
      <c r="AS1352" s="322"/>
      <c r="AW1352" t="b">
        <v>1</v>
      </c>
      <c r="AX1352" t="b">
        <v>1</v>
      </c>
      <c r="AY1352" t="b">
        <v>1</v>
      </c>
    </row>
    <row r="1353" spans="1:51">
      <c r="A1353" s="277" t="s">
        <v>1328</v>
      </c>
      <c r="B1353" s="328" t="s">
        <v>106</v>
      </c>
      <c r="C1353" s="273">
        <f>'Schippers RD Namibia 2012'!B41</f>
        <v>0.09</v>
      </c>
      <c r="D1353" s="302">
        <f>'Schippers RD Namibia 2012'!C41</f>
        <v>484000000</v>
      </c>
      <c r="E1353" s="301">
        <f>'Schippers RD Namibia 2012'!F41</f>
        <v>2630000</v>
      </c>
      <c r="F1353" s="301">
        <f>'Schippers RD Namibia 2012'!G41</f>
        <v>17300000</v>
      </c>
      <c r="G1353" s="301">
        <f>E1353+F1353</f>
        <v>19930000</v>
      </c>
      <c r="H1353" s="27">
        <f>G1353/D1353</f>
        <v>4.1177685950413226E-2</v>
      </c>
      <c r="I1353" s="301">
        <f>'Schippers RD Namibia 2012'!H41</f>
        <v>48700000</v>
      </c>
      <c r="J1353" s="301">
        <f>'Schippers RD Namibia 2012'!I41</f>
        <v>35000000</v>
      </c>
      <c r="K1353" s="301">
        <f>I1353+J1353</f>
        <v>83700000</v>
      </c>
      <c r="L1353" s="301">
        <f>'Schippers RD Namibia 2012'!R41</f>
        <v>19900000</v>
      </c>
      <c r="M1353" s="27">
        <f>F1353/G1353</f>
        <v>0.86803813346713499</v>
      </c>
      <c r="N1353" s="27">
        <f>J1353/K1353</f>
        <v>0.41816009557945044</v>
      </c>
      <c r="O1353" s="303" t="s">
        <v>71</v>
      </c>
      <c r="P1353" s="334"/>
      <c r="R1353" s="304" t="s">
        <v>1278</v>
      </c>
      <c r="S1353" s="304" t="s">
        <v>141</v>
      </c>
      <c r="T1353" s="304" t="s">
        <v>145</v>
      </c>
      <c r="U1353" s="304" t="s">
        <v>145</v>
      </c>
      <c r="V1353" s="313">
        <v>0.55000000000000004</v>
      </c>
      <c r="W1353" s="313">
        <v>0.55000000000000004</v>
      </c>
      <c r="X1353" s="306" t="s">
        <v>248</v>
      </c>
      <c r="Y1353" s="328" t="s">
        <v>96</v>
      </c>
      <c r="Z1353" s="314" t="s">
        <v>100</v>
      </c>
      <c r="AA1353" s="326" t="s">
        <v>1498</v>
      </c>
      <c r="AB1353" s="334" t="s">
        <v>1739</v>
      </c>
      <c r="AC1353" s="334" t="s">
        <v>1702</v>
      </c>
      <c r="AD1353" s="326" t="s">
        <v>1717</v>
      </c>
      <c r="AE1353" s="326" t="s">
        <v>1725</v>
      </c>
      <c r="AG1353" s="326" t="s">
        <v>1707</v>
      </c>
      <c r="AH1353" s="326" t="s">
        <v>1714</v>
      </c>
      <c r="AQ1353">
        <v>3795</v>
      </c>
      <c r="AR1353" t="s">
        <v>1463</v>
      </c>
      <c r="AS1353" s="322"/>
      <c r="AW1353" t="b">
        <v>1</v>
      </c>
      <c r="AX1353" t="b">
        <v>1</v>
      </c>
      <c r="AY1353" t="b">
        <v>1</v>
      </c>
    </row>
    <row r="1354" spans="1:51">
      <c r="A1354" s="277" t="s">
        <v>1328</v>
      </c>
      <c r="B1354" s="328" t="s">
        <v>106</v>
      </c>
      <c r="C1354" s="273">
        <f>'Schippers RD Namibia 2012'!B42</f>
        <v>0.11</v>
      </c>
      <c r="D1354" s="302">
        <f>'Schippers RD Namibia 2012'!C42</f>
        <v>498000000</v>
      </c>
      <c r="E1354" s="301">
        <f>'Schippers RD Namibia 2012'!F42</f>
        <v>9640000</v>
      </c>
      <c r="F1354" s="301">
        <f>'Schippers RD Namibia 2012'!G42</f>
        <v>23600000</v>
      </c>
      <c r="G1354" s="301">
        <f>E1354+F1354</f>
        <v>33240000</v>
      </c>
      <c r="H1354" s="27">
        <f>G1354/D1354</f>
        <v>6.6746987951807224E-2</v>
      </c>
      <c r="I1354" s="301">
        <f>'Schippers RD Namibia 2012'!H42</f>
        <v>10900000</v>
      </c>
      <c r="J1354" s="301">
        <f>'Schippers RD Namibia 2012'!I42</f>
        <v>2910000</v>
      </c>
      <c r="K1354" s="301">
        <f>I1354+J1354</f>
        <v>13810000</v>
      </c>
      <c r="L1354" s="301">
        <f>'Schippers RD Namibia 2012'!R42</f>
        <v>3520000</v>
      </c>
      <c r="M1354" s="27">
        <f>F1354/G1354</f>
        <v>0.70998796630565586</v>
      </c>
      <c r="N1354" s="27">
        <f>J1354/K1354</f>
        <v>0.2107168718320058</v>
      </c>
      <c r="O1354" s="303" t="s">
        <v>71</v>
      </c>
      <c r="P1354" s="334"/>
      <c r="R1354" s="304" t="s">
        <v>1278</v>
      </c>
      <c r="S1354" s="304" t="s">
        <v>141</v>
      </c>
      <c r="T1354" s="304" t="s">
        <v>145</v>
      </c>
      <c r="U1354" s="304" t="s">
        <v>145</v>
      </c>
      <c r="V1354" s="313">
        <v>0.55000000000000004</v>
      </c>
      <c r="W1354" s="313">
        <v>0.55000000000000004</v>
      </c>
      <c r="X1354" s="306" t="s">
        <v>248</v>
      </c>
      <c r="Y1354" s="328" t="s">
        <v>96</v>
      </c>
      <c r="Z1354" s="314" t="s">
        <v>100</v>
      </c>
      <c r="AA1354" s="326" t="s">
        <v>1498</v>
      </c>
      <c r="AB1354" s="334" t="s">
        <v>1739</v>
      </c>
      <c r="AC1354" s="334" t="s">
        <v>1702</v>
      </c>
      <c r="AD1354" s="326" t="s">
        <v>1717</v>
      </c>
      <c r="AE1354" s="326" t="s">
        <v>1725</v>
      </c>
      <c r="AG1354" s="326" t="s">
        <v>1707</v>
      </c>
      <c r="AH1354" s="326" t="s">
        <v>1714</v>
      </c>
      <c r="AQ1354">
        <v>3795</v>
      </c>
      <c r="AR1354" t="s">
        <v>1463</v>
      </c>
      <c r="AS1354" s="322"/>
      <c r="AW1354" t="b">
        <v>1</v>
      </c>
      <c r="AX1354" t="b">
        <v>1</v>
      </c>
      <c r="AY1354" t="b">
        <v>1</v>
      </c>
    </row>
    <row r="1355" spans="1:51">
      <c r="A1355" s="277" t="s">
        <v>1328</v>
      </c>
      <c r="B1355" s="328" t="s">
        <v>106</v>
      </c>
      <c r="C1355" s="273">
        <f>'Schippers RD Namibia 2012'!B43</f>
        <v>0.56000000000000005</v>
      </c>
      <c r="D1355" s="302">
        <f>'Schippers RD Namibia 2012'!C43</f>
        <v>320000000</v>
      </c>
      <c r="E1355" s="301">
        <f>'Schippers RD Namibia 2012'!F43</f>
        <v>1240000</v>
      </c>
      <c r="G1355" s="301">
        <f>E1355+F1355</f>
        <v>1240000</v>
      </c>
      <c r="H1355" s="27">
        <f>G1355/D1355</f>
        <v>3.875E-3</v>
      </c>
      <c r="I1355" s="301">
        <f>'Schippers RD Namibia 2012'!H43</f>
        <v>40900000</v>
      </c>
      <c r="J1355" s="301">
        <f>'Schippers RD Namibia 2012'!I43</f>
        <v>56900000</v>
      </c>
      <c r="K1355" s="301">
        <f>I1355+J1355</f>
        <v>97800000</v>
      </c>
      <c r="L1355" s="301">
        <f>'Schippers RD Namibia 2012'!R43</f>
        <v>49900000</v>
      </c>
      <c r="M1355" s="27">
        <f>F1355/G1355</f>
        <v>0</v>
      </c>
      <c r="N1355" s="27">
        <f>J1355/K1355</f>
        <v>0.58179959100204504</v>
      </c>
      <c r="O1355" s="303" t="s">
        <v>71</v>
      </c>
      <c r="P1355" s="334"/>
      <c r="Q1355" s="301" t="b">
        <v>1</v>
      </c>
      <c r="R1355" s="304" t="s">
        <v>1278</v>
      </c>
      <c r="S1355" s="304" t="s">
        <v>141</v>
      </c>
      <c r="T1355" s="304" t="s">
        <v>145</v>
      </c>
      <c r="U1355" s="304" t="s">
        <v>145</v>
      </c>
      <c r="V1355" s="313">
        <v>0.55000000000000004</v>
      </c>
      <c r="W1355" s="313">
        <v>0.55000000000000004</v>
      </c>
      <c r="X1355" s="306" t="s">
        <v>248</v>
      </c>
      <c r="Y1355" s="328" t="s">
        <v>96</v>
      </c>
      <c r="Z1355" s="314" t="s">
        <v>100</v>
      </c>
      <c r="AA1355" s="326" t="s">
        <v>1498</v>
      </c>
      <c r="AB1355" s="334" t="s">
        <v>1739</v>
      </c>
      <c r="AC1355" s="334" t="s">
        <v>1702</v>
      </c>
      <c r="AD1355" s="326" t="s">
        <v>1717</v>
      </c>
      <c r="AE1355" s="326" t="s">
        <v>1725</v>
      </c>
      <c r="AG1355" s="326" t="s">
        <v>1707</v>
      </c>
      <c r="AH1355" s="326" t="s">
        <v>1714</v>
      </c>
      <c r="AQ1355">
        <v>3795</v>
      </c>
      <c r="AR1355" t="s">
        <v>1463</v>
      </c>
      <c r="AS1355" s="322"/>
      <c r="AW1355" t="b">
        <v>1</v>
      </c>
      <c r="AX1355" t="b">
        <v>1</v>
      </c>
      <c r="AY1355" t="b">
        <v>1</v>
      </c>
    </row>
    <row r="1356" spans="1:51">
      <c r="A1356" s="277" t="s">
        <v>1328</v>
      </c>
      <c r="B1356" s="328" t="s">
        <v>106</v>
      </c>
      <c r="C1356" s="273">
        <f>'Schippers RD Namibia 2012'!B44</f>
        <v>1.3</v>
      </c>
      <c r="D1356" s="302">
        <f>'Schippers RD Namibia 2012'!C44</f>
        <v>220000000</v>
      </c>
      <c r="E1356" s="301">
        <f>'Schippers RD Namibia 2012'!F44</f>
        <v>1370000</v>
      </c>
      <c r="G1356" s="301">
        <f>E1356+F1356</f>
        <v>1370000</v>
      </c>
      <c r="H1356" s="27">
        <f>G1356/D1356</f>
        <v>6.2272727272727271E-3</v>
      </c>
      <c r="I1356" s="301">
        <f>'Schippers RD Namibia 2012'!H44</f>
        <v>23200000</v>
      </c>
      <c r="J1356" s="301">
        <f>'Schippers RD Namibia 2012'!I44</f>
        <v>27400000</v>
      </c>
      <c r="K1356" s="301">
        <f>I1356+J1356</f>
        <v>50600000</v>
      </c>
      <c r="L1356" s="301">
        <f>'Schippers RD Namibia 2012'!R44</f>
        <v>24900000</v>
      </c>
      <c r="M1356" s="27">
        <f>F1356/G1356</f>
        <v>0</v>
      </c>
      <c r="N1356" s="27">
        <f>J1356/K1356</f>
        <v>0.54150197628458496</v>
      </c>
      <c r="O1356" s="303" t="s">
        <v>71</v>
      </c>
      <c r="P1356" s="334"/>
      <c r="Q1356" s="301" t="b">
        <v>1</v>
      </c>
      <c r="R1356" s="304" t="s">
        <v>1278</v>
      </c>
      <c r="S1356" s="304" t="s">
        <v>141</v>
      </c>
      <c r="T1356" s="304" t="s">
        <v>145</v>
      </c>
      <c r="U1356" s="304" t="s">
        <v>145</v>
      </c>
      <c r="V1356" s="313">
        <v>0.55000000000000004</v>
      </c>
      <c r="W1356" s="313">
        <v>0.55000000000000004</v>
      </c>
      <c r="X1356" s="306" t="s">
        <v>248</v>
      </c>
      <c r="Y1356" s="334" t="s">
        <v>96</v>
      </c>
      <c r="Z1356" s="314" t="s">
        <v>100</v>
      </c>
      <c r="AA1356" s="326" t="s">
        <v>1498</v>
      </c>
      <c r="AB1356" s="334" t="s">
        <v>1739</v>
      </c>
      <c r="AC1356" s="334" t="s">
        <v>1702</v>
      </c>
      <c r="AD1356" s="326" t="s">
        <v>1717</v>
      </c>
      <c r="AE1356" s="326" t="s">
        <v>1725</v>
      </c>
      <c r="AG1356" s="326" t="s">
        <v>1707</v>
      </c>
      <c r="AH1356" s="326" t="s">
        <v>1714</v>
      </c>
      <c r="AQ1356">
        <v>3795</v>
      </c>
      <c r="AR1356" t="s">
        <v>1463</v>
      </c>
      <c r="AS1356" s="322"/>
      <c r="AW1356" t="b">
        <v>1</v>
      </c>
      <c r="AX1356" t="b">
        <v>1</v>
      </c>
      <c r="AY1356" t="b">
        <v>1</v>
      </c>
    </row>
    <row r="1357" spans="1:51">
      <c r="A1357" s="277" t="s">
        <v>1328</v>
      </c>
      <c r="B1357" s="328" t="s">
        <v>106</v>
      </c>
      <c r="C1357" s="273">
        <f>'Schippers RD Namibia 2012'!B45</f>
        <v>1.8</v>
      </c>
      <c r="D1357" s="302">
        <f>'Schippers RD Namibia 2012'!C45</f>
        <v>171000000</v>
      </c>
      <c r="E1357" s="301">
        <f>'Schippers RD Namibia 2012'!F45</f>
        <v>393000</v>
      </c>
      <c r="G1357" s="301">
        <f>E1357+F1357</f>
        <v>393000</v>
      </c>
      <c r="H1357" s="27">
        <f>G1357/D1357</f>
        <v>2.2982456140350875E-3</v>
      </c>
      <c r="I1357" s="301">
        <f>'Schippers RD Namibia 2012'!H45</f>
        <v>12600000</v>
      </c>
      <c r="J1357" s="301">
        <f>'Schippers RD Namibia 2012'!I45</f>
        <v>7400000</v>
      </c>
      <c r="K1357" s="301">
        <f>I1357+J1357</f>
        <v>20000000</v>
      </c>
      <c r="L1357" s="301">
        <f>'Schippers RD Namibia 2012'!R45</f>
        <v>15900000</v>
      </c>
      <c r="M1357" s="27">
        <f>F1357/G1357</f>
        <v>0</v>
      </c>
      <c r="N1357" s="27">
        <f>J1357/K1357</f>
        <v>0.37</v>
      </c>
      <c r="O1357" s="303" t="s">
        <v>71</v>
      </c>
      <c r="P1357" s="334"/>
      <c r="Q1357" s="301" t="b">
        <v>1</v>
      </c>
      <c r="R1357" s="304" t="s">
        <v>1278</v>
      </c>
      <c r="S1357" s="304" t="s">
        <v>141</v>
      </c>
      <c r="T1357" s="304" t="s">
        <v>145</v>
      </c>
      <c r="U1357" s="304" t="s">
        <v>145</v>
      </c>
      <c r="V1357" s="313">
        <v>0.55000000000000004</v>
      </c>
      <c r="W1357" s="313">
        <v>0.55000000000000004</v>
      </c>
      <c r="X1357" s="306" t="s">
        <v>248</v>
      </c>
      <c r="Y1357" s="334" t="s">
        <v>96</v>
      </c>
      <c r="Z1357" s="314" t="s">
        <v>100</v>
      </c>
      <c r="AA1357" s="326" t="s">
        <v>1498</v>
      </c>
      <c r="AB1357" s="334" t="s">
        <v>1739</v>
      </c>
      <c r="AC1357" s="334" t="s">
        <v>1702</v>
      </c>
      <c r="AD1357" s="326" t="s">
        <v>1717</v>
      </c>
      <c r="AE1357" s="326" t="s">
        <v>1725</v>
      </c>
      <c r="AG1357" s="326" t="s">
        <v>1707</v>
      </c>
      <c r="AH1357" s="326" t="s">
        <v>1714</v>
      </c>
      <c r="AQ1357">
        <v>3795</v>
      </c>
      <c r="AR1357" t="s">
        <v>1463</v>
      </c>
      <c r="AS1357" s="322"/>
      <c r="AW1357" t="b">
        <v>1</v>
      </c>
      <c r="AX1357" t="b">
        <v>1</v>
      </c>
      <c r="AY1357" t="b">
        <v>1</v>
      </c>
    </row>
    <row r="1358" spans="1:51">
      <c r="A1358" s="277" t="s">
        <v>1328</v>
      </c>
      <c r="B1358" s="328" t="s">
        <v>106</v>
      </c>
      <c r="C1358" s="273">
        <f>'Schippers RD Namibia 2012'!B47</f>
        <v>3.06</v>
      </c>
      <c r="D1358" s="302">
        <f>'Schippers RD Namibia 2012'!C47</f>
        <v>54100000</v>
      </c>
      <c r="E1358" s="301">
        <f>'Schippers RD Namibia 2012'!F47</f>
        <v>196000</v>
      </c>
      <c r="G1358" s="301">
        <f>E1358+F1358</f>
        <v>196000</v>
      </c>
      <c r="H1358" s="27">
        <f>G1358/D1358</f>
        <v>3.6229205175600738E-3</v>
      </c>
      <c r="I1358" s="301">
        <f>'Schippers RD Namibia 2012'!H47</f>
        <v>11100000</v>
      </c>
      <c r="J1358" s="301">
        <f>'Schippers RD Namibia 2012'!I47</f>
        <v>2260000</v>
      </c>
      <c r="K1358" s="301">
        <f>I1358+J1358</f>
        <v>13360000</v>
      </c>
      <c r="L1358" s="301">
        <f>'Schippers RD Namibia 2012'!R47</f>
        <v>6780000</v>
      </c>
      <c r="M1358" s="27">
        <f>F1358/G1358</f>
        <v>0</v>
      </c>
      <c r="N1358" s="27">
        <f>J1358/K1358</f>
        <v>0.16916167664670659</v>
      </c>
      <c r="O1358" s="303" t="s">
        <v>71</v>
      </c>
      <c r="P1358" s="334"/>
      <c r="Q1358" s="301" t="b">
        <v>1</v>
      </c>
      <c r="R1358" s="304" t="s">
        <v>1278</v>
      </c>
      <c r="S1358" s="304" t="s">
        <v>141</v>
      </c>
      <c r="T1358" s="304" t="s">
        <v>145</v>
      </c>
      <c r="U1358" s="304" t="s">
        <v>145</v>
      </c>
      <c r="V1358" s="313">
        <v>0.55000000000000004</v>
      </c>
      <c r="W1358" s="313">
        <v>0.55000000000000004</v>
      </c>
      <c r="X1358" s="306" t="s">
        <v>248</v>
      </c>
      <c r="Y1358" s="334" t="s">
        <v>96</v>
      </c>
      <c r="Z1358" s="314" t="s">
        <v>100</v>
      </c>
      <c r="AA1358" s="326" t="s">
        <v>1498</v>
      </c>
      <c r="AB1358" s="334" t="s">
        <v>1739</v>
      </c>
      <c r="AC1358" s="334" t="s">
        <v>1702</v>
      </c>
      <c r="AD1358" s="326" t="s">
        <v>1717</v>
      </c>
      <c r="AE1358" s="326" t="s">
        <v>1725</v>
      </c>
      <c r="AG1358" s="326" t="s">
        <v>1707</v>
      </c>
      <c r="AH1358" s="326" t="s">
        <v>1714</v>
      </c>
      <c r="AQ1358">
        <v>3795</v>
      </c>
      <c r="AR1358" t="s">
        <v>1463</v>
      </c>
      <c r="AS1358" s="322"/>
      <c r="AW1358" t="b">
        <v>1</v>
      </c>
      <c r="AX1358" t="b">
        <v>1</v>
      </c>
      <c r="AY1358" t="b">
        <v>1</v>
      </c>
    </row>
    <row r="1359" spans="1:51">
      <c r="A1359" s="277" t="s">
        <v>1328</v>
      </c>
      <c r="B1359" s="328" t="s">
        <v>106</v>
      </c>
      <c r="C1359" s="273">
        <f>'Schippers RD Namibia 2012'!B53</f>
        <v>3.3</v>
      </c>
      <c r="D1359" s="302">
        <f>'Schippers RD Namibia 2012'!C53</f>
        <v>37400000</v>
      </c>
      <c r="E1359" s="301">
        <f>'Schippers RD Namibia 2012'!F53</f>
        <v>2750000</v>
      </c>
      <c r="G1359" s="301">
        <f>E1359+F1359</f>
        <v>2750000</v>
      </c>
      <c r="H1359" s="27">
        <f>G1359/D1359</f>
        <v>7.3529411764705885E-2</v>
      </c>
      <c r="J1359" s="301">
        <f>'Schippers RD Namibia 2012'!I53</f>
        <v>1320000</v>
      </c>
      <c r="L1359" s="301">
        <f>'Schippers RD Namibia 2012'!R53</f>
        <v>5470000</v>
      </c>
      <c r="M1359" s="27">
        <f>F1359/G1359</f>
        <v>0</v>
      </c>
      <c r="O1359" s="303" t="s">
        <v>71</v>
      </c>
      <c r="P1359" s="334"/>
      <c r="Q1359" s="301" t="b">
        <v>1</v>
      </c>
      <c r="R1359" s="304" t="s">
        <v>1278</v>
      </c>
      <c r="S1359" s="304" t="s">
        <v>141</v>
      </c>
      <c r="T1359" s="304" t="s">
        <v>145</v>
      </c>
      <c r="U1359" s="304" t="s">
        <v>145</v>
      </c>
      <c r="V1359" s="313">
        <v>0.55000000000000004</v>
      </c>
      <c r="W1359" s="313">
        <v>0.55000000000000004</v>
      </c>
      <c r="X1359" s="306" t="s">
        <v>248</v>
      </c>
      <c r="Y1359" s="334" t="s">
        <v>96</v>
      </c>
      <c r="Z1359" s="314" t="s">
        <v>100</v>
      </c>
      <c r="AB1359" s="334" t="s">
        <v>1739</v>
      </c>
      <c r="AC1359" s="334" t="s">
        <v>1702</v>
      </c>
      <c r="AQ1359">
        <v>3795</v>
      </c>
      <c r="AR1359" t="s">
        <v>1463</v>
      </c>
      <c r="AS1359" s="322"/>
    </row>
    <row r="1360" spans="1:51">
      <c r="A1360" s="277" t="s">
        <v>1328</v>
      </c>
      <c r="B1360" s="328" t="s">
        <v>106</v>
      </c>
      <c r="C1360" s="273">
        <f>'Schippers RD Namibia 2012'!B49</f>
        <v>3.99</v>
      </c>
      <c r="D1360" s="302">
        <f>'Schippers RD Namibia 2012'!C49</f>
        <v>63800000</v>
      </c>
      <c r="E1360" s="301">
        <f>'Schippers RD Namibia 2012'!F49</f>
        <v>3140000</v>
      </c>
      <c r="G1360" s="301">
        <f>E1360+F1360</f>
        <v>3140000</v>
      </c>
      <c r="H1360" s="336">
        <f>G1360/D1360</f>
        <v>4.921630094043887E-2</v>
      </c>
      <c r="I1360" s="301">
        <f>'Schippers RD Namibia 2012'!H49</f>
        <v>6520000</v>
      </c>
      <c r="J1360" s="301">
        <f>'Schippers RD Namibia 2012'!I49</f>
        <v>1570000</v>
      </c>
      <c r="K1360" s="301">
        <f>I1360+J1360</f>
        <v>8090000</v>
      </c>
      <c r="L1360" s="301">
        <f>'Schippers RD Namibia 2012'!R49</f>
        <v>2540000</v>
      </c>
      <c r="M1360" s="27">
        <v>0</v>
      </c>
      <c r="N1360" s="27">
        <f>J1360/K1360</f>
        <v>0.19406674907292953</v>
      </c>
      <c r="O1360" s="303" t="s">
        <v>71</v>
      </c>
      <c r="P1360" s="334"/>
      <c r="Q1360" s="301" t="b">
        <v>1</v>
      </c>
      <c r="R1360" s="304" t="s">
        <v>1278</v>
      </c>
      <c r="S1360" s="304" t="s">
        <v>141</v>
      </c>
      <c r="T1360" s="304" t="s">
        <v>145</v>
      </c>
      <c r="U1360" s="304" t="s">
        <v>145</v>
      </c>
      <c r="V1360" s="313">
        <v>0.55000000000000004</v>
      </c>
      <c r="W1360" s="313">
        <v>0.55000000000000004</v>
      </c>
      <c r="X1360" s="306" t="s">
        <v>248</v>
      </c>
      <c r="Y1360" s="334" t="s">
        <v>96</v>
      </c>
      <c r="Z1360" s="314" t="s">
        <v>100</v>
      </c>
      <c r="AA1360" s="326" t="s">
        <v>1498</v>
      </c>
      <c r="AB1360" s="334" t="s">
        <v>1739</v>
      </c>
      <c r="AC1360" s="334" t="s">
        <v>1702</v>
      </c>
      <c r="AD1360" s="326" t="s">
        <v>1717</v>
      </c>
      <c r="AE1360" s="326" t="s">
        <v>1725</v>
      </c>
      <c r="AG1360" s="326" t="s">
        <v>1707</v>
      </c>
      <c r="AH1360" s="326" t="s">
        <v>1714</v>
      </c>
      <c r="AQ1360">
        <v>3795</v>
      </c>
      <c r="AR1360" t="s">
        <v>1463</v>
      </c>
      <c r="AS1360" s="322"/>
      <c r="AW1360" t="b">
        <v>1</v>
      </c>
      <c r="AX1360" t="b">
        <v>1</v>
      </c>
      <c r="AY1360" t="b">
        <v>1</v>
      </c>
    </row>
    <row r="1361" spans="1:51">
      <c r="A1361" s="277" t="s">
        <v>1328</v>
      </c>
      <c r="B1361" s="328" t="s">
        <v>106</v>
      </c>
      <c r="C1361" s="273">
        <f>'Schippers RD Namibia 2012'!B51</f>
        <v>5.0949999999999998</v>
      </c>
      <c r="D1361" s="302">
        <f>'Schippers RD Namibia 2012'!C51</f>
        <v>66500000</v>
      </c>
      <c r="E1361" s="301">
        <f>'Schippers RD Namibia 2012'!F51</f>
        <v>393000</v>
      </c>
      <c r="G1361" s="301">
        <f>E1361+F1361</f>
        <v>393000</v>
      </c>
      <c r="H1361" s="27">
        <f>G1361/D1361</f>
        <v>5.9097744360902251E-3</v>
      </c>
      <c r="J1361" s="301">
        <f>'Schippers RD Namibia 2012'!I51</f>
        <v>138000</v>
      </c>
      <c r="L1361" s="301">
        <f>'Schippers RD Namibia 2012'!R51</f>
        <v>448000</v>
      </c>
      <c r="M1361" s="27">
        <v>0</v>
      </c>
      <c r="O1361" s="303" t="s">
        <v>71</v>
      </c>
      <c r="P1361" s="334"/>
      <c r="Q1361" s="301" t="b">
        <v>1</v>
      </c>
      <c r="R1361" s="304" t="s">
        <v>1278</v>
      </c>
      <c r="S1361" s="304" t="s">
        <v>141</v>
      </c>
      <c r="T1361" s="304" t="s">
        <v>145</v>
      </c>
      <c r="U1361" s="304" t="s">
        <v>145</v>
      </c>
      <c r="V1361" s="313">
        <v>0.55000000000000004</v>
      </c>
      <c r="W1361" s="313">
        <v>0.55000000000000004</v>
      </c>
      <c r="X1361" s="306" t="s">
        <v>248</v>
      </c>
      <c r="Y1361" s="334" t="s">
        <v>96</v>
      </c>
      <c r="Z1361" s="314" t="s">
        <v>100</v>
      </c>
      <c r="AB1361" s="334" t="s">
        <v>1739</v>
      </c>
      <c r="AC1361" s="334" t="s">
        <v>1702</v>
      </c>
      <c r="AQ1361">
        <v>3795</v>
      </c>
      <c r="AR1361" t="s">
        <v>1463</v>
      </c>
      <c r="AS1361" s="322"/>
    </row>
    <row r="1362" spans="1:51">
      <c r="A1362" s="277" t="s">
        <v>1328</v>
      </c>
      <c r="B1362" s="328" t="s">
        <v>106</v>
      </c>
      <c r="C1362" s="273">
        <f>'Schippers RD Namibia 2012'!B54</f>
        <v>5.3150000000000004</v>
      </c>
      <c r="D1362" s="302">
        <f>'Schippers RD Namibia 2012'!C54</f>
        <v>52700000</v>
      </c>
      <c r="E1362" s="301">
        <f>'Schippers RD Namibia 2012'!F54</f>
        <v>1180000</v>
      </c>
      <c r="G1362" s="301">
        <f>E1362+F1362</f>
        <v>1180000</v>
      </c>
      <c r="H1362" s="27">
        <f>G1362/D1362</f>
        <v>2.2390891840607212E-2</v>
      </c>
      <c r="J1362" s="301">
        <f>'Schippers RD Namibia 2012'!I54</f>
        <v>715000</v>
      </c>
      <c r="L1362" s="301">
        <f>'Schippers RD Namibia 2012'!R54</f>
        <v>874000</v>
      </c>
      <c r="M1362" s="27">
        <v>0</v>
      </c>
      <c r="O1362" s="303" t="s">
        <v>71</v>
      </c>
      <c r="P1362" s="334"/>
      <c r="Q1362" s="301" t="b">
        <v>1</v>
      </c>
      <c r="R1362" s="304" t="s">
        <v>1278</v>
      </c>
      <c r="S1362" s="304" t="s">
        <v>141</v>
      </c>
      <c r="T1362" s="304" t="s">
        <v>145</v>
      </c>
      <c r="U1362" s="304" t="s">
        <v>145</v>
      </c>
      <c r="V1362" s="313">
        <v>0.55000000000000004</v>
      </c>
      <c r="W1362" s="313">
        <v>0.55000000000000004</v>
      </c>
      <c r="X1362" s="306" t="s">
        <v>248</v>
      </c>
      <c r="Y1362" s="328" t="s">
        <v>96</v>
      </c>
      <c r="Z1362" s="314" t="s">
        <v>100</v>
      </c>
      <c r="AB1362" s="334" t="s">
        <v>1739</v>
      </c>
      <c r="AC1362" s="334" t="s">
        <v>1702</v>
      </c>
      <c r="AQ1362">
        <v>3795</v>
      </c>
      <c r="AR1362" t="s">
        <v>1463</v>
      </c>
      <c r="AS1362" s="322"/>
    </row>
    <row r="1363" spans="1:51">
      <c r="A1363" s="277" t="s">
        <v>1328</v>
      </c>
      <c r="B1363" s="328" t="s">
        <v>106</v>
      </c>
      <c r="C1363" s="273">
        <f>'Schippers RD Namibia 2012'!B55</f>
        <v>5.32</v>
      </c>
      <c r="D1363" s="302">
        <f>'Schippers RD Namibia 2012'!C55</f>
        <v>16600000</v>
      </c>
      <c r="E1363" s="301">
        <f>'Schippers RD Namibia 2012'!F55</f>
        <v>393000</v>
      </c>
      <c r="G1363" s="301">
        <f>E1363+F1363</f>
        <v>393000</v>
      </c>
      <c r="H1363" s="336">
        <f>G1363/D1363</f>
        <v>2.3674698795180724E-2</v>
      </c>
      <c r="J1363" s="301">
        <f>'Schippers RD Namibia 2012'!I55</f>
        <v>234000</v>
      </c>
      <c r="L1363" s="301">
        <f>'Schippers RD Namibia 2012'!R55</f>
        <v>334000</v>
      </c>
      <c r="M1363" s="27">
        <v>0</v>
      </c>
      <c r="O1363" s="303" t="s">
        <v>71</v>
      </c>
      <c r="P1363" s="334"/>
      <c r="Q1363" s="301" t="b">
        <v>1</v>
      </c>
      <c r="R1363" s="304" t="s">
        <v>1278</v>
      </c>
      <c r="S1363" s="304" t="s">
        <v>141</v>
      </c>
      <c r="T1363" s="304" t="s">
        <v>145</v>
      </c>
      <c r="U1363" s="304" t="s">
        <v>145</v>
      </c>
      <c r="V1363" s="313">
        <v>0.55000000000000004</v>
      </c>
      <c r="W1363" s="313">
        <v>0.55000000000000004</v>
      </c>
      <c r="X1363" s="306" t="s">
        <v>248</v>
      </c>
      <c r="Y1363" s="328" t="s">
        <v>96</v>
      </c>
      <c r="Z1363" s="314" t="s">
        <v>100</v>
      </c>
      <c r="AB1363" s="334" t="s">
        <v>1739</v>
      </c>
      <c r="AC1363" s="334" t="s">
        <v>1702</v>
      </c>
      <c r="AQ1363">
        <v>3795</v>
      </c>
      <c r="AR1363" t="s">
        <v>1463</v>
      </c>
      <c r="AS1363" s="322"/>
    </row>
    <row r="1364" spans="1:51" s="312" customFormat="1">
      <c r="A1364" s="277" t="s">
        <v>1328</v>
      </c>
      <c r="B1364" s="328" t="s">
        <v>101</v>
      </c>
      <c r="C1364" s="334">
        <f>'Schippers RD Black Sea 2012 '!B25</f>
        <v>0</v>
      </c>
      <c r="D1364" s="301">
        <f>'Schippers RD Black Sea 2012 '!C25</f>
        <v>6630000000</v>
      </c>
      <c r="E1364" s="301">
        <f>'Schippers RD Black Sea 2012 '!E25</f>
        <v>228000000</v>
      </c>
      <c r="F1364" s="301">
        <f>'Schippers RD Black Sea 2012 '!F25</f>
        <v>23600000</v>
      </c>
      <c r="G1364" s="301">
        <f>E1364+F1364</f>
        <v>251600000</v>
      </c>
      <c r="H1364" s="336">
        <f>G1364/D1364</f>
        <v>3.7948717948717951E-2</v>
      </c>
      <c r="I1364" s="301">
        <f>'Schippers RD Black Sea 2012 '!G25</f>
        <v>586000000</v>
      </c>
      <c r="J1364" s="301">
        <f>'Schippers RD Black Sea 2012 '!H25</f>
        <v>153000000</v>
      </c>
      <c r="K1364" s="301">
        <f>I1364+J1364</f>
        <v>739000000</v>
      </c>
      <c r="L1364" s="301"/>
      <c r="M1364" s="27">
        <f>F1364/G1364</f>
        <v>9.3799682034976156E-2</v>
      </c>
      <c r="N1364" s="27">
        <f>J1364/K1364</f>
        <v>0.20703653585926929</v>
      </c>
      <c r="O1364" s="312" t="s">
        <v>71</v>
      </c>
      <c r="P1364" s="334"/>
      <c r="Q1364" s="301"/>
      <c r="R1364" s="312" t="s">
        <v>1278</v>
      </c>
      <c r="S1364" s="312" t="s">
        <v>141</v>
      </c>
      <c r="T1364" s="312" t="s">
        <v>145</v>
      </c>
      <c r="U1364" s="312" t="s">
        <v>145</v>
      </c>
      <c r="V1364" s="313">
        <v>0.55000000000000004</v>
      </c>
      <c r="W1364" s="313">
        <v>0.55000000000000004</v>
      </c>
      <c r="X1364" s="306" t="s">
        <v>248</v>
      </c>
      <c r="Y1364" s="328" t="s">
        <v>96</v>
      </c>
      <c r="Z1364" s="314" t="s">
        <v>100</v>
      </c>
      <c r="AA1364" s="326" t="s">
        <v>1498</v>
      </c>
      <c r="AB1364" s="334" t="s">
        <v>1739</v>
      </c>
      <c r="AC1364" s="334" t="s">
        <v>1702</v>
      </c>
      <c r="AD1364" s="326" t="s">
        <v>1717</v>
      </c>
      <c r="AE1364" s="326" t="s">
        <v>1725</v>
      </c>
      <c r="AF1364" s="326"/>
      <c r="AG1364" s="326" t="s">
        <v>1707</v>
      </c>
      <c r="AH1364" s="326" t="s">
        <v>1714</v>
      </c>
      <c r="AI1364" s="326"/>
      <c r="AJ1364" s="326"/>
      <c r="AK1364" s="326"/>
      <c r="AL1364" s="326"/>
      <c r="AM1364" s="326"/>
      <c r="AN1364" s="326"/>
      <c r="AO1364" s="326"/>
      <c r="AQ1364" s="312">
        <v>2048</v>
      </c>
      <c r="AR1364" s="312" t="s">
        <v>1463</v>
      </c>
      <c r="AS1364" s="322"/>
      <c r="AT1364" s="326"/>
      <c r="AU1364" s="326"/>
      <c r="AV1364" s="326"/>
      <c r="AW1364" s="312" t="b">
        <v>1</v>
      </c>
      <c r="AX1364" s="312" t="b">
        <v>1</v>
      </c>
      <c r="AY1364" s="312" t="b">
        <v>1</v>
      </c>
    </row>
    <row r="1365" spans="1:51">
      <c r="A1365" s="277" t="s">
        <v>1328</v>
      </c>
      <c r="B1365" s="328" t="s">
        <v>101</v>
      </c>
      <c r="C1365" s="334">
        <f>'Schippers RD Black Sea 2012 '!B26</f>
        <v>0.03</v>
      </c>
      <c r="D1365" s="301">
        <f>'Schippers RD Black Sea 2012 '!C26</f>
        <v>3540000000</v>
      </c>
      <c r="E1365" s="301">
        <f>'Schippers RD Black Sea 2012 '!E26</f>
        <v>118000000</v>
      </c>
      <c r="F1365" s="301">
        <f>'Schippers RD Black Sea 2012 '!F26</f>
        <v>19600000</v>
      </c>
      <c r="G1365" s="301">
        <f>E1365+F1365</f>
        <v>137600000</v>
      </c>
      <c r="H1365" s="27">
        <f>G1365/D1365</f>
        <v>3.8870056497175141E-2</v>
      </c>
      <c r="I1365" s="301">
        <f>'Schippers RD Black Sea 2012 '!G26</f>
        <v>1157400000</v>
      </c>
      <c r="J1365" s="301">
        <f>'Schippers RD Black Sea 2012 '!H26</f>
        <v>205000000</v>
      </c>
      <c r="K1365" s="301">
        <f>I1365+J1365</f>
        <v>1362400000</v>
      </c>
      <c r="M1365" s="27">
        <f>F1365/G1365</f>
        <v>0.14244186046511628</v>
      </c>
      <c r="N1365" s="27">
        <f>J1365/K1365</f>
        <v>0.15046975924838521</v>
      </c>
      <c r="O1365" s="303" t="s">
        <v>71</v>
      </c>
      <c r="P1365" s="334"/>
      <c r="R1365" s="304" t="s">
        <v>1278</v>
      </c>
      <c r="S1365" s="304" t="s">
        <v>141</v>
      </c>
      <c r="T1365" s="304" t="s">
        <v>145</v>
      </c>
      <c r="U1365" s="304" t="s">
        <v>145</v>
      </c>
      <c r="V1365" s="313">
        <v>0.55000000000000004</v>
      </c>
      <c r="W1365" s="313">
        <v>0.55000000000000004</v>
      </c>
      <c r="X1365" s="306" t="s">
        <v>248</v>
      </c>
      <c r="Y1365" s="328" t="s">
        <v>96</v>
      </c>
      <c r="Z1365" s="314" t="s">
        <v>100</v>
      </c>
      <c r="AA1365" s="326" t="s">
        <v>1498</v>
      </c>
      <c r="AB1365" s="334" t="s">
        <v>1739</v>
      </c>
      <c r="AC1365" s="334" t="s">
        <v>1702</v>
      </c>
      <c r="AD1365" s="326" t="s">
        <v>1717</v>
      </c>
      <c r="AE1365" s="326" t="s">
        <v>1725</v>
      </c>
      <c r="AG1365" s="326" t="s">
        <v>1707</v>
      </c>
      <c r="AH1365" s="326" t="s">
        <v>1714</v>
      </c>
      <c r="AQ1365">
        <v>2048</v>
      </c>
      <c r="AR1365" s="323" t="s">
        <v>1463</v>
      </c>
      <c r="AW1365" t="b">
        <v>1</v>
      </c>
      <c r="AX1365" t="b">
        <v>1</v>
      </c>
      <c r="AY1365" t="b">
        <v>1</v>
      </c>
    </row>
    <row r="1366" spans="1:51">
      <c r="A1366" s="277" t="s">
        <v>1328</v>
      </c>
      <c r="B1366" s="328" t="s">
        <v>101</v>
      </c>
      <c r="C1366" s="334">
        <f>'Schippers RD Black Sea 2012 '!B27</f>
        <v>0.06</v>
      </c>
      <c r="D1366" s="301">
        <f>'Schippers RD Black Sea 2012 '!C27</f>
        <v>3410000000</v>
      </c>
      <c r="E1366" s="301">
        <f>'Schippers RD Black Sea 2012 '!E27</f>
        <v>39300000</v>
      </c>
      <c r="F1366" s="301">
        <f>'Schippers RD Black Sea 2012 '!F27</f>
        <v>7850000</v>
      </c>
      <c r="G1366" s="301">
        <f>E1366+F1366</f>
        <v>47150000</v>
      </c>
      <c r="H1366" s="27">
        <f>G1366/D1366</f>
        <v>1.3826979472140762E-2</v>
      </c>
      <c r="I1366" s="301">
        <f>'Schippers RD Black Sea 2012 '!G27</f>
        <v>852580000</v>
      </c>
      <c r="J1366" s="301">
        <f>'Schippers RD Black Sea 2012 '!H27</f>
        <v>104000000</v>
      </c>
      <c r="K1366" s="301">
        <f>I1366+J1366</f>
        <v>956580000</v>
      </c>
      <c r="M1366" s="27">
        <f>F1366/G1366</f>
        <v>0.16648992576882291</v>
      </c>
      <c r="N1366" s="27">
        <f>J1366/K1366</f>
        <v>0.10872065065127852</v>
      </c>
      <c r="O1366" s="303" t="s">
        <v>71</v>
      </c>
      <c r="P1366" s="334"/>
      <c r="R1366" s="304" t="s">
        <v>1278</v>
      </c>
      <c r="S1366" s="304" t="s">
        <v>141</v>
      </c>
      <c r="T1366" s="304" t="s">
        <v>145</v>
      </c>
      <c r="U1366" s="304" t="s">
        <v>145</v>
      </c>
      <c r="V1366" s="313">
        <v>0.55000000000000004</v>
      </c>
      <c r="W1366" s="313">
        <v>0.55000000000000004</v>
      </c>
      <c r="X1366" s="306" t="s">
        <v>248</v>
      </c>
      <c r="Y1366" s="334" t="s">
        <v>96</v>
      </c>
      <c r="Z1366" s="314" t="s">
        <v>100</v>
      </c>
      <c r="AA1366" s="326" t="s">
        <v>1498</v>
      </c>
      <c r="AB1366" s="334" t="s">
        <v>1739</v>
      </c>
      <c r="AC1366" s="334" t="s">
        <v>1702</v>
      </c>
      <c r="AD1366" s="326" t="s">
        <v>1717</v>
      </c>
      <c r="AE1366" s="326" t="s">
        <v>1725</v>
      </c>
      <c r="AG1366" s="326" t="s">
        <v>1707</v>
      </c>
      <c r="AH1366" s="326" t="s">
        <v>1714</v>
      </c>
      <c r="AQ1366">
        <v>2048</v>
      </c>
      <c r="AR1366" s="323" t="s">
        <v>1463</v>
      </c>
      <c r="AT1366"/>
      <c r="AU1366"/>
      <c r="AV1366"/>
      <c r="AW1366" t="b">
        <v>1</v>
      </c>
      <c r="AX1366" t="b">
        <v>1</v>
      </c>
      <c r="AY1366" t="b">
        <v>1</v>
      </c>
    </row>
    <row r="1367" spans="1:51">
      <c r="A1367" s="277" t="s">
        <v>1328</v>
      </c>
      <c r="B1367" s="328" t="s">
        <v>101</v>
      </c>
      <c r="C1367" s="334">
        <f>'Schippers RD Black Sea 2012 '!B28</f>
        <v>0.09</v>
      </c>
      <c r="D1367" s="301">
        <f>'Schippers RD Black Sea 2012 '!C28</f>
        <v>3790000000</v>
      </c>
      <c r="E1367" s="301">
        <f>'Schippers RD Black Sea 2012 '!E28</f>
        <v>47100000</v>
      </c>
      <c r="G1367" s="301">
        <f>E1367+F1367</f>
        <v>47100000</v>
      </c>
      <c r="H1367" s="27">
        <f>G1367/D1367</f>
        <v>1.2427440633245383E-2</v>
      </c>
      <c r="I1367" s="301">
        <f>'Schippers RD Black Sea 2012 '!G28</f>
        <v>1107200000</v>
      </c>
      <c r="J1367" s="301">
        <f>'Schippers RD Black Sea 2012 '!H28</f>
        <v>130000000</v>
      </c>
      <c r="K1367" s="301">
        <f>I1367+J1367</f>
        <v>1237200000</v>
      </c>
      <c r="M1367" s="27">
        <f>F1367/G1367</f>
        <v>0</v>
      </c>
      <c r="N1367" s="27">
        <f>J1367/K1367</f>
        <v>0.1050759780148723</v>
      </c>
      <c r="O1367" s="303" t="s">
        <v>71</v>
      </c>
      <c r="P1367" s="334"/>
      <c r="Q1367" s="301" t="b">
        <v>1</v>
      </c>
      <c r="R1367" s="304" t="s">
        <v>1278</v>
      </c>
      <c r="S1367" s="304" t="s">
        <v>141</v>
      </c>
      <c r="T1367" s="304" t="s">
        <v>145</v>
      </c>
      <c r="U1367" s="304" t="s">
        <v>145</v>
      </c>
      <c r="V1367" s="313">
        <v>0.55000000000000004</v>
      </c>
      <c r="W1367" s="313">
        <v>0.55000000000000004</v>
      </c>
      <c r="X1367" s="306" t="s">
        <v>248</v>
      </c>
      <c r="Y1367" s="334" t="s">
        <v>96</v>
      </c>
      <c r="Z1367" s="314" t="s">
        <v>100</v>
      </c>
      <c r="AA1367" s="326" t="s">
        <v>1498</v>
      </c>
      <c r="AB1367" s="334" t="s">
        <v>1739</v>
      </c>
      <c r="AC1367" s="334" t="s">
        <v>1702</v>
      </c>
      <c r="AD1367" s="326" t="s">
        <v>1717</v>
      </c>
      <c r="AE1367" s="326" t="s">
        <v>1725</v>
      </c>
      <c r="AG1367" s="326" t="s">
        <v>1707</v>
      </c>
      <c r="AH1367" s="326" t="s">
        <v>1714</v>
      </c>
      <c r="AQ1367">
        <v>2048</v>
      </c>
      <c r="AR1367" s="323" t="s">
        <v>1463</v>
      </c>
      <c r="AT1367"/>
      <c r="AU1367"/>
      <c r="AV1367"/>
      <c r="AW1367" t="b">
        <v>1</v>
      </c>
      <c r="AX1367" t="b">
        <v>1</v>
      </c>
      <c r="AY1367" t="b">
        <v>1</v>
      </c>
    </row>
    <row r="1368" spans="1:51">
      <c r="A1368" s="277" t="s">
        <v>1328</v>
      </c>
      <c r="B1368" s="328" t="s">
        <v>101</v>
      </c>
      <c r="C1368" s="334">
        <f>'Schippers RD Black Sea 2012 '!B29</f>
        <v>9.7500000000000003E-2</v>
      </c>
      <c r="D1368" s="301">
        <f>'Schippers RD Black Sea 2012 '!C29</f>
        <v>1900000000</v>
      </c>
      <c r="E1368" s="301">
        <f>'Schippers RD Black Sea 2012 '!E29</f>
        <v>42600000</v>
      </c>
      <c r="G1368" s="301">
        <f>E1368+F1368</f>
        <v>42600000</v>
      </c>
      <c r="H1368" s="27">
        <f>G1368/D1368</f>
        <v>2.2421052631578946E-2</v>
      </c>
      <c r="I1368" s="301">
        <f>'Schippers RD Black Sea 2012 '!G29</f>
        <v>177820000</v>
      </c>
      <c r="J1368" s="301">
        <f>'Schippers RD Black Sea 2012 '!H29</f>
        <v>62300000</v>
      </c>
      <c r="K1368" s="301">
        <f>I1368+J1368</f>
        <v>240120000</v>
      </c>
      <c r="M1368" s="27">
        <f>F1368/G1368</f>
        <v>0</v>
      </c>
      <c r="N1368" s="27">
        <f>J1368/K1368</f>
        <v>0.25945360653006833</v>
      </c>
      <c r="O1368" s="303" t="s">
        <v>71</v>
      </c>
      <c r="P1368" s="334"/>
      <c r="Q1368" s="301" t="b">
        <v>1</v>
      </c>
      <c r="R1368" s="304" t="s">
        <v>1278</v>
      </c>
      <c r="S1368" s="304" t="s">
        <v>141</v>
      </c>
      <c r="T1368" s="304" t="s">
        <v>145</v>
      </c>
      <c r="U1368" s="304" t="s">
        <v>145</v>
      </c>
      <c r="V1368" s="313">
        <v>0.55000000000000004</v>
      </c>
      <c r="W1368" s="313">
        <v>0.55000000000000004</v>
      </c>
      <c r="X1368" s="306" t="s">
        <v>248</v>
      </c>
      <c r="Y1368" s="334" t="s">
        <v>96</v>
      </c>
      <c r="Z1368" s="314" t="s">
        <v>100</v>
      </c>
      <c r="AA1368" s="326" t="s">
        <v>1498</v>
      </c>
      <c r="AB1368" s="334" t="s">
        <v>1739</v>
      </c>
      <c r="AC1368" s="334" t="s">
        <v>1702</v>
      </c>
      <c r="AD1368" s="326" t="s">
        <v>1717</v>
      </c>
      <c r="AE1368" s="326" t="s">
        <v>1725</v>
      </c>
      <c r="AG1368" s="326" t="s">
        <v>1707</v>
      </c>
      <c r="AH1368" s="326" t="s">
        <v>1714</v>
      </c>
      <c r="AQ1368">
        <v>2048</v>
      </c>
      <c r="AR1368" s="323" t="s">
        <v>1463</v>
      </c>
      <c r="AT1368"/>
      <c r="AU1368"/>
      <c r="AV1368"/>
      <c r="AW1368" t="b">
        <v>1</v>
      </c>
      <c r="AX1368" t="b">
        <v>1</v>
      </c>
      <c r="AY1368" t="b">
        <v>1</v>
      </c>
    </row>
    <row r="1369" spans="1:51">
      <c r="A1369" s="277" t="s">
        <v>1328</v>
      </c>
      <c r="B1369" s="328" t="s">
        <v>101</v>
      </c>
      <c r="C1369" s="334">
        <f>'Schippers RD Black Sea 2012 '!B30</f>
        <v>0.15</v>
      </c>
      <c r="D1369" s="301">
        <f>'Schippers RD Black Sea 2012 '!C30</f>
        <v>3450000000</v>
      </c>
      <c r="E1369" s="301">
        <f>'Schippers RD Black Sea 2012 '!E30</f>
        <v>14400000</v>
      </c>
      <c r="G1369" s="301">
        <f>E1369+F1369</f>
        <v>14400000</v>
      </c>
      <c r="H1369" s="27">
        <f>G1369/D1369</f>
        <v>4.1739130434782605E-3</v>
      </c>
      <c r="I1369" s="301">
        <f>'Schippers RD Black Sea 2012 '!G30</f>
        <v>549180000</v>
      </c>
      <c r="J1369" s="301">
        <f>'Schippers RD Black Sea 2012 '!H30</f>
        <v>91600000</v>
      </c>
      <c r="K1369" s="301">
        <f>I1369+J1369</f>
        <v>640780000</v>
      </c>
      <c r="M1369" s="27">
        <f>F1369/G1369</f>
        <v>0</v>
      </c>
      <c r="N1369" s="27">
        <f>J1369/K1369</f>
        <v>0.14295077873841255</v>
      </c>
      <c r="O1369" s="303" t="s">
        <v>71</v>
      </c>
      <c r="P1369" s="334"/>
      <c r="Q1369" s="301" t="b">
        <v>1</v>
      </c>
      <c r="R1369" s="304" t="s">
        <v>1278</v>
      </c>
      <c r="S1369" s="304" t="s">
        <v>141</v>
      </c>
      <c r="T1369" s="304" t="s">
        <v>145</v>
      </c>
      <c r="U1369" s="304" t="s">
        <v>145</v>
      </c>
      <c r="V1369" s="313">
        <v>0.55000000000000004</v>
      </c>
      <c r="W1369" s="313">
        <v>0.55000000000000004</v>
      </c>
      <c r="X1369" s="306" t="s">
        <v>248</v>
      </c>
      <c r="Y1369" s="334" t="s">
        <v>96</v>
      </c>
      <c r="Z1369" s="314" t="s">
        <v>100</v>
      </c>
      <c r="AA1369" s="326" t="s">
        <v>1498</v>
      </c>
      <c r="AB1369" s="334" t="s">
        <v>1739</v>
      </c>
      <c r="AC1369" s="334" t="s">
        <v>1702</v>
      </c>
      <c r="AD1369" s="326" t="s">
        <v>1717</v>
      </c>
      <c r="AE1369" s="326" t="s">
        <v>1725</v>
      </c>
      <c r="AG1369" s="326" t="s">
        <v>1707</v>
      </c>
      <c r="AH1369" s="326" t="s">
        <v>1714</v>
      </c>
      <c r="AQ1369">
        <v>2048</v>
      </c>
      <c r="AR1369" t="s">
        <v>1463</v>
      </c>
      <c r="AT1369"/>
      <c r="AU1369"/>
      <c r="AV1369"/>
      <c r="AW1369" t="b">
        <v>1</v>
      </c>
      <c r="AX1369" t="b">
        <v>1</v>
      </c>
      <c r="AY1369" t="b">
        <v>1</v>
      </c>
    </row>
    <row r="1370" spans="1:51">
      <c r="A1370" s="277" t="s">
        <v>1328</v>
      </c>
      <c r="B1370" s="328" t="s">
        <v>101</v>
      </c>
      <c r="C1370" s="334">
        <f>'Schippers RD Black Sea 2012 '!B31</f>
        <v>0.1575</v>
      </c>
      <c r="D1370" s="301">
        <f>'Schippers RD Black Sea 2012 '!C31</f>
        <v>1700000000</v>
      </c>
      <c r="E1370" s="301">
        <f>'Schippers RD Black Sea 2012 '!E31</f>
        <v>14700000</v>
      </c>
      <c r="F1370" s="301">
        <f>'Schippers RD Black Sea 2012 '!F31</f>
        <v>1960000</v>
      </c>
      <c r="G1370" s="301">
        <f>E1370+F1370</f>
        <v>16660000</v>
      </c>
      <c r="H1370" s="27">
        <f>G1370/D1370</f>
        <v>9.7999999999999997E-3</v>
      </c>
      <c r="I1370" s="301">
        <f>'Schippers RD Black Sea 2012 '!G31</f>
        <v>74961000</v>
      </c>
      <c r="J1370" s="301">
        <f>'Schippers RD Black Sea 2012 '!H31</f>
        <v>32400000</v>
      </c>
      <c r="K1370" s="301">
        <f>I1370+J1370</f>
        <v>107361000</v>
      </c>
      <c r="M1370" s="27">
        <f>F1370/G1370</f>
        <v>0.11764705882352941</v>
      </c>
      <c r="N1370" s="27">
        <f>J1370/K1370</f>
        <v>0.30178556459049377</v>
      </c>
      <c r="O1370" s="303" t="s">
        <v>71</v>
      </c>
      <c r="P1370" s="334"/>
      <c r="R1370" s="304" t="s">
        <v>1278</v>
      </c>
      <c r="S1370" s="304" t="s">
        <v>141</v>
      </c>
      <c r="T1370" s="304" t="s">
        <v>145</v>
      </c>
      <c r="U1370" s="304" t="s">
        <v>145</v>
      </c>
      <c r="V1370" s="313">
        <v>0.55000000000000004</v>
      </c>
      <c r="W1370" s="313">
        <v>0.55000000000000004</v>
      </c>
      <c r="X1370" s="306" t="s">
        <v>248</v>
      </c>
      <c r="Y1370" s="334" t="s">
        <v>96</v>
      </c>
      <c r="Z1370" s="314" t="s">
        <v>100</v>
      </c>
      <c r="AA1370" s="326" t="s">
        <v>1498</v>
      </c>
      <c r="AB1370" s="334" t="s">
        <v>1739</v>
      </c>
      <c r="AC1370" s="334" t="s">
        <v>1702</v>
      </c>
      <c r="AD1370" s="326" t="s">
        <v>1717</v>
      </c>
      <c r="AE1370" s="326" t="s">
        <v>1725</v>
      </c>
      <c r="AG1370" s="326" t="s">
        <v>1707</v>
      </c>
      <c r="AH1370" s="326" t="s">
        <v>1714</v>
      </c>
      <c r="AQ1370">
        <v>2048</v>
      </c>
      <c r="AR1370" s="323" t="s">
        <v>1463</v>
      </c>
      <c r="AT1370"/>
      <c r="AU1370"/>
      <c r="AV1370"/>
      <c r="AW1370" t="b">
        <v>1</v>
      </c>
      <c r="AX1370" t="b">
        <v>1</v>
      </c>
      <c r="AY1370" t="b">
        <v>1</v>
      </c>
    </row>
    <row r="1371" spans="1:51">
      <c r="A1371" s="277" t="s">
        <v>1328</v>
      </c>
      <c r="B1371" s="328" t="s">
        <v>1600</v>
      </c>
      <c r="C1371" s="334">
        <f>'Schippers RD Black Sea 2012 '!B32</f>
        <v>0.2</v>
      </c>
      <c r="D1371" s="301">
        <f>'Schippers RD Black Sea 2012 '!C32</f>
        <v>2040000000</v>
      </c>
      <c r="I1371" s="301">
        <f>'Schippers RD Black Sea 2012 '!G32</f>
        <v>364040000</v>
      </c>
      <c r="J1371" s="301">
        <f>'Schippers RD Black Sea 2012 '!H32</f>
        <v>65800000</v>
      </c>
      <c r="K1371" s="301">
        <f>I1371+J1371</f>
        <v>429840000</v>
      </c>
      <c r="N1371" s="27">
        <f>J1371/K1371</f>
        <v>0.15308021589428625</v>
      </c>
      <c r="O1371" s="303"/>
      <c r="P1371" s="334"/>
      <c r="R1371" s="304" t="s">
        <v>1278</v>
      </c>
      <c r="S1371" s="304" t="s">
        <v>141</v>
      </c>
      <c r="T1371" s="304" t="s">
        <v>145</v>
      </c>
      <c r="U1371" s="304" t="s">
        <v>145</v>
      </c>
      <c r="V1371" s="334"/>
      <c r="W1371" s="334"/>
      <c r="X1371" s="334"/>
      <c r="Y1371" s="334"/>
      <c r="Z1371" s="334"/>
      <c r="AA1371" s="326" t="s">
        <v>1498</v>
      </c>
      <c r="AD1371" s="326" t="s">
        <v>1717</v>
      </c>
      <c r="AE1371" s="326" t="s">
        <v>1725</v>
      </c>
      <c r="AG1371" s="326" t="s">
        <v>1707</v>
      </c>
      <c r="AH1371" s="326" t="s">
        <v>1714</v>
      </c>
      <c r="AR1371" s="325"/>
      <c r="AT1371"/>
      <c r="AU1371"/>
      <c r="AV1371"/>
      <c r="AW1371" t="b">
        <v>1</v>
      </c>
      <c r="AX1371" t="b">
        <v>1</v>
      </c>
      <c r="AY1371" t="b">
        <v>1</v>
      </c>
    </row>
    <row r="1372" spans="1:51">
      <c r="A1372" s="277" t="s">
        <v>1328</v>
      </c>
      <c r="B1372" s="328" t="s">
        <v>101</v>
      </c>
      <c r="C1372" s="334">
        <f>'Schippers RD Black Sea 2012 '!B33</f>
        <v>0.25</v>
      </c>
      <c r="D1372" s="301">
        <f>'Schippers RD Black Sea 2012 '!C33</f>
        <v>2500000000</v>
      </c>
      <c r="E1372" s="301">
        <f>'Schippers RD Black Sea 2012 '!E33</f>
        <v>52400000</v>
      </c>
      <c r="F1372" s="301">
        <f>'Schippers RD Black Sea 2012 '!F33</f>
        <v>2620000</v>
      </c>
      <c r="G1372" s="301">
        <f>E1372+F1372</f>
        <v>55020000</v>
      </c>
      <c r="H1372" s="27">
        <f>G1372/D1372</f>
        <v>2.2008E-2</v>
      </c>
      <c r="I1372" s="301">
        <f>'Schippers RD Black Sea 2012 '!G33</f>
        <v>434080000</v>
      </c>
      <c r="J1372" s="301">
        <f>'Schippers RD Black Sea 2012 '!H33</f>
        <v>150000000</v>
      </c>
      <c r="K1372" s="301">
        <f>I1372+J1372</f>
        <v>584080000</v>
      </c>
      <c r="M1372" s="27">
        <f>F1372/G1372</f>
        <v>4.7619047619047616E-2</v>
      </c>
      <c r="N1372" s="27">
        <f>J1372/K1372</f>
        <v>0.25681413504999318</v>
      </c>
      <c r="O1372" s="303" t="s">
        <v>71</v>
      </c>
      <c r="P1372" s="334"/>
      <c r="R1372" s="304" t="s">
        <v>1278</v>
      </c>
      <c r="S1372" s="304" t="s">
        <v>141</v>
      </c>
      <c r="T1372" s="304" t="s">
        <v>145</v>
      </c>
      <c r="U1372" s="304" t="s">
        <v>145</v>
      </c>
      <c r="V1372" s="313">
        <v>0.55000000000000004</v>
      </c>
      <c r="W1372" s="313">
        <v>0.55000000000000004</v>
      </c>
      <c r="X1372" s="306" t="s">
        <v>248</v>
      </c>
      <c r="Y1372" s="334" t="s">
        <v>96</v>
      </c>
      <c r="Z1372" s="314" t="s">
        <v>100</v>
      </c>
      <c r="AA1372" s="326" t="s">
        <v>1498</v>
      </c>
      <c r="AB1372" s="334" t="s">
        <v>1739</v>
      </c>
      <c r="AC1372" s="334" t="s">
        <v>1702</v>
      </c>
      <c r="AD1372" s="326" t="s">
        <v>1717</v>
      </c>
      <c r="AE1372" s="326" t="s">
        <v>1725</v>
      </c>
      <c r="AG1372" s="326" t="s">
        <v>1707</v>
      </c>
      <c r="AH1372" s="326" t="s">
        <v>1714</v>
      </c>
      <c r="AQ1372">
        <v>2048</v>
      </c>
      <c r="AR1372" s="325" t="s">
        <v>1463</v>
      </c>
      <c r="AT1372"/>
      <c r="AU1372"/>
      <c r="AV1372"/>
      <c r="AW1372" t="b">
        <v>1</v>
      </c>
      <c r="AX1372" t="b">
        <v>1</v>
      </c>
      <c r="AY1372" t="b">
        <v>1</v>
      </c>
    </row>
    <row r="1373" spans="1:51">
      <c r="A1373" s="277" t="s">
        <v>1328</v>
      </c>
      <c r="B1373" s="328" t="s">
        <v>101</v>
      </c>
      <c r="C1373" s="334">
        <f>'Schippers RD Black Sea 2012 '!B34</f>
        <v>0.37</v>
      </c>
      <c r="D1373" s="301">
        <f>'Schippers RD Black Sea 2012 '!C34</f>
        <v>1430000000</v>
      </c>
      <c r="E1373" s="301">
        <f>'Schippers RD Black Sea 2012 '!E34</f>
        <v>56900000</v>
      </c>
      <c r="G1373" s="301">
        <f>E1373+F1373</f>
        <v>56900000</v>
      </c>
      <c r="H1373" s="27">
        <f>G1373/D1373</f>
        <v>3.9790209790209793E-2</v>
      </c>
      <c r="I1373" s="301">
        <f>'Schippers RD Black Sea 2012 '!G34</f>
        <v>100000000</v>
      </c>
      <c r="J1373" s="301">
        <f>'Schippers RD Black Sea 2012 '!H34</f>
        <v>60900000</v>
      </c>
      <c r="K1373" s="301">
        <f>I1373+J1373</f>
        <v>160900000</v>
      </c>
      <c r="M1373" s="27">
        <f>F1373/G1373</f>
        <v>0</v>
      </c>
      <c r="N1373" s="27">
        <f>J1373/K1373</f>
        <v>0.37849596022374143</v>
      </c>
      <c r="O1373" s="303" t="s">
        <v>71</v>
      </c>
      <c r="P1373" s="334"/>
      <c r="Q1373" s="301" t="b">
        <v>1</v>
      </c>
      <c r="R1373" s="304" t="s">
        <v>1278</v>
      </c>
      <c r="S1373" s="304" t="s">
        <v>141</v>
      </c>
      <c r="T1373" s="304" t="s">
        <v>145</v>
      </c>
      <c r="U1373" s="304" t="s">
        <v>145</v>
      </c>
      <c r="V1373" s="313">
        <v>0.55000000000000004</v>
      </c>
      <c r="W1373" s="313">
        <v>0.55000000000000004</v>
      </c>
      <c r="X1373" s="306" t="s">
        <v>248</v>
      </c>
      <c r="Y1373" s="334" t="s">
        <v>96</v>
      </c>
      <c r="Z1373" s="314" t="s">
        <v>100</v>
      </c>
      <c r="AA1373" s="326" t="s">
        <v>1498</v>
      </c>
      <c r="AB1373" s="334" t="s">
        <v>1739</v>
      </c>
      <c r="AC1373" s="334" t="s">
        <v>1702</v>
      </c>
      <c r="AD1373" s="326" t="s">
        <v>1717</v>
      </c>
      <c r="AE1373" s="326" t="s">
        <v>1725</v>
      </c>
      <c r="AG1373" s="326" t="s">
        <v>1707</v>
      </c>
      <c r="AH1373" s="326" t="s">
        <v>1714</v>
      </c>
      <c r="AQ1373">
        <v>2048</v>
      </c>
      <c r="AR1373" s="325" t="s">
        <v>1463</v>
      </c>
      <c r="AT1373"/>
      <c r="AU1373"/>
      <c r="AV1373"/>
      <c r="AW1373" t="b">
        <v>1</v>
      </c>
      <c r="AX1373" t="b">
        <v>1</v>
      </c>
      <c r="AY1373" t="b">
        <v>1</v>
      </c>
    </row>
    <row r="1374" spans="1:51">
      <c r="A1374" s="277" t="s">
        <v>1328</v>
      </c>
      <c r="B1374" s="328" t="s">
        <v>1600</v>
      </c>
      <c r="C1374" s="334">
        <f>'Schippers RD Black Sea 2012 '!B35</f>
        <v>0.65249999999999997</v>
      </c>
      <c r="D1374" s="301">
        <f>'Schippers RD Black Sea 2012 '!C35</f>
        <v>65200000</v>
      </c>
      <c r="I1374" s="301">
        <f>'Schippers RD Black Sea 2012 '!G35</f>
        <v>2638000</v>
      </c>
      <c r="J1374" s="301">
        <f>'Schippers RD Black Sea 2012 '!H35</f>
        <v>3720000</v>
      </c>
      <c r="K1374" s="301">
        <f>I1374+J1374</f>
        <v>6358000</v>
      </c>
      <c r="N1374" s="27">
        <f>J1374/K1374</f>
        <v>0.58508965083359543</v>
      </c>
      <c r="O1374" s="303"/>
      <c r="P1374" s="334"/>
      <c r="R1374" s="304" t="s">
        <v>1278</v>
      </c>
      <c r="S1374" s="304" t="s">
        <v>141</v>
      </c>
      <c r="T1374" s="304" t="s">
        <v>145</v>
      </c>
      <c r="U1374" s="304" t="s">
        <v>145</v>
      </c>
      <c r="V1374" s="334"/>
      <c r="W1374" s="334"/>
      <c r="X1374" s="334"/>
      <c r="Y1374" s="334"/>
      <c r="Z1374" s="334"/>
      <c r="AA1374" s="326" t="s">
        <v>1498</v>
      </c>
      <c r="AD1374" s="326" t="s">
        <v>1717</v>
      </c>
      <c r="AE1374" s="326" t="s">
        <v>1725</v>
      </c>
      <c r="AG1374" s="326" t="s">
        <v>1707</v>
      </c>
      <c r="AH1374" s="326" t="s">
        <v>1714</v>
      </c>
      <c r="AR1374" s="325"/>
      <c r="AT1374"/>
      <c r="AU1374"/>
      <c r="AV1374"/>
      <c r="AW1374" t="b">
        <v>1</v>
      </c>
      <c r="AX1374" t="b">
        <v>1</v>
      </c>
      <c r="AY1374" t="b">
        <v>1</v>
      </c>
    </row>
    <row r="1375" spans="1:51">
      <c r="A1375" s="277" t="s">
        <v>1328</v>
      </c>
      <c r="B1375" s="328" t="s">
        <v>101</v>
      </c>
      <c r="C1375" s="334">
        <f>'Schippers RD Black Sea 2012 '!B36</f>
        <v>1.1924999999999999</v>
      </c>
      <c r="D1375" s="301">
        <f>'Schippers RD Black Sea 2012 '!C36</f>
        <v>54300000</v>
      </c>
      <c r="E1375" s="301">
        <f>'Schippers RD Black Sea 2012 '!E36</f>
        <v>1370000</v>
      </c>
      <c r="G1375" s="301">
        <f>E1375+F1375</f>
        <v>1370000</v>
      </c>
      <c r="H1375" s="336">
        <f>G1375/D1375</f>
        <v>2.5230202578268877E-2</v>
      </c>
      <c r="I1375" s="301">
        <f>'Schippers RD Black Sea 2012 '!G36</f>
        <v>2845500</v>
      </c>
      <c r="J1375" s="301">
        <f>'Schippers RD Black Sea 2012 '!H36</f>
        <v>2320000</v>
      </c>
      <c r="K1375" s="301">
        <f>I1375+J1375</f>
        <v>5165500</v>
      </c>
      <c r="M1375" s="27">
        <f>F1375/G1375</f>
        <v>0</v>
      </c>
      <c r="N1375" s="27">
        <f>J1375/K1375</f>
        <v>0.44913367534604587</v>
      </c>
      <c r="O1375" s="303" t="s">
        <v>71</v>
      </c>
      <c r="P1375" s="334"/>
      <c r="Q1375" s="301" t="b">
        <v>1</v>
      </c>
      <c r="R1375" s="304" t="s">
        <v>1278</v>
      </c>
      <c r="S1375" s="304" t="s">
        <v>141</v>
      </c>
      <c r="T1375" s="304" t="s">
        <v>145</v>
      </c>
      <c r="U1375" s="304" t="s">
        <v>145</v>
      </c>
      <c r="V1375" s="313">
        <v>0.55000000000000004</v>
      </c>
      <c r="W1375" s="313">
        <v>0.55000000000000004</v>
      </c>
      <c r="X1375" s="306" t="s">
        <v>248</v>
      </c>
      <c r="Y1375" s="334" t="s">
        <v>96</v>
      </c>
      <c r="Z1375" s="314" t="s">
        <v>100</v>
      </c>
      <c r="AA1375" s="326" t="s">
        <v>1498</v>
      </c>
      <c r="AB1375" s="334" t="s">
        <v>1739</v>
      </c>
      <c r="AC1375" s="334" t="s">
        <v>1702</v>
      </c>
      <c r="AD1375" s="326" t="s">
        <v>1717</v>
      </c>
      <c r="AE1375" s="326" t="s">
        <v>1725</v>
      </c>
      <c r="AG1375" s="326" t="s">
        <v>1707</v>
      </c>
      <c r="AH1375" s="326" t="s">
        <v>1714</v>
      </c>
      <c r="AQ1375">
        <v>2048</v>
      </c>
      <c r="AR1375" s="325" t="s">
        <v>1463</v>
      </c>
      <c r="AT1375"/>
      <c r="AU1375"/>
      <c r="AV1375"/>
      <c r="AW1375" t="b">
        <v>1</v>
      </c>
      <c r="AX1375" t="b">
        <v>1</v>
      </c>
      <c r="AY1375" t="b">
        <v>1</v>
      </c>
    </row>
    <row r="1376" spans="1:51">
      <c r="A1376" s="277" t="s">
        <v>1328</v>
      </c>
      <c r="B1376" s="328" t="s">
        <v>101</v>
      </c>
      <c r="C1376" s="334">
        <f>'Schippers RD Black Sea 2012 '!B37</f>
        <v>1.7175</v>
      </c>
      <c r="D1376" s="301">
        <f>'Schippers RD Black Sea 2012 '!C37</f>
        <v>21600000</v>
      </c>
      <c r="H1376" s="336"/>
      <c r="I1376" s="301">
        <f>'Schippers RD Black Sea 2012 '!G37</f>
        <v>1009100</v>
      </c>
      <c r="J1376" s="301">
        <f>'Schippers RD Black Sea 2012 '!H37</f>
        <v>713000</v>
      </c>
      <c r="K1376" s="301">
        <f>I1376+J1376</f>
        <v>1722100</v>
      </c>
      <c r="N1376" s="27">
        <f>J1376/K1376</f>
        <v>0.41402938273038731</v>
      </c>
      <c r="O1376" s="303"/>
      <c r="P1376" s="334"/>
      <c r="R1376" s="304" t="s">
        <v>1278</v>
      </c>
      <c r="S1376" s="304" t="s">
        <v>141</v>
      </c>
      <c r="T1376" s="304" t="s">
        <v>145</v>
      </c>
      <c r="U1376" s="304" t="s">
        <v>145</v>
      </c>
      <c r="V1376" s="334"/>
      <c r="W1376" s="334"/>
      <c r="X1376" s="334"/>
      <c r="Y1376" s="334"/>
      <c r="Z1376" s="334"/>
      <c r="AA1376" s="326" t="s">
        <v>1498</v>
      </c>
      <c r="AD1376" s="326" t="s">
        <v>1717</v>
      </c>
      <c r="AE1376" s="326" t="s">
        <v>1725</v>
      </c>
      <c r="AG1376" s="326" t="s">
        <v>1707</v>
      </c>
      <c r="AH1376" s="326" t="s">
        <v>1714</v>
      </c>
      <c r="AT1376"/>
      <c r="AU1376"/>
      <c r="AV1376"/>
      <c r="AW1376" t="b">
        <v>1</v>
      </c>
      <c r="AX1376" t="b">
        <v>1</v>
      </c>
      <c r="AY1376" t="b">
        <v>1</v>
      </c>
    </row>
    <row r="1377" spans="1:51">
      <c r="A1377" s="277" t="s">
        <v>1328</v>
      </c>
      <c r="B1377" s="328" t="s">
        <v>101</v>
      </c>
      <c r="C1377" s="334">
        <f>'Schippers RD Black Sea 2012 '!B38</f>
        <v>2.5375000000000001</v>
      </c>
      <c r="D1377" s="301">
        <f>'Schippers RD Black Sea 2012 '!C38</f>
        <v>93700000</v>
      </c>
      <c r="E1377" s="301">
        <f>'Schippers RD Black Sea 2012 '!E38</f>
        <v>393000</v>
      </c>
      <c r="G1377" s="301">
        <f>E1377+F1377</f>
        <v>393000</v>
      </c>
      <c r="H1377" s="27">
        <f>G1377/D1377</f>
        <v>4.1942369263607256E-3</v>
      </c>
      <c r="I1377" s="301">
        <f>'Schippers RD Black Sea 2012 '!G38</f>
        <v>4615500</v>
      </c>
      <c r="J1377" s="301">
        <f>'Schippers RD Black Sea 2012 '!H38</f>
        <v>1500000</v>
      </c>
      <c r="K1377" s="301">
        <f>I1377+J1377</f>
        <v>6115500</v>
      </c>
      <c r="M1377" s="27">
        <f>F1377/G1377</f>
        <v>0</v>
      </c>
      <c r="N1377" s="27">
        <f>J1377/K1377</f>
        <v>0.2452783909737552</v>
      </c>
      <c r="O1377" s="303" t="s">
        <v>71</v>
      </c>
      <c r="P1377" s="303"/>
      <c r="Q1377" s="301" t="b">
        <v>1</v>
      </c>
      <c r="R1377" s="304" t="s">
        <v>1278</v>
      </c>
      <c r="S1377" s="304" t="s">
        <v>141</v>
      </c>
      <c r="T1377" s="304" t="s">
        <v>145</v>
      </c>
      <c r="U1377" s="304" t="s">
        <v>145</v>
      </c>
      <c r="V1377" s="313">
        <v>0.55000000000000004</v>
      </c>
      <c r="W1377" s="313">
        <v>0.55000000000000004</v>
      </c>
      <c r="X1377" s="306" t="s">
        <v>248</v>
      </c>
      <c r="Y1377" s="334" t="s">
        <v>96</v>
      </c>
      <c r="Z1377" s="314" t="s">
        <v>100</v>
      </c>
      <c r="AA1377" s="326" t="s">
        <v>1498</v>
      </c>
      <c r="AB1377" s="334" t="s">
        <v>1739</v>
      </c>
      <c r="AC1377" s="334" t="s">
        <v>1702</v>
      </c>
      <c r="AD1377" s="326" t="s">
        <v>1717</v>
      </c>
      <c r="AE1377" s="326" t="s">
        <v>1725</v>
      </c>
      <c r="AG1377" s="326" t="s">
        <v>1707</v>
      </c>
      <c r="AH1377" s="326" t="s">
        <v>1714</v>
      </c>
      <c r="AQ1377">
        <v>2048</v>
      </c>
      <c r="AR1377" t="s">
        <v>1463</v>
      </c>
      <c r="AT1377"/>
      <c r="AU1377"/>
      <c r="AV1377"/>
      <c r="AW1377" t="b">
        <v>1</v>
      </c>
      <c r="AX1377" t="b">
        <v>1</v>
      </c>
      <c r="AY1377" t="b">
        <v>1</v>
      </c>
    </row>
    <row r="1378" spans="1:51">
      <c r="A1378" s="277" t="s">
        <v>1328</v>
      </c>
      <c r="B1378" s="328" t="s">
        <v>101</v>
      </c>
      <c r="C1378" s="334">
        <f>'Schippers RD Black Sea 2012 '!B39</f>
        <v>2.7250000000000001</v>
      </c>
      <c r="H1378" s="336"/>
      <c r="I1378" s="301">
        <f>'Schippers RD Black Sea 2012 '!G39</f>
        <v>2806700</v>
      </c>
      <c r="J1378" s="301">
        <f>'Schippers RD Black Sea 2012 '!H39</f>
        <v>2510000</v>
      </c>
      <c r="K1378" s="301">
        <f>I1378+J1378</f>
        <v>5316700</v>
      </c>
      <c r="N1378" s="27">
        <f>J1378/K1378</f>
        <v>0.47209735362160737</v>
      </c>
      <c r="O1378" s="303"/>
      <c r="P1378" s="303"/>
      <c r="R1378" s="304" t="s">
        <v>1278</v>
      </c>
      <c r="S1378" s="304" t="s">
        <v>141</v>
      </c>
      <c r="T1378" s="304" t="s">
        <v>145</v>
      </c>
      <c r="U1378" s="304" t="s">
        <v>145</v>
      </c>
      <c r="V1378" s="334"/>
      <c r="W1378" s="334"/>
      <c r="X1378" s="334"/>
      <c r="Y1378" s="334"/>
      <c r="Z1378" s="334"/>
      <c r="AA1378" s="326" t="s">
        <v>1498</v>
      </c>
      <c r="AD1378" s="326" t="s">
        <v>1717</v>
      </c>
      <c r="AE1378" s="326" t="s">
        <v>1725</v>
      </c>
      <c r="AG1378" s="326" t="s">
        <v>1707</v>
      </c>
      <c r="AH1378" s="326" t="s">
        <v>1714</v>
      </c>
      <c r="AR1378" s="323"/>
      <c r="AT1378"/>
      <c r="AU1378"/>
      <c r="AV1378"/>
      <c r="AW1378" t="b">
        <v>1</v>
      </c>
      <c r="AX1378" t="b">
        <v>1</v>
      </c>
      <c r="AY1378" t="b">
        <v>1</v>
      </c>
    </row>
    <row r="1379" spans="1:51">
      <c r="A1379" s="277" t="s">
        <v>1328</v>
      </c>
      <c r="B1379" s="328" t="s">
        <v>101</v>
      </c>
      <c r="C1379" s="334">
        <f>'Schippers RD Black Sea 2012 '!B40</f>
        <v>2.8624999999999998</v>
      </c>
      <c r="D1379" s="301">
        <f>'Schippers RD Black Sea 2012 '!C40</f>
        <v>18900000</v>
      </c>
      <c r="H1379" s="336"/>
      <c r="I1379" s="301">
        <f>'Schippers RD Black Sea 2012 '!G40</f>
        <v>915130</v>
      </c>
      <c r="J1379" s="301">
        <f>'Schippers RD Black Sea 2012 '!H40</f>
        <v>98700</v>
      </c>
      <c r="K1379" s="301">
        <f>I1379+J1379</f>
        <v>1013830</v>
      </c>
      <c r="N1379" s="27">
        <f>J1379/K1379</f>
        <v>9.7353599715928704E-2</v>
      </c>
      <c r="O1379" s="303"/>
      <c r="P1379" s="303"/>
      <c r="R1379" s="304" t="s">
        <v>1278</v>
      </c>
      <c r="S1379" s="304" t="s">
        <v>141</v>
      </c>
      <c r="T1379" s="304" t="s">
        <v>145</v>
      </c>
      <c r="U1379" s="304" t="s">
        <v>145</v>
      </c>
      <c r="V1379" s="334"/>
      <c r="W1379" s="334"/>
      <c r="X1379" s="334"/>
      <c r="Y1379" s="334"/>
      <c r="Z1379" s="334"/>
      <c r="AA1379" s="326" t="s">
        <v>1498</v>
      </c>
      <c r="AD1379" s="326" t="s">
        <v>1717</v>
      </c>
      <c r="AE1379" s="326" t="s">
        <v>1725</v>
      </c>
      <c r="AG1379" s="326" t="s">
        <v>1707</v>
      </c>
      <c r="AH1379" s="326" t="s">
        <v>1714</v>
      </c>
      <c r="AT1379"/>
      <c r="AU1379"/>
      <c r="AV1379"/>
      <c r="AW1379" t="b">
        <v>1</v>
      </c>
      <c r="AX1379" t="b">
        <v>1</v>
      </c>
      <c r="AY1379" t="b">
        <v>1</v>
      </c>
    </row>
    <row r="1380" spans="1:51">
      <c r="A1380" s="277" t="s">
        <v>1328</v>
      </c>
      <c r="B1380" s="328" t="s">
        <v>101</v>
      </c>
      <c r="C1380" s="334">
        <f>'Schippers RD Black Sea 2012 '!B41</f>
        <v>3.1825000000000001</v>
      </c>
      <c r="D1380" s="301">
        <f>'Schippers RD Black Sea 2012 '!C41</f>
        <v>18300000</v>
      </c>
      <c r="H1380" s="336"/>
      <c r="I1380" s="301">
        <f>'Schippers RD Black Sea 2012 '!G41</f>
        <v>373060</v>
      </c>
      <c r="O1380" s="303"/>
      <c r="P1380" s="303"/>
      <c r="R1380" s="304" t="s">
        <v>1278</v>
      </c>
      <c r="S1380" s="304" t="s">
        <v>141</v>
      </c>
      <c r="T1380" s="304" t="s">
        <v>145</v>
      </c>
      <c r="U1380" s="304" t="s">
        <v>145</v>
      </c>
      <c r="V1380" s="334"/>
      <c r="W1380" s="334"/>
      <c r="X1380" s="334"/>
      <c r="Y1380" s="334"/>
      <c r="Z1380" s="334"/>
      <c r="AT1380"/>
      <c r="AU1380"/>
      <c r="AV1380"/>
    </row>
    <row r="1381" spans="1:51">
      <c r="A1381" s="277" t="s">
        <v>1328</v>
      </c>
      <c r="B1381" s="328" t="s">
        <v>101</v>
      </c>
      <c r="C1381" s="334">
        <f>'Schippers RD Black Sea 2012 '!B42</f>
        <v>4.5225</v>
      </c>
      <c r="D1381" s="301">
        <f>'Schippers RD Black Sea 2012 '!C42</f>
        <v>17200000</v>
      </c>
      <c r="I1381" s="301">
        <f>'Schippers RD Black Sea 2012 '!G42</f>
        <v>562670</v>
      </c>
      <c r="O1381" s="303"/>
      <c r="P1381" s="303"/>
      <c r="R1381" s="304" t="s">
        <v>1278</v>
      </c>
      <c r="S1381" s="304" t="s">
        <v>141</v>
      </c>
      <c r="T1381" s="304" t="s">
        <v>145</v>
      </c>
      <c r="U1381" s="304" t="s">
        <v>145</v>
      </c>
      <c r="V1381" s="334"/>
      <c r="W1381" s="334"/>
      <c r="X1381" s="334"/>
      <c r="Y1381" s="334"/>
      <c r="Z1381" s="334"/>
      <c r="AT1381"/>
      <c r="AU1381"/>
      <c r="AV1381"/>
    </row>
    <row r="1382" spans="1:51">
      <c r="A1382" s="277" t="s">
        <v>1328</v>
      </c>
      <c r="B1382" s="328" t="s">
        <v>101</v>
      </c>
      <c r="C1382" s="334">
        <f>'Schippers RD Black Sea 2012 '!B43</f>
        <v>4.9725000000000001</v>
      </c>
      <c r="D1382" s="301">
        <f>'Schippers RD Black Sea 2012 '!C43</f>
        <v>62700000</v>
      </c>
      <c r="I1382" s="301">
        <f>'Schippers RD Black Sea 2012 '!G43</f>
        <v>1935000</v>
      </c>
      <c r="J1382" s="301">
        <f>'Schippers RD Black Sea 2012 '!H43</f>
        <v>437000</v>
      </c>
      <c r="K1382" s="301">
        <f>I1382+J1382</f>
        <v>2372000</v>
      </c>
      <c r="N1382" s="27">
        <f>J1382/K1382</f>
        <v>0.18423271500843169</v>
      </c>
      <c r="O1382" s="303"/>
      <c r="P1382" s="303"/>
      <c r="R1382" s="304" t="s">
        <v>1278</v>
      </c>
      <c r="S1382" s="304" t="s">
        <v>141</v>
      </c>
      <c r="T1382" s="304" t="s">
        <v>145</v>
      </c>
      <c r="U1382" s="304" t="s">
        <v>145</v>
      </c>
      <c r="V1382" s="334"/>
      <c r="W1382" s="334"/>
      <c r="X1382" s="334"/>
      <c r="Y1382" s="328"/>
      <c r="Z1382" s="334"/>
      <c r="AA1382" s="326" t="s">
        <v>1498</v>
      </c>
      <c r="AD1382" s="326" t="s">
        <v>1717</v>
      </c>
      <c r="AE1382" s="326" t="s">
        <v>1725</v>
      </c>
      <c r="AG1382" s="326" t="s">
        <v>1707</v>
      </c>
      <c r="AH1382" s="326" t="s">
        <v>1714</v>
      </c>
      <c r="AR1382" s="325"/>
      <c r="AT1382"/>
      <c r="AU1382"/>
      <c r="AV1382"/>
      <c r="AW1382" t="b">
        <v>1</v>
      </c>
      <c r="AX1382" t="b">
        <v>1</v>
      </c>
      <c r="AY1382" t="b">
        <v>1</v>
      </c>
    </row>
    <row r="1383" spans="1:51">
      <c r="A1383" s="277" t="s">
        <v>1328</v>
      </c>
      <c r="B1383" s="328" t="s">
        <v>101</v>
      </c>
      <c r="C1383" s="334">
        <f>'Schippers RD Black Sea 2012 '!B44</f>
        <v>5.5250000000000004</v>
      </c>
      <c r="I1383" s="301">
        <f>'Schippers RD Black Sea 2012 '!G44</f>
        <v>179520</v>
      </c>
      <c r="J1383" s="301">
        <f>'Schippers RD Black Sea 2012 '!H44</f>
        <v>503000</v>
      </c>
      <c r="K1383" s="301">
        <f>I1383+J1383</f>
        <v>682520</v>
      </c>
      <c r="N1383" s="27">
        <f>J1383/K1383</f>
        <v>0.73697474066694013</v>
      </c>
      <c r="O1383" s="303"/>
      <c r="P1383" s="303"/>
      <c r="R1383" s="304" t="s">
        <v>1278</v>
      </c>
      <c r="S1383" s="304" t="s">
        <v>141</v>
      </c>
      <c r="T1383" s="304" t="s">
        <v>145</v>
      </c>
      <c r="U1383" s="304" t="s">
        <v>145</v>
      </c>
      <c r="V1383" s="334"/>
      <c r="W1383" s="334"/>
      <c r="X1383" s="334"/>
      <c r="Y1383" s="334"/>
      <c r="Z1383" s="334"/>
      <c r="AA1383" s="326" t="s">
        <v>1498</v>
      </c>
      <c r="AD1383" s="326" t="s">
        <v>1717</v>
      </c>
      <c r="AE1383" s="326" t="s">
        <v>1725</v>
      </c>
      <c r="AG1383" s="326" t="s">
        <v>1707</v>
      </c>
      <c r="AH1383" s="326" t="s">
        <v>1714</v>
      </c>
      <c r="AR1383" s="325"/>
      <c r="AT1383"/>
      <c r="AU1383"/>
      <c r="AV1383"/>
      <c r="AW1383" t="b">
        <v>1</v>
      </c>
      <c r="AX1383" t="b">
        <v>1</v>
      </c>
      <c r="AY1383" t="b">
        <v>1</v>
      </c>
    </row>
    <row r="1384" spans="1:51">
      <c r="A1384" s="277" t="s">
        <v>1328</v>
      </c>
      <c r="B1384" s="328" t="s">
        <v>101</v>
      </c>
      <c r="C1384" s="334">
        <f>'Schippers RD Black Sea 2012 '!B45</f>
        <v>5.7949999999999999</v>
      </c>
      <c r="D1384" s="301">
        <f>'Schippers RD Black Sea 2012 '!C45</f>
        <v>46000000</v>
      </c>
      <c r="I1384" s="301">
        <f>'Schippers RD Black Sea 2012 '!G45</f>
        <v>285400</v>
      </c>
      <c r="J1384" s="301">
        <f>'Schippers RD Black Sea 2012 '!H45</f>
        <v>2100000</v>
      </c>
      <c r="K1384" s="301">
        <f>I1384+J1384</f>
        <v>2385400</v>
      </c>
      <c r="N1384" s="27">
        <f>J1384/K1384</f>
        <v>0.88035549593359608</v>
      </c>
      <c r="O1384" s="303"/>
      <c r="P1384" s="303"/>
      <c r="R1384" s="304" t="s">
        <v>1278</v>
      </c>
      <c r="S1384" s="304" t="s">
        <v>141</v>
      </c>
      <c r="T1384" s="304" t="s">
        <v>145</v>
      </c>
      <c r="U1384" s="304" t="s">
        <v>145</v>
      </c>
      <c r="V1384" s="334"/>
      <c r="W1384" s="334"/>
      <c r="X1384" s="334"/>
      <c r="Y1384" s="334"/>
      <c r="Z1384" s="334"/>
      <c r="AA1384" s="326" t="s">
        <v>1498</v>
      </c>
      <c r="AD1384" s="326" t="s">
        <v>1717</v>
      </c>
      <c r="AE1384" s="326" t="s">
        <v>1725</v>
      </c>
      <c r="AG1384" s="326" t="s">
        <v>1707</v>
      </c>
      <c r="AH1384" s="326" t="s">
        <v>1714</v>
      </c>
      <c r="AR1384" s="325"/>
      <c r="AT1384"/>
      <c r="AU1384"/>
      <c r="AV1384"/>
      <c r="AW1384" t="b">
        <v>1</v>
      </c>
      <c r="AX1384" t="b">
        <v>1</v>
      </c>
      <c r="AY1384" t="b">
        <v>1</v>
      </c>
    </row>
    <row r="1385" spans="1:51">
      <c r="A1385" s="277" t="s">
        <v>1328</v>
      </c>
      <c r="B1385" s="328" t="s">
        <v>102</v>
      </c>
      <c r="C1385" s="334">
        <f>'Schippers RD Black Sea 2012 '!B48</f>
        <v>3.5000000000000003E-2</v>
      </c>
      <c r="D1385" s="301">
        <f>'Schippers RD Black Sea 2012 '!C48</f>
        <v>748000000</v>
      </c>
      <c r="E1385" s="301">
        <f>'Schippers RD Black Sea 2012 '!E48</f>
        <v>2360000</v>
      </c>
      <c r="G1385" s="301">
        <f>E1385+F1385</f>
        <v>2360000</v>
      </c>
      <c r="H1385" s="27">
        <f>G1385/D1385</f>
        <v>3.1550802139037435E-3</v>
      </c>
      <c r="I1385" s="301">
        <f>'Schippers RD Black Sea 2012 '!G48</f>
        <v>134000000</v>
      </c>
      <c r="J1385" s="301">
        <f>'Schippers RD Black Sea 2012 '!H48</f>
        <v>82500000</v>
      </c>
      <c r="K1385" s="301">
        <f>I1385+J1385</f>
        <v>216500000</v>
      </c>
      <c r="M1385" s="27">
        <f>F1385/G1385</f>
        <v>0</v>
      </c>
      <c r="N1385" s="27">
        <f>J1385/K1385</f>
        <v>0.38106235565819863</v>
      </c>
      <c r="O1385" s="303" t="s">
        <v>71</v>
      </c>
      <c r="P1385" s="303"/>
      <c r="Q1385" s="301" t="b">
        <v>1</v>
      </c>
      <c r="R1385" s="304" t="s">
        <v>1278</v>
      </c>
      <c r="S1385" s="304" t="s">
        <v>141</v>
      </c>
      <c r="T1385" s="304" t="s">
        <v>145</v>
      </c>
      <c r="U1385" s="304" t="s">
        <v>145</v>
      </c>
      <c r="V1385" s="313">
        <v>0.55000000000000004</v>
      </c>
      <c r="W1385" s="313">
        <v>0.55000000000000004</v>
      </c>
      <c r="X1385" s="306" t="s">
        <v>248</v>
      </c>
      <c r="Y1385" s="334" t="s">
        <v>96</v>
      </c>
      <c r="Z1385" s="314" t="s">
        <v>100</v>
      </c>
      <c r="AA1385" s="326" t="s">
        <v>1498</v>
      </c>
      <c r="AB1385" s="334" t="s">
        <v>1739</v>
      </c>
      <c r="AC1385" s="334" t="s">
        <v>1702</v>
      </c>
      <c r="AD1385" s="326" t="s">
        <v>1717</v>
      </c>
      <c r="AE1385" s="326" t="s">
        <v>1725</v>
      </c>
      <c r="AG1385" s="326" t="s">
        <v>1707</v>
      </c>
      <c r="AH1385" s="326" t="s">
        <v>1714</v>
      </c>
      <c r="AQ1385">
        <v>840</v>
      </c>
      <c r="AR1385" t="s">
        <v>1463</v>
      </c>
      <c r="AT1385"/>
      <c r="AU1385"/>
      <c r="AV1385"/>
      <c r="AW1385" t="b">
        <v>1</v>
      </c>
      <c r="AX1385" t="b">
        <v>1</v>
      </c>
      <c r="AY1385" t="b">
        <v>1</v>
      </c>
    </row>
    <row r="1386" spans="1:51">
      <c r="A1386" s="277" t="s">
        <v>1328</v>
      </c>
      <c r="B1386" s="328" t="s">
        <v>102</v>
      </c>
      <c r="C1386" s="334">
        <f>'Schippers RD Black Sea 2012 '!B49</f>
        <v>0.115</v>
      </c>
      <c r="D1386" s="301">
        <f>'Schippers RD Black Sea 2012 '!C49</f>
        <v>666000000</v>
      </c>
      <c r="E1386" s="301">
        <f>'Schippers RD Black Sea 2012 '!E49</f>
        <v>1180000</v>
      </c>
      <c r="F1386" s="301">
        <f>'Schippers RD Black Sea 2012 '!F49</f>
        <v>393000</v>
      </c>
      <c r="G1386" s="301">
        <f>E1386+F1386</f>
        <v>1573000</v>
      </c>
      <c r="H1386" s="27">
        <f>G1386/D1386</f>
        <v>2.3618618618618616E-3</v>
      </c>
      <c r="I1386" s="301">
        <f>'Schippers RD Black Sea 2012 '!G49</f>
        <v>109000000</v>
      </c>
      <c r="J1386" s="301">
        <f>'Schippers RD Black Sea 2012 '!H49</f>
        <v>33800000</v>
      </c>
      <c r="K1386" s="301">
        <f>I1386+J1386</f>
        <v>142800000</v>
      </c>
      <c r="M1386" s="27">
        <f>F1386/G1386</f>
        <v>0.24984106802288619</v>
      </c>
      <c r="N1386" s="27">
        <f>J1386/K1386</f>
        <v>0.23669467787114845</v>
      </c>
      <c r="O1386" s="303" t="s">
        <v>71</v>
      </c>
      <c r="P1386" s="303"/>
      <c r="R1386" s="304" t="s">
        <v>1278</v>
      </c>
      <c r="S1386" s="304" t="s">
        <v>141</v>
      </c>
      <c r="T1386" s="304" t="s">
        <v>145</v>
      </c>
      <c r="U1386" s="304" t="s">
        <v>145</v>
      </c>
      <c r="V1386" s="313">
        <v>0.55000000000000004</v>
      </c>
      <c r="W1386" s="313">
        <v>0.55000000000000004</v>
      </c>
      <c r="X1386" s="306" t="s">
        <v>248</v>
      </c>
      <c r="Y1386" s="334" t="s">
        <v>96</v>
      </c>
      <c r="Z1386" s="314" t="s">
        <v>100</v>
      </c>
      <c r="AA1386" s="326" t="s">
        <v>1498</v>
      </c>
      <c r="AB1386" s="334" t="s">
        <v>1739</v>
      </c>
      <c r="AC1386" s="334" t="s">
        <v>1702</v>
      </c>
      <c r="AD1386" s="326" t="s">
        <v>1717</v>
      </c>
      <c r="AE1386" s="326" t="s">
        <v>1725</v>
      </c>
      <c r="AG1386" s="326" t="s">
        <v>1707</v>
      </c>
      <c r="AH1386" s="326" t="s">
        <v>1714</v>
      </c>
      <c r="AQ1386">
        <v>840</v>
      </c>
      <c r="AR1386" s="325" t="s">
        <v>1463</v>
      </c>
      <c r="AT1386"/>
      <c r="AU1386"/>
      <c r="AV1386"/>
      <c r="AW1386" t="b">
        <v>1</v>
      </c>
      <c r="AX1386" t="b">
        <v>1</v>
      </c>
      <c r="AY1386" t="b">
        <v>1</v>
      </c>
    </row>
    <row r="1387" spans="1:51">
      <c r="A1387" s="277" t="s">
        <v>1328</v>
      </c>
      <c r="B1387" s="328" t="s">
        <v>102</v>
      </c>
      <c r="C1387" s="334">
        <f>'Schippers RD Black Sea 2012 '!B50</f>
        <v>0.19500000000000001</v>
      </c>
      <c r="D1387" s="301">
        <f>'Schippers RD Black Sea 2012 '!C50</f>
        <v>652000000</v>
      </c>
      <c r="E1387" s="301">
        <f>'Schippers RD Black Sea 2012 '!E50</f>
        <v>9030000</v>
      </c>
      <c r="F1387" s="301">
        <f>'Schippers RD Black Sea 2012 '!F50</f>
        <v>6280000</v>
      </c>
      <c r="G1387" s="301">
        <f>E1387+F1387</f>
        <v>15310000</v>
      </c>
      <c r="H1387" s="27">
        <f>G1387/D1387</f>
        <v>2.3481595092024538E-2</v>
      </c>
      <c r="I1387" s="301">
        <f>'Schippers RD Black Sea 2012 '!G50</f>
        <v>10000000</v>
      </c>
      <c r="J1387" s="301">
        <f>'Schippers RD Black Sea 2012 '!H50</f>
        <v>29300000</v>
      </c>
      <c r="K1387" s="301">
        <f>I1387+J1387</f>
        <v>39300000</v>
      </c>
      <c r="M1387" s="27">
        <f>F1387/G1387</f>
        <v>0.41018941868060094</v>
      </c>
      <c r="N1387" s="27">
        <f>J1387/K1387</f>
        <v>0.74554707379134855</v>
      </c>
      <c r="O1387" s="303" t="s">
        <v>71</v>
      </c>
      <c r="P1387" s="304"/>
      <c r="R1387" s="304" t="s">
        <v>1278</v>
      </c>
      <c r="S1387" s="304" t="s">
        <v>141</v>
      </c>
      <c r="T1387" s="304" t="s">
        <v>145</v>
      </c>
      <c r="U1387" s="304" t="s">
        <v>145</v>
      </c>
      <c r="V1387" s="313">
        <v>0.55000000000000004</v>
      </c>
      <c r="W1387" s="313">
        <v>0.55000000000000004</v>
      </c>
      <c r="X1387" s="306" t="s">
        <v>248</v>
      </c>
      <c r="Y1387" s="334" t="s">
        <v>96</v>
      </c>
      <c r="Z1387" s="314" t="s">
        <v>100</v>
      </c>
      <c r="AA1387" s="326" t="s">
        <v>1498</v>
      </c>
      <c r="AB1387" s="334" t="s">
        <v>1739</v>
      </c>
      <c r="AC1387" s="334" t="s">
        <v>1702</v>
      </c>
      <c r="AD1387" s="326" t="s">
        <v>1717</v>
      </c>
      <c r="AE1387" s="326" t="s">
        <v>1725</v>
      </c>
      <c r="AG1387" s="326" t="s">
        <v>1707</v>
      </c>
      <c r="AH1387" s="326" t="s">
        <v>1714</v>
      </c>
      <c r="AQ1387">
        <v>840</v>
      </c>
      <c r="AR1387" s="325" t="s">
        <v>1463</v>
      </c>
      <c r="AT1387"/>
      <c r="AU1387"/>
      <c r="AV1387"/>
      <c r="AW1387" t="b">
        <v>1</v>
      </c>
      <c r="AX1387" t="b">
        <v>1</v>
      </c>
      <c r="AY1387" t="b">
        <v>1</v>
      </c>
    </row>
    <row r="1388" spans="1:51">
      <c r="A1388" s="277" t="s">
        <v>1328</v>
      </c>
      <c r="B1388" s="328" t="s">
        <v>102</v>
      </c>
      <c r="C1388" s="334">
        <f>'Schippers RD Black Sea 2012 '!B51</f>
        <v>0.27500000000000002</v>
      </c>
      <c r="D1388" s="301">
        <f>'Schippers RD Black Sea 2012 '!C51</f>
        <v>915000000</v>
      </c>
      <c r="E1388" s="301">
        <f>'Schippers RD Black Sea 2012 '!E51</f>
        <v>1770000</v>
      </c>
      <c r="F1388" s="301">
        <f>'Schippers RD Black Sea 2012 '!F51</f>
        <v>5500000</v>
      </c>
      <c r="G1388" s="301">
        <f>E1388+F1388</f>
        <v>7270000</v>
      </c>
      <c r="H1388" s="27">
        <f>G1388/D1388</f>
        <v>7.945355191256831E-3</v>
      </c>
      <c r="I1388" s="301">
        <f>'Schippers RD Black Sea 2012 '!G51</f>
        <v>134000000</v>
      </c>
      <c r="J1388" s="301">
        <f>'Schippers RD Black Sea 2012 '!H51</f>
        <v>38200000</v>
      </c>
      <c r="K1388" s="301">
        <f>I1388+J1388</f>
        <v>172200000</v>
      </c>
      <c r="M1388" s="27">
        <f>F1388/G1388</f>
        <v>0.75653370013755161</v>
      </c>
      <c r="N1388" s="27">
        <f>J1388/K1388</f>
        <v>0.22183507549361209</v>
      </c>
      <c r="O1388" s="303" t="s">
        <v>71</v>
      </c>
      <c r="P1388" s="304"/>
      <c r="R1388" s="304" t="s">
        <v>1278</v>
      </c>
      <c r="S1388" s="304" t="s">
        <v>141</v>
      </c>
      <c r="T1388" s="304" t="s">
        <v>145</v>
      </c>
      <c r="U1388" s="304" t="s">
        <v>145</v>
      </c>
      <c r="V1388" s="313">
        <v>0.55000000000000004</v>
      </c>
      <c r="W1388" s="313">
        <v>0.55000000000000004</v>
      </c>
      <c r="X1388" s="306" t="s">
        <v>248</v>
      </c>
      <c r="Y1388" s="334" t="s">
        <v>96</v>
      </c>
      <c r="Z1388" s="314" t="s">
        <v>100</v>
      </c>
      <c r="AA1388" s="326" t="s">
        <v>1498</v>
      </c>
      <c r="AB1388" s="334" t="s">
        <v>1739</v>
      </c>
      <c r="AC1388" s="334" t="s">
        <v>1702</v>
      </c>
      <c r="AD1388" s="326" t="s">
        <v>1717</v>
      </c>
      <c r="AE1388" s="326" t="s">
        <v>1725</v>
      </c>
      <c r="AG1388" s="326" t="s">
        <v>1707</v>
      </c>
      <c r="AH1388" s="326" t="s">
        <v>1714</v>
      </c>
      <c r="AQ1388">
        <v>840</v>
      </c>
      <c r="AR1388" s="325" t="s">
        <v>1463</v>
      </c>
      <c r="AT1388"/>
      <c r="AU1388"/>
      <c r="AV1388"/>
      <c r="AW1388" t="b">
        <v>1</v>
      </c>
      <c r="AX1388" t="b">
        <v>1</v>
      </c>
      <c r="AY1388" t="b">
        <v>1</v>
      </c>
    </row>
    <row r="1389" spans="1:51">
      <c r="A1389" s="277" t="s">
        <v>1328</v>
      </c>
      <c r="B1389" s="328" t="s">
        <v>102</v>
      </c>
      <c r="C1389" s="334">
        <f>'Schippers RD Black Sea 2012 '!B52</f>
        <v>0.44500000000000001</v>
      </c>
      <c r="D1389" s="301">
        <f>'Schippers RD Black Sea 2012 '!C52</f>
        <v>881000000</v>
      </c>
      <c r="E1389" s="301">
        <f>'Schippers RD Black Sea 2012 '!E52</f>
        <v>3530000</v>
      </c>
      <c r="F1389" s="301">
        <f>'Schippers RD Black Sea 2012 '!F52</f>
        <v>4710000</v>
      </c>
      <c r="G1389" s="301">
        <f>E1389+F1389</f>
        <v>8240000</v>
      </c>
      <c r="H1389" s="27">
        <f>G1389/D1389</f>
        <v>9.3530079455164585E-3</v>
      </c>
      <c r="I1389" s="301">
        <f>'Schippers RD Black Sea 2012 '!G52</f>
        <v>22400000</v>
      </c>
      <c r="J1389" s="301">
        <f>'Schippers RD Black Sea 2012 '!H52</f>
        <v>13200000</v>
      </c>
      <c r="K1389" s="301">
        <f>I1389+J1389</f>
        <v>35600000</v>
      </c>
      <c r="M1389" s="27">
        <f>F1389/G1389</f>
        <v>0.57160194174757284</v>
      </c>
      <c r="N1389" s="27">
        <f>J1389/K1389</f>
        <v>0.3707865168539326</v>
      </c>
      <c r="O1389" s="303" t="s">
        <v>71</v>
      </c>
      <c r="P1389" s="304"/>
      <c r="R1389" s="304" t="s">
        <v>1278</v>
      </c>
      <c r="S1389" s="304" t="s">
        <v>141</v>
      </c>
      <c r="T1389" s="304" t="s">
        <v>145</v>
      </c>
      <c r="U1389" s="304" t="s">
        <v>145</v>
      </c>
      <c r="V1389" s="313">
        <v>0.55000000000000004</v>
      </c>
      <c r="W1389" s="313">
        <v>0.55000000000000004</v>
      </c>
      <c r="X1389" s="306" t="s">
        <v>248</v>
      </c>
      <c r="Y1389" s="334" t="s">
        <v>96</v>
      </c>
      <c r="Z1389" s="314" t="s">
        <v>100</v>
      </c>
      <c r="AA1389" s="326" t="s">
        <v>1498</v>
      </c>
      <c r="AB1389" s="334" t="s">
        <v>1739</v>
      </c>
      <c r="AC1389" s="334" t="s">
        <v>1702</v>
      </c>
      <c r="AD1389" s="326" t="s">
        <v>1717</v>
      </c>
      <c r="AE1389" s="326" t="s">
        <v>1725</v>
      </c>
      <c r="AG1389" s="326" t="s">
        <v>1707</v>
      </c>
      <c r="AH1389" s="326" t="s">
        <v>1714</v>
      </c>
      <c r="AQ1389">
        <v>840</v>
      </c>
      <c r="AR1389" s="323" t="s">
        <v>1463</v>
      </c>
      <c r="AT1389"/>
      <c r="AU1389"/>
      <c r="AV1389"/>
      <c r="AW1389" t="b">
        <v>1</v>
      </c>
      <c r="AX1389" t="b">
        <v>1</v>
      </c>
      <c r="AY1389" t="b">
        <v>1</v>
      </c>
    </row>
    <row r="1390" spans="1:51">
      <c r="A1390" s="277" t="s">
        <v>1328</v>
      </c>
      <c r="B1390" s="328" t="s">
        <v>102</v>
      </c>
      <c r="C1390" s="334">
        <f>'Schippers RD Black Sea 2012 '!B53</f>
        <v>0.505</v>
      </c>
      <c r="D1390" s="301">
        <f>'Schippers RD Black Sea 2012 '!C53</f>
        <v>49900000</v>
      </c>
      <c r="E1390" s="301">
        <f>'Schippers RD Black Sea 2012 '!E53</f>
        <v>2360000</v>
      </c>
      <c r="F1390" s="301">
        <f>'Schippers RD Black Sea 2012 '!F53</f>
        <v>589000</v>
      </c>
      <c r="G1390" s="301">
        <f>E1390+F1390</f>
        <v>2949000</v>
      </c>
      <c r="H1390" s="27">
        <f>G1390/D1390</f>
        <v>5.9098196392785574E-2</v>
      </c>
      <c r="I1390" s="301">
        <f>'Schippers RD Black Sea 2012 '!G53</f>
        <v>11400000</v>
      </c>
      <c r="J1390" s="301">
        <f>'Schippers RD Black Sea 2012 '!H53</f>
        <v>4850000</v>
      </c>
      <c r="K1390" s="301">
        <f>I1390+J1390</f>
        <v>16250000</v>
      </c>
      <c r="M1390" s="27">
        <f>F1390/G1390</f>
        <v>0.19972872160054256</v>
      </c>
      <c r="N1390" s="27">
        <f>J1390/K1390</f>
        <v>0.29846153846153844</v>
      </c>
      <c r="O1390" s="303" t="s">
        <v>71</v>
      </c>
      <c r="P1390" s="304"/>
      <c r="R1390" s="304" t="s">
        <v>1278</v>
      </c>
      <c r="S1390" s="304" t="s">
        <v>141</v>
      </c>
      <c r="T1390" s="304" t="s">
        <v>145</v>
      </c>
      <c r="U1390" s="304" t="s">
        <v>145</v>
      </c>
      <c r="V1390" s="313">
        <v>0.55000000000000004</v>
      </c>
      <c r="W1390" s="313">
        <v>0.55000000000000004</v>
      </c>
      <c r="X1390" s="306" t="s">
        <v>248</v>
      </c>
      <c r="Y1390" s="334" t="s">
        <v>96</v>
      </c>
      <c r="Z1390" s="314" t="s">
        <v>100</v>
      </c>
      <c r="AA1390" s="326" t="s">
        <v>1498</v>
      </c>
      <c r="AB1390" s="334" t="s">
        <v>1739</v>
      </c>
      <c r="AC1390" s="334" t="s">
        <v>1702</v>
      </c>
      <c r="AD1390" s="326" t="s">
        <v>1717</v>
      </c>
      <c r="AE1390" s="326" t="s">
        <v>1725</v>
      </c>
      <c r="AG1390" s="326" t="s">
        <v>1707</v>
      </c>
      <c r="AH1390" s="326" t="s">
        <v>1714</v>
      </c>
      <c r="AQ1390">
        <v>840</v>
      </c>
      <c r="AR1390" s="325" t="s">
        <v>1463</v>
      </c>
      <c r="AT1390"/>
      <c r="AU1390"/>
      <c r="AV1390"/>
      <c r="AW1390" t="b">
        <v>1</v>
      </c>
      <c r="AX1390" t="b">
        <v>1</v>
      </c>
      <c r="AY1390" t="b">
        <v>1</v>
      </c>
    </row>
    <row r="1391" spans="1:51">
      <c r="A1391" s="277" t="s">
        <v>1328</v>
      </c>
      <c r="B1391" s="328" t="s">
        <v>1601</v>
      </c>
      <c r="C1391" s="334">
        <f>'Schippers RD Black Sea 2012 '!B54</f>
        <v>1.5049999999999999</v>
      </c>
      <c r="D1391" s="301">
        <f>'Schippers RD Black Sea 2012 '!C54</f>
        <v>18900000</v>
      </c>
      <c r="F1391" s="301">
        <f>'Schippers RD Black Sea 2012 '!F54</f>
        <v>982000</v>
      </c>
      <c r="I1391" s="301">
        <f>'Schippers RD Black Sea 2012 '!G54</f>
        <v>2370000</v>
      </c>
      <c r="J1391" s="301">
        <f>'Schippers RD Black Sea 2012 '!H54</f>
        <v>493000</v>
      </c>
      <c r="K1391" s="301">
        <f>I1391+J1391</f>
        <v>2863000</v>
      </c>
      <c r="N1391" s="27">
        <f>J1391/K1391</f>
        <v>0.17219699615787634</v>
      </c>
      <c r="O1391" s="303"/>
      <c r="P1391" s="304"/>
      <c r="R1391" s="304" t="s">
        <v>1278</v>
      </c>
      <c r="S1391" s="304" t="s">
        <v>141</v>
      </c>
      <c r="T1391" s="304" t="s">
        <v>145</v>
      </c>
      <c r="U1391" s="304" t="s">
        <v>145</v>
      </c>
      <c r="V1391" s="334"/>
      <c r="W1391" s="334"/>
      <c r="X1391" s="334"/>
      <c r="Y1391" s="334"/>
      <c r="Z1391" s="334"/>
      <c r="AA1391" s="326" t="s">
        <v>1498</v>
      </c>
      <c r="AD1391" s="326" t="s">
        <v>1717</v>
      </c>
      <c r="AE1391" s="326" t="s">
        <v>1725</v>
      </c>
      <c r="AG1391" s="326" t="s">
        <v>1707</v>
      </c>
      <c r="AH1391" s="326" t="s">
        <v>1714</v>
      </c>
      <c r="AT1391"/>
      <c r="AU1391"/>
      <c r="AV1391"/>
      <c r="AW1391" t="b">
        <v>1</v>
      </c>
      <c r="AX1391" t="b">
        <v>1</v>
      </c>
      <c r="AY1391" t="b">
        <v>1</v>
      </c>
    </row>
    <row r="1392" spans="1:51">
      <c r="A1392" s="277" t="s">
        <v>1328</v>
      </c>
      <c r="B1392" s="328" t="s">
        <v>102</v>
      </c>
      <c r="C1392" s="334">
        <f>'Schippers RD Black Sea 2012 '!B55</f>
        <v>2.5049999999999999</v>
      </c>
      <c r="D1392" s="301">
        <f>'Schippers RD Black Sea 2012 '!C55</f>
        <v>23800000</v>
      </c>
      <c r="E1392" s="301">
        <f>'Schippers RD Black Sea 2012 '!E55</f>
        <v>2160000</v>
      </c>
      <c r="F1392" s="301">
        <f>'Schippers RD Black Sea 2012 '!F55</f>
        <v>196000</v>
      </c>
      <c r="G1392" s="301">
        <f>E1392+F1392</f>
        <v>2356000</v>
      </c>
      <c r="H1392" s="27">
        <f>G1392/D1392</f>
        <v>9.8991596638655463E-2</v>
      </c>
      <c r="J1392" s="301">
        <f>'Schippers RD Black Sea 2012 '!H55</f>
        <v>165000</v>
      </c>
      <c r="M1392" s="27">
        <f>F1392/G1392</f>
        <v>8.3191850594227498E-2</v>
      </c>
      <c r="O1392" s="303" t="s">
        <v>71</v>
      </c>
      <c r="P1392" s="304"/>
      <c r="R1392" s="304" t="s">
        <v>1278</v>
      </c>
      <c r="S1392" s="304" t="s">
        <v>141</v>
      </c>
      <c r="T1392" s="304" t="s">
        <v>145</v>
      </c>
      <c r="U1392" s="304" t="s">
        <v>145</v>
      </c>
      <c r="V1392" s="313">
        <v>0.55000000000000004</v>
      </c>
      <c r="W1392" s="313">
        <v>0.55000000000000004</v>
      </c>
      <c r="X1392" s="306" t="s">
        <v>248</v>
      </c>
      <c r="Y1392" s="334" t="s">
        <v>96</v>
      </c>
      <c r="Z1392" s="314" t="s">
        <v>100</v>
      </c>
      <c r="AB1392" s="334" t="s">
        <v>1739</v>
      </c>
      <c r="AC1392" s="334" t="s">
        <v>1702</v>
      </c>
      <c r="AQ1392">
        <v>840</v>
      </c>
      <c r="AR1392" t="s">
        <v>1463</v>
      </c>
      <c r="AT1392"/>
      <c r="AU1392"/>
      <c r="AV1392"/>
    </row>
    <row r="1393" spans="1:51">
      <c r="A1393" s="277" t="s">
        <v>1328</v>
      </c>
      <c r="B1393" s="328" t="s">
        <v>1601</v>
      </c>
      <c r="C1393" s="334">
        <f>'Schippers RD Black Sea 2012 '!B56</f>
        <v>3.5049999999999999</v>
      </c>
      <c r="J1393" s="301">
        <f>'Schippers RD Black Sea 2012 '!H56</f>
        <v>269000</v>
      </c>
      <c r="O1393" s="303"/>
      <c r="P1393" s="304"/>
      <c r="R1393" s="304" t="s">
        <v>1278</v>
      </c>
      <c r="S1393" s="304" t="s">
        <v>141</v>
      </c>
      <c r="T1393" s="304" t="s">
        <v>145</v>
      </c>
      <c r="U1393" s="304" t="s">
        <v>145</v>
      </c>
      <c r="V1393" s="334"/>
      <c r="W1393" s="334"/>
      <c r="X1393" s="334"/>
      <c r="Y1393" s="334"/>
      <c r="Z1393" s="334"/>
      <c r="AT1393"/>
      <c r="AU1393"/>
      <c r="AV1393"/>
    </row>
    <row r="1394" spans="1:51">
      <c r="A1394" s="277" t="s">
        <v>1328</v>
      </c>
      <c r="B1394" s="334" t="s">
        <v>102</v>
      </c>
      <c r="C1394" s="334">
        <f>'Schippers RD Black Sea 2012 '!B57</f>
        <v>4.5049999999999999</v>
      </c>
      <c r="D1394" s="301">
        <f>'Schippers RD Black Sea 2012 '!C57</f>
        <v>17700000</v>
      </c>
      <c r="J1394" s="301">
        <f>'Schippers RD Black Sea 2012 '!H57</f>
        <v>77300</v>
      </c>
      <c r="O1394" s="303"/>
      <c r="P1394" s="304"/>
      <c r="R1394" s="304" t="s">
        <v>1278</v>
      </c>
      <c r="S1394" s="304" t="s">
        <v>141</v>
      </c>
      <c r="T1394" s="304" t="s">
        <v>145</v>
      </c>
      <c r="U1394" s="304" t="s">
        <v>145</v>
      </c>
      <c r="V1394" s="334"/>
      <c r="W1394" s="334"/>
      <c r="X1394" s="334"/>
      <c r="Y1394" s="334"/>
      <c r="Z1394" s="334"/>
      <c r="AR1394" s="323"/>
      <c r="AT1394"/>
      <c r="AU1394"/>
      <c r="AV1394"/>
    </row>
    <row r="1395" spans="1:51">
      <c r="A1395" s="277" t="s">
        <v>1328</v>
      </c>
      <c r="B1395" s="334" t="s">
        <v>102</v>
      </c>
      <c r="C1395" s="334">
        <f>'Schippers RD Black Sea 2012 '!B58</f>
        <v>5.5049999999999999</v>
      </c>
      <c r="D1395" s="301">
        <f>'Schippers RD Black Sea 2012 '!C58</f>
        <v>25000000</v>
      </c>
      <c r="E1395" s="301">
        <f>'Schippers RD Black Sea 2012 '!E58</f>
        <v>982000</v>
      </c>
      <c r="F1395" s="301">
        <f>'Schippers RD Black Sea 2012 '!F58</f>
        <v>196000</v>
      </c>
      <c r="G1395" s="301">
        <f>E1395+F1395</f>
        <v>1178000</v>
      </c>
      <c r="H1395" s="27">
        <f>G1395/D1395</f>
        <v>4.7120000000000002E-2</v>
      </c>
      <c r="J1395" s="301">
        <f>'Schippers RD Black Sea 2012 '!H58</f>
        <v>102000</v>
      </c>
      <c r="M1395" s="27">
        <f>F1395/G1395</f>
        <v>0.166383701188455</v>
      </c>
      <c r="O1395" s="303" t="s">
        <v>71</v>
      </c>
      <c r="P1395" s="304"/>
      <c r="R1395" s="304" t="s">
        <v>1278</v>
      </c>
      <c r="S1395" s="304" t="s">
        <v>141</v>
      </c>
      <c r="T1395" s="304" t="s">
        <v>145</v>
      </c>
      <c r="U1395" s="304" t="s">
        <v>145</v>
      </c>
      <c r="V1395" s="313">
        <v>0.55000000000000004</v>
      </c>
      <c r="W1395" s="313">
        <v>0.55000000000000004</v>
      </c>
      <c r="X1395" s="306" t="s">
        <v>248</v>
      </c>
      <c r="Y1395" s="334" t="s">
        <v>96</v>
      </c>
      <c r="Z1395" s="314" t="s">
        <v>100</v>
      </c>
      <c r="AB1395" s="334" t="s">
        <v>1739</v>
      </c>
      <c r="AC1395" s="334" t="s">
        <v>1702</v>
      </c>
      <c r="AQ1395">
        <v>840</v>
      </c>
      <c r="AR1395" t="s">
        <v>1463</v>
      </c>
      <c r="AT1395"/>
      <c r="AU1395"/>
      <c r="AV1395"/>
    </row>
    <row r="1396" spans="1:51">
      <c r="A1396" s="277" t="s">
        <v>1328</v>
      </c>
      <c r="B1396" s="334" t="s">
        <v>102</v>
      </c>
      <c r="C1396" s="334">
        <f>'Schippers RD Black Sea 2012 '!B59</f>
        <v>6.5049999999999999</v>
      </c>
      <c r="D1396" s="301">
        <f>'Schippers RD Black Sea 2012 '!C59</f>
        <v>25000000</v>
      </c>
      <c r="J1396" s="301">
        <f>'Schippers RD Black Sea 2012 '!H59</f>
        <v>48900</v>
      </c>
      <c r="O1396" s="303"/>
      <c r="P1396" s="304"/>
      <c r="R1396" s="304" t="s">
        <v>1278</v>
      </c>
      <c r="S1396" s="304" t="s">
        <v>141</v>
      </c>
      <c r="T1396" s="304" t="s">
        <v>145</v>
      </c>
      <c r="U1396" s="304" t="s">
        <v>145</v>
      </c>
      <c r="V1396" s="334"/>
      <c r="W1396" s="334"/>
      <c r="X1396" s="334"/>
      <c r="Y1396" s="334"/>
      <c r="Z1396" s="334"/>
      <c r="AR1396" s="323"/>
      <c r="AT1396"/>
      <c r="AU1396"/>
      <c r="AV1396"/>
    </row>
    <row r="1397" spans="1:51">
      <c r="A1397" s="277" t="s">
        <v>1328</v>
      </c>
      <c r="B1397" s="334" t="s">
        <v>102</v>
      </c>
      <c r="C1397" s="334">
        <f>'Schippers RD Black Sea 2012 '!B60</f>
        <v>7.5049999999999999</v>
      </c>
      <c r="D1397" s="301">
        <f>'Schippers RD Black Sea 2012 '!C60</f>
        <v>20000000</v>
      </c>
      <c r="O1397" s="303"/>
      <c r="P1397" s="304"/>
      <c r="R1397" s="304" t="s">
        <v>1278</v>
      </c>
      <c r="S1397" s="304" t="s">
        <v>141</v>
      </c>
      <c r="T1397" s="304" t="s">
        <v>145</v>
      </c>
      <c r="U1397" s="304" t="s">
        <v>145</v>
      </c>
      <c r="V1397" s="334"/>
      <c r="W1397" s="334"/>
      <c r="X1397" s="334"/>
      <c r="Y1397" s="334"/>
      <c r="Z1397" s="334"/>
      <c r="AR1397" s="323"/>
      <c r="AT1397"/>
      <c r="AU1397"/>
      <c r="AV1397"/>
    </row>
    <row r="1398" spans="1:51">
      <c r="A1398" s="277" t="s">
        <v>1328</v>
      </c>
      <c r="B1398" s="334" t="s">
        <v>102</v>
      </c>
      <c r="C1398" s="334">
        <f>'Schippers RD Black Sea 2012 '!B61</f>
        <v>8.33</v>
      </c>
      <c r="J1398" s="301">
        <f>'Schippers RD Black Sea 2012 '!H61</f>
        <v>148000</v>
      </c>
      <c r="O1398" s="303"/>
      <c r="P1398" s="304"/>
      <c r="R1398" s="304" t="s">
        <v>1278</v>
      </c>
      <c r="S1398" s="304" t="s">
        <v>141</v>
      </c>
      <c r="T1398" s="304" t="s">
        <v>145</v>
      </c>
      <c r="U1398" s="304" t="s">
        <v>145</v>
      </c>
      <c r="V1398" s="334"/>
      <c r="W1398" s="334"/>
      <c r="X1398" s="334"/>
      <c r="Y1398" s="334"/>
      <c r="Z1398" s="334"/>
      <c r="AR1398" s="325"/>
      <c r="AT1398"/>
      <c r="AU1398"/>
      <c r="AV1398"/>
    </row>
    <row r="1399" spans="1:51">
      <c r="A1399" s="277" t="s">
        <v>1328</v>
      </c>
      <c r="B1399" s="334" t="s">
        <v>102</v>
      </c>
      <c r="C1399" s="334">
        <f>'Schippers RD Black Sea 2012 '!B62</f>
        <v>8.3800000000000008</v>
      </c>
      <c r="D1399" s="301">
        <f>'Schippers RD Black Sea 2012 '!C62</f>
        <v>122000000</v>
      </c>
      <c r="F1399" s="301">
        <f>'Schippers RD Black Sea 2012 '!F62</f>
        <v>982000</v>
      </c>
      <c r="J1399" s="301">
        <f>'Schippers RD Black Sea 2012 '!H62</f>
        <v>207000</v>
      </c>
      <c r="O1399" s="303"/>
      <c r="P1399" s="304"/>
      <c r="R1399" s="304" t="s">
        <v>1278</v>
      </c>
      <c r="S1399" s="304" t="s">
        <v>141</v>
      </c>
      <c r="T1399" s="304" t="s">
        <v>145</v>
      </c>
      <c r="U1399" s="304" t="s">
        <v>145</v>
      </c>
      <c r="V1399" s="334"/>
      <c r="W1399" s="334"/>
      <c r="X1399" s="334"/>
      <c r="Z1399" s="334"/>
      <c r="AT1399"/>
      <c r="AU1399"/>
      <c r="AV1399"/>
    </row>
    <row r="1400" spans="1:51">
      <c r="A1400" s="277" t="s">
        <v>1328</v>
      </c>
      <c r="B1400" s="334" t="s">
        <v>102</v>
      </c>
      <c r="C1400" s="334">
        <f>'Schippers RD Black Sea 2012 '!B63</f>
        <v>8.3949999999999996</v>
      </c>
      <c r="D1400" s="301">
        <f>'Schippers RD Black Sea 2012 '!C63</f>
        <v>25000000</v>
      </c>
      <c r="J1400" s="301">
        <f>'Schippers RD Black Sea 2012 '!H63</f>
        <v>105000</v>
      </c>
      <c r="O1400" s="303"/>
      <c r="P1400" s="304"/>
      <c r="R1400" s="304" t="s">
        <v>1278</v>
      </c>
      <c r="S1400" s="304" t="s">
        <v>141</v>
      </c>
      <c r="T1400" s="304" t="s">
        <v>145</v>
      </c>
      <c r="U1400" s="304" t="s">
        <v>145</v>
      </c>
      <c r="V1400" s="334"/>
      <c r="W1400" s="334"/>
      <c r="X1400" s="334"/>
      <c r="Z1400" s="334"/>
      <c r="AT1400"/>
      <c r="AU1400"/>
      <c r="AV1400"/>
    </row>
    <row r="1401" spans="1:51">
      <c r="A1401" s="277" t="s">
        <v>1328</v>
      </c>
      <c r="B1401" s="334" t="s">
        <v>102</v>
      </c>
      <c r="C1401" s="334">
        <f>'Schippers RD Black Sea 2012 '!B64</f>
        <v>8.4550000000000001</v>
      </c>
      <c r="D1401" s="301">
        <f>'Schippers RD Black Sea 2012 '!C64</f>
        <v>39400000</v>
      </c>
      <c r="I1401" s="301">
        <f>'Schippers RD Black Sea 2012 '!G64</f>
        <v>16100000</v>
      </c>
      <c r="J1401" s="301">
        <f>'Schippers RD Black Sea 2012 '!H64</f>
        <v>1740000</v>
      </c>
      <c r="K1401" s="301">
        <f>I1401+J1401</f>
        <v>17840000</v>
      </c>
      <c r="N1401" s="27">
        <f>J1401/K1401</f>
        <v>9.753363228699552E-2</v>
      </c>
      <c r="O1401" s="303"/>
      <c r="P1401" s="304"/>
      <c r="R1401" s="304" t="s">
        <v>1278</v>
      </c>
      <c r="S1401" s="304" t="s">
        <v>141</v>
      </c>
      <c r="T1401" s="304" t="s">
        <v>145</v>
      </c>
      <c r="U1401" s="304" t="s">
        <v>145</v>
      </c>
      <c r="V1401" s="334"/>
      <c r="W1401" s="334"/>
      <c r="X1401" s="334"/>
      <c r="Y1401" s="334"/>
      <c r="Z1401" s="334"/>
      <c r="AA1401" s="326" t="s">
        <v>1498</v>
      </c>
      <c r="AD1401" s="326" t="s">
        <v>1717</v>
      </c>
      <c r="AE1401" s="326" t="s">
        <v>1725</v>
      </c>
      <c r="AG1401" s="326" t="s">
        <v>1707</v>
      </c>
      <c r="AH1401" s="326" t="s">
        <v>1714</v>
      </c>
      <c r="AR1401" s="323"/>
      <c r="AT1401"/>
      <c r="AU1401"/>
      <c r="AV1401"/>
      <c r="AW1401" t="b">
        <v>1</v>
      </c>
      <c r="AX1401" t="b">
        <v>1</v>
      </c>
      <c r="AY1401" t="b">
        <v>1</v>
      </c>
    </row>
    <row r="1402" spans="1:51">
      <c r="A1402" s="277" t="s">
        <v>1328</v>
      </c>
      <c r="B1402" s="334" t="s">
        <v>102</v>
      </c>
      <c r="C1402" s="334">
        <f>'Schippers RD Black Sea 2012 '!B65</f>
        <v>8.49</v>
      </c>
      <c r="D1402" s="301">
        <f>'Schippers RD Black Sea 2012 '!C65</f>
        <v>13300000</v>
      </c>
      <c r="E1402" s="301">
        <f>'Schippers RD Black Sea 2012 '!E65</f>
        <v>196000</v>
      </c>
      <c r="G1402" s="301">
        <f>E1402+F1402</f>
        <v>196000</v>
      </c>
      <c r="H1402" s="27">
        <f>G1402/D1402</f>
        <v>1.4736842105263158E-2</v>
      </c>
      <c r="M1402" s="27">
        <v>0</v>
      </c>
      <c r="O1402" s="303" t="s">
        <v>71</v>
      </c>
      <c r="P1402" s="304"/>
      <c r="Q1402" s="301" t="b">
        <v>1</v>
      </c>
      <c r="R1402" s="304" t="s">
        <v>1278</v>
      </c>
      <c r="S1402" s="304" t="s">
        <v>141</v>
      </c>
      <c r="T1402" s="304" t="s">
        <v>145</v>
      </c>
      <c r="U1402" s="304" t="s">
        <v>145</v>
      </c>
      <c r="V1402" s="313">
        <v>0.55000000000000004</v>
      </c>
      <c r="W1402" s="313">
        <v>0.55000000000000004</v>
      </c>
      <c r="X1402" s="306" t="s">
        <v>248</v>
      </c>
      <c r="Y1402" s="334" t="s">
        <v>96</v>
      </c>
      <c r="Z1402" s="314" t="s">
        <v>100</v>
      </c>
      <c r="AB1402" s="334" t="s">
        <v>1739</v>
      </c>
      <c r="AC1402" s="334" t="s">
        <v>1702</v>
      </c>
      <c r="AQ1402">
        <v>840</v>
      </c>
      <c r="AR1402" s="325" t="s">
        <v>1463</v>
      </c>
      <c r="AT1402"/>
      <c r="AU1402"/>
      <c r="AV1402"/>
    </row>
    <row r="1403" spans="1:51">
      <c r="A1403" s="277" t="s">
        <v>1328</v>
      </c>
      <c r="B1403" s="334" t="s">
        <v>102</v>
      </c>
      <c r="C1403" s="334">
        <f>'Schippers RD Black Sea 2012 '!B66</f>
        <v>8.5150000000000006</v>
      </c>
      <c r="D1403" s="301">
        <f>'Schippers RD Black Sea 2012 '!C66</f>
        <v>43800000</v>
      </c>
      <c r="E1403" s="301">
        <f>'Schippers RD Black Sea 2012 '!E66</f>
        <v>1180000</v>
      </c>
      <c r="G1403" s="301">
        <f>E1403+F1403</f>
        <v>1180000</v>
      </c>
      <c r="H1403" s="27">
        <f>G1403/D1403</f>
        <v>2.6940639269406392E-2</v>
      </c>
      <c r="I1403" s="301">
        <f>'Schippers RD Black Sea 2012 '!G66</f>
        <v>21000000</v>
      </c>
      <c r="J1403" s="301">
        <f>'Schippers RD Black Sea 2012 '!H66</f>
        <v>1470000</v>
      </c>
      <c r="K1403" s="301">
        <f>I1403+J1403</f>
        <v>22470000</v>
      </c>
      <c r="M1403" s="27">
        <v>0</v>
      </c>
      <c r="N1403" s="27">
        <f>J1403/K1403</f>
        <v>6.5420560747663545E-2</v>
      </c>
      <c r="O1403" s="303" t="s">
        <v>71</v>
      </c>
      <c r="P1403" s="304"/>
      <c r="Q1403" s="301" t="b">
        <v>1</v>
      </c>
      <c r="R1403" s="304" t="s">
        <v>1278</v>
      </c>
      <c r="S1403" s="304" t="s">
        <v>141</v>
      </c>
      <c r="T1403" s="304" t="s">
        <v>145</v>
      </c>
      <c r="U1403" s="304" t="s">
        <v>145</v>
      </c>
      <c r="V1403" s="313">
        <v>0.55000000000000004</v>
      </c>
      <c r="W1403" s="313">
        <v>0.55000000000000004</v>
      </c>
      <c r="X1403" s="306" t="s">
        <v>248</v>
      </c>
      <c r="Y1403" s="334" t="s">
        <v>96</v>
      </c>
      <c r="Z1403" s="314" t="s">
        <v>100</v>
      </c>
      <c r="AA1403" s="326" t="s">
        <v>1498</v>
      </c>
      <c r="AB1403" s="334" t="s">
        <v>1739</v>
      </c>
      <c r="AC1403" s="334" t="s">
        <v>1702</v>
      </c>
      <c r="AD1403" s="326" t="s">
        <v>1717</v>
      </c>
      <c r="AE1403" s="326" t="s">
        <v>1725</v>
      </c>
      <c r="AG1403" s="326" t="s">
        <v>1707</v>
      </c>
      <c r="AH1403" s="326" t="s">
        <v>1714</v>
      </c>
      <c r="AQ1403">
        <v>840</v>
      </c>
      <c r="AR1403" t="s">
        <v>1463</v>
      </c>
      <c r="AT1403"/>
      <c r="AU1403"/>
      <c r="AV1403"/>
      <c r="AW1403" t="b">
        <v>1</v>
      </c>
      <c r="AX1403" t="b">
        <v>1</v>
      </c>
      <c r="AY1403" t="b">
        <v>1</v>
      </c>
    </row>
    <row r="1404" spans="1:51">
      <c r="A1404" s="277" t="s">
        <v>1328</v>
      </c>
      <c r="B1404" s="334" t="s">
        <v>102</v>
      </c>
      <c r="C1404" s="334">
        <f>'Schippers RD Black Sea 2012 '!B67</f>
        <v>9.0350000000000001</v>
      </c>
      <c r="D1404" s="301">
        <f>'Schippers RD Black Sea 2012 '!C67</f>
        <v>52700000</v>
      </c>
      <c r="I1404" s="301">
        <f>'Schippers RD Black Sea 2012 '!G67</f>
        <v>2360000</v>
      </c>
      <c r="J1404" s="301">
        <f>'Schippers RD Black Sea 2012 '!H67</f>
        <v>912000</v>
      </c>
      <c r="K1404" s="301">
        <f>I1404+J1404</f>
        <v>3272000</v>
      </c>
      <c r="N1404" s="27">
        <f>J1404/K1404</f>
        <v>0.27872860635696822</v>
      </c>
      <c r="O1404" s="303"/>
      <c r="P1404" s="304"/>
      <c r="R1404" s="304" t="s">
        <v>1278</v>
      </c>
      <c r="S1404" s="304" t="s">
        <v>141</v>
      </c>
      <c r="T1404" s="304" t="s">
        <v>145</v>
      </c>
      <c r="U1404" s="304" t="s">
        <v>145</v>
      </c>
      <c r="V1404" s="334"/>
      <c r="W1404" s="334"/>
      <c r="X1404" s="334"/>
      <c r="Y1404" s="334"/>
      <c r="Z1404" s="334"/>
      <c r="AA1404" s="326" t="s">
        <v>1498</v>
      </c>
      <c r="AD1404" s="326" t="s">
        <v>1717</v>
      </c>
      <c r="AE1404" s="326" t="s">
        <v>1725</v>
      </c>
      <c r="AG1404" s="326" t="s">
        <v>1707</v>
      </c>
      <c r="AH1404" s="326" t="s">
        <v>1714</v>
      </c>
      <c r="AT1404"/>
      <c r="AU1404"/>
      <c r="AV1404"/>
      <c r="AW1404" t="b">
        <v>1</v>
      </c>
      <c r="AX1404" t="b">
        <v>1</v>
      </c>
      <c r="AY1404" t="b">
        <v>1</v>
      </c>
    </row>
    <row r="1405" spans="1:51">
      <c r="A1405" s="277" t="s">
        <v>1328</v>
      </c>
      <c r="B1405" s="334" t="s">
        <v>103</v>
      </c>
      <c r="C1405" s="334">
        <f>'Schippers RD Black Sea 2012 '!B4</f>
        <v>0</v>
      </c>
      <c r="D1405" s="301">
        <f>'Schippers RD Black Sea 2012 '!C4</f>
        <v>6150000000</v>
      </c>
      <c r="E1405" s="301">
        <f>'Schippers RD Black Sea 2012 '!E4</f>
        <v>187000000</v>
      </c>
      <c r="F1405" s="301">
        <f>'Schippers RD Black Sea 2012 '!F4</f>
        <v>93600000</v>
      </c>
      <c r="G1405" s="301">
        <f>E1405+F1405</f>
        <v>280600000</v>
      </c>
      <c r="H1405" s="27">
        <f>G1405/D1405</f>
        <v>4.5626016260162598E-2</v>
      </c>
      <c r="I1405" s="301">
        <f>'Schippers RD Black Sea 2012 '!G4</f>
        <v>911000000</v>
      </c>
      <c r="J1405" s="301">
        <f>'Schippers RD Black Sea 2012 '!H4</f>
        <v>147000000</v>
      </c>
      <c r="K1405" s="301">
        <f>I1405+J1405</f>
        <v>1058000000</v>
      </c>
      <c r="M1405" s="27">
        <f>F1405/G1405</f>
        <v>0.33357091945830364</v>
      </c>
      <c r="N1405" s="27">
        <f>J1405/K1405</f>
        <v>0.13894139886578449</v>
      </c>
      <c r="O1405" s="303" t="s">
        <v>71</v>
      </c>
      <c r="P1405" s="304"/>
      <c r="R1405" s="304" t="s">
        <v>1278</v>
      </c>
      <c r="S1405" s="304" t="s">
        <v>141</v>
      </c>
      <c r="T1405" s="304" t="s">
        <v>145</v>
      </c>
      <c r="U1405" s="304" t="s">
        <v>145</v>
      </c>
      <c r="V1405" s="313">
        <v>0.55000000000000004</v>
      </c>
      <c r="W1405" s="313">
        <v>0.55000000000000004</v>
      </c>
      <c r="X1405" s="306" t="s">
        <v>248</v>
      </c>
      <c r="Y1405" s="334" t="s">
        <v>96</v>
      </c>
      <c r="Z1405" s="314" t="s">
        <v>100</v>
      </c>
      <c r="AA1405" s="326" t="s">
        <v>1498</v>
      </c>
      <c r="AB1405" s="334" t="s">
        <v>1739</v>
      </c>
      <c r="AC1405" s="334" t="s">
        <v>1702</v>
      </c>
      <c r="AD1405" s="326" t="s">
        <v>1717</v>
      </c>
      <c r="AE1405" s="326" t="s">
        <v>1725</v>
      </c>
      <c r="AG1405" s="326" t="s">
        <v>1707</v>
      </c>
      <c r="AH1405" s="326" t="s">
        <v>1714</v>
      </c>
      <c r="AQ1405">
        <v>2027</v>
      </c>
      <c r="AR1405" t="s">
        <v>1463</v>
      </c>
      <c r="AT1405"/>
      <c r="AU1405"/>
      <c r="AV1405"/>
      <c r="AW1405" t="b">
        <v>1</v>
      </c>
      <c r="AX1405" t="b">
        <v>1</v>
      </c>
      <c r="AY1405" t="b">
        <v>1</v>
      </c>
    </row>
    <row r="1406" spans="1:51">
      <c r="A1406" s="277" t="s">
        <v>1328</v>
      </c>
      <c r="B1406" s="334" t="s">
        <v>103</v>
      </c>
      <c r="C1406" s="334">
        <f>'Schippers RD Black Sea 2012 '!B5</f>
        <v>0.02</v>
      </c>
      <c r="D1406" s="301">
        <f>'Schippers RD Black Sea 2012 '!C5</f>
        <v>3750000000</v>
      </c>
      <c r="E1406" s="301">
        <f>'Schippers RD Black Sea 2012 '!E5</f>
        <v>102000000</v>
      </c>
      <c r="F1406" s="301">
        <f>'Schippers RD Black Sea 2012 '!F5</f>
        <v>39300000</v>
      </c>
      <c r="G1406" s="301">
        <f>E1406+F1406</f>
        <v>141300000</v>
      </c>
      <c r="H1406" s="27">
        <f>G1406/D1406</f>
        <v>3.7679999999999998E-2</v>
      </c>
      <c r="I1406" s="301">
        <f>'Schippers RD Black Sea 2012 '!G5</f>
        <v>502000000</v>
      </c>
      <c r="J1406" s="301">
        <f>'Schippers RD Black Sea 2012 '!H5</f>
        <v>148000000</v>
      </c>
      <c r="K1406" s="301">
        <f>I1406+J1406</f>
        <v>650000000</v>
      </c>
      <c r="M1406" s="27">
        <f>F1406/G1406</f>
        <v>0.2781316348195329</v>
      </c>
      <c r="N1406" s="27">
        <f>J1406/K1406</f>
        <v>0.22769230769230769</v>
      </c>
      <c r="O1406" s="303" t="s">
        <v>71</v>
      </c>
      <c r="P1406" s="304"/>
      <c r="R1406" s="304" t="s">
        <v>1278</v>
      </c>
      <c r="S1406" s="304" t="s">
        <v>141</v>
      </c>
      <c r="T1406" s="304" t="s">
        <v>145</v>
      </c>
      <c r="U1406" s="304" t="s">
        <v>145</v>
      </c>
      <c r="V1406" s="313">
        <v>0.55000000000000004</v>
      </c>
      <c r="W1406" s="313">
        <v>0.55000000000000004</v>
      </c>
      <c r="X1406" s="306" t="s">
        <v>248</v>
      </c>
      <c r="Y1406" s="334" t="s">
        <v>96</v>
      </c>
      <c r="Z1406" s="314" t="s">
        <v>100</v>
      </c>
      <c r="AA1406" s="326" t="s">
        <v>1498</v>
      </c>
      <c r="AB1406" s="334" t="s">
        <v>1739</v>
      </c>
      <c r="AC1406" s="334" t="s">
        <v>1702</v>
      </c>
      <c r="AD1406" s="326" t="s">
        <v>1717</v>
      </c>
      <c r="AE1406" s="326" t="s">
        <v>1725</v>
      </c>
      <c r="AG1406" s="326" t="s">
        <v>1707</v>
      </c>
      <c r="AH1406" s="326" t="s">
        <v>1714</v>
      </c>
      <c r="AQ1406">
        <v>2027</v>
      </c>
      <c r="AR1406" s="323" t="s">
        <v>1463</v>
      </c>
      <c r="AT1406"/>
      <c r="AU1406"/>
      <c r="AV1406"/>
      <c r="AW1406" t="b">
        <v>1</v>
      </c>
      <c r="AX1406" t="b">
        <v>1</v>
      </c>
      <c r="AY1406" t="b">
        <v>1</v>
      </c>
    </row>
    <row r="1407" spans="1:51">
      <c r="A1407" s="277" t="s">
        <v>1328</v>
      </c>
      <c r="B1407" s="334" t="s">
        <v>103</v>
      </c>
      <c r="C1407" s="334">
        <f>'Schippers RD Black Sea 2012 '!B6</f>
        <v>0.05</v>
      </c>
      <c r="D1407" s="301">
        <f>'Schippers RD Black Sea 2012 '!C6</f>
        <v>4390000000</v>
      </c>
      <c r="E1407" s="301">
        <f>'Schippers RD Black Sea 2012 '!E6</f>
        <v>64700000</v>
      </c>
      <c r="F1407" s="301">
        <f>'Schippers RD Black Sea 2012 '!F6</f>
        <v>20800000</v>
      </c>
      <c r="G1407" s="301">
        <f>E1407+F1407</f>
        <v>85500000</v>
      </c>
      <c r="H1407" s="27">
        <f>G1407/D1407</f>
        <v>1.9476082004555809E-2</v>
      </c>
      <c r="I1407" s="301">
        <f>'Schippers RD Black Sea 2012 '!G6</f>
        <v>639000000</v>
      </c>
      <c r="J1407" s="301">
        <f>'Schippers RD Black Sea 2012 '!H6</f>
        <v>158000000</v>
      </c>
      <c r="K1407" s="301">
        <f>I1407+J1407</f>
        <v>797000000</v>
      </c>
      <c r="M1407" s="27">
        <f>F1407/G1407</f>
        <v>0.24327485380116959</v>
      </c>
      <c r="N1407" s="27">
        <f>J1407/K1407</f>
        <v>0.19824341279799249</v>
      </c>
      <c r="O1407" s="303" t="s">
        <v>71</v>
      </c>
      <c r="P1407" s="304"/>
      <c r="R1407" s="304" t="s">
        <v>1278</v>
      </c>
      <c r="S1407" s="304" t="s">
        <v>141</v>
      </c>
      <c r="T1407" s="304" t="s">
        <v>145</v>
      </c>
      <c r="U1407" s="304" t="s">
        <v>145</v>
      </c>
      <c r="V1407" s="313">
        <v>0.55000000000000004</v>
      </c>
      <c r="W1407" s="313">
        <v>0.55000000000000004</v>
      </c>
      <c r="X1407" s="306" t="s">
        <v>248</v>
      </c>
      <c r="Y1407" s="334" t="s">
        <v>96</v>
      </c>
      <c r="Z1407" s="314" t="s">
        <v>100</v>
      </c>
      <c r="AA1407" s="326" t="s">
        <v>1498</v>
      </c>
      <c r="AB1407" s="334" t="s">
        <v>1739</v>
      </c>
      <c r="AC1407" s="334" t="s">
        <v>1702</v>
      </c>
      <c r="AD1407" s="326" t="s">
        <v>1717</v>
      </c>
      <c r="AE1407" s="326" t="s">
        <v>1725</v>
      </c>
      <c r="AG1407" s="326" t="s">
        <v>1707</v>
      </c>
      <c r="AH1407" s="326" t="s">
        <v>1714</v>
      </c>
      <c r="AQ1407">
        <v>2027</v>
      </c>
      <c r="AR1407" s="325" t="s">
        <v>1463</v>
      </c>
      <c r="AT1407"/>
      <c r="AU1407"/>
      <c r="AV1407"/>
      <c r="AW1407" t="b">
        <v>1</v>
      </c>
      <c r="AX1407" t="b">
        <v>1</v>
      </c>
      <c r="AY1407" t="b">
        <v>1</v>
      </c>
    </row>
    <row r="1408" spans="1:51">
      <c r="A1408" s="277" t="s">
        <v>1328</v>
      </c>
      <c r="B1408" s="334" t="s">
        <v>103</v>
      </c>
      <c r="C1408" s="334">
        <f>'Schippers RD Black Sea 2012 '!B7</f>
        <v>0.1</v>
      </c>
      <c r="D1408" s="301">
        <f>'Schippers RD Black Sea 2012 '!C7</f>
        <v>3160000000</v>
      </c>
      <c r="E1408" s="301">
        <f>'Schippers RD Black Sea 2012 '!E7</f>
        <v>35300000</v>
      </c>
      <c r="F1408" s="301">
        <f>'Schippers RD Black Sea 2012 '!F7</f>
        <v>9820000</v>
      </c>
      <c r="G1408" s="301">
        <f>E1408+F1408</f>
        <v>45120000</v>
      </c>
      <c r="H1408" s="27">
        <f>G1408/D1408</f>
        <v>1.4278481012658228E-2</v>
      </c>
      <c r="I1408" s="301">
        <f>'Schippers RD Black Sea 2012 '!G7</f>
        <v>501000000</v>
      </c>
      <c r="J1408" s="301">
        <f>'Schippers RD Black Sea 2012 '!H7</f>
        <v>160000000</v>
      </c>
      <c r="K1408" s="301">
        <f>I1408+J1408</f>
        <v>661000000</v>
      </c>
      <c r="M1408" s="27">
        <f>F1408/G1408</f>
        <v>0.21764184397163119</v>
      </c>
      <c r="N1408" s="27">
        <f>J1408/K1408</f>
        <v>0.24205748865355523</v>
      </c>
      <c r="O1408" s="303" t="s">
        <v>71</v>
      </c>
      <c r="P1408" s="304"/>
      <c r="R1408" s="304" t="s">
        <v>1278</v>
      </c>
      <c r="S1408" s="304" t="s">
        <v>141</v>
      </c>
      <c r="T1408" s="304" t="s">
        <v>145</v>
      </c>
      <c r="U1408" s="304" t="s">
        <v>145</v>
      </c>
      <c r="V1408" s="313">
        <v>0.55000000000000004</v>
      </c>
      <c r="W1408" s="313">
        <v>0.55000000000000004</v>
      </c>
      <c r="X1408" s="306" t="s">
        <v>248</v>
      </c>
      <c r="Y1408" s="334" t="s">
        <v>96</v>
      </c>
      <c r="Z1408" s="314" t="s">
        <v>100</v>
      </c>
      <c r="AA1408" s="326" t="s">
        <v>1498</v>
      </c>
      <c r="AB1408" s="334" t="s">
        <v>1739</v>
      </c>
      <c r="AC1408" s="334" t="s">
        <v>1702</v>
      </c>
      <c r="AD1408" s="326" t="s">
        <v>1717</v>
      </c>
      <c r="AE1408" s="326" t="s">
        <v>1725</v>
      </c>
      <c r="AG1408" s="326" t="s">
        <v>1707</v>
      </c>
      <c r="AH1408" s="326" t="s">
        <v>1714</v>
      </c>
      <c r="AQ1408">
        <v>2027</v>
      </c>
      <c r="AR1408" t="s">
        <v>1463</v>
      </c>
      <c r="AT1408"/>
      <c r="AU1408"/>
      <c r="AV1408"/>
      <c r="AW1408" t="b">
        <v>1</v>
      </c>
      <c r="AX1408" t="b">
        <v>1</v>
      </c>
      <c r="AY1408" t="b">
        <v>1</v>
      </c>
    </row>
    <row r="1409" spans="1:51">
      <c r="A1409" s="277" t="s">
        <v>1328</v>
      </c>
      <c r="B1409" s="334" t="s">
        <v>103</v>
      </c>
      <c r="C1409" s="334">
        <f>'Schippers RD Black Sea 2012 '!B8</f>
        <v>0.14000000000000001</v>
      </c>
      <c r="D1409" s="301">
        <f>'Schippers RD Black Sea 2012 '!C8</f>
        <v>2360000000</v>
      </c>
      <c r="E1409" s="301">
        <f>'Schippers RD Black Sea 2012 '!E8</f>
        <v>62800000</v>
      </c>
      <c r="F1409" s="301">
        <f>'Schippers RD Black Sea 2012 '!F8</f>
        <v>31400000</v>
      </c>
      <c r="G1409" s="301">
        <f>E1409+F1409</f>
        <v>94200000</v>
      </c>
      <c r="H1409" s="27">
        <f>G1409/D1409</f>
        <v>3.9915254237288138E-2</v>
      </c>
      <c r="I1409" s="301">
        <f>'Schippers RD Black Sea 2012 '!G8</f>
        <v>193000000</v>
      </c>
      <c r="J1409" s="301">
        <f>'Schippers RD Black Sea 2012 '!H8</f>
        <v>251000000</v>
      </c>
      <c r="K1409" s="301">
        <f>I1409+J1409</f>
        <v>444000000</v>
      </c>
      <c r="M1409" s="27">
        <f>F1409/G1409</f>
        <v>0.33333333333333331</v>
      </c>
      <c r="N1409" s="27">
        <f>J1409/K1409</f>
        <v>0.56531531531531531</v>
      </c>
      <c r="O1409" s="303" t="s">
        <v>71</v>
      </c>
      <c r="P1409" s="304"/>
      <c r="R1409" s="304" t="s">
        <v>1278</v>
      </c>
      <c r="S1409" s="304" t="s">
        <v>141</v>
      </c>
      <c r="T1409" s="304" t="s">
        <v>145</v>
      </c>
      <c r="U1409" s="304" t="s">
        <v>145</v>
      </c>
      <c r="V1409" s="313">
        <v>0.55000000000000004</v>
      </c>
      <c r="W1409" s="313">
        <v>0.55000000000000004</v>
      </c>
      <c r="X1409" s="306" t="s">
        <v>248</v>
      </c>
      <c r="Y1409" s="334" t="s">
        <v>96</v>
      </c>
      <c r="Z1409" s="314" t="s">
        <v>100</v>
      </c>
      <c r="AA1409" s="326" t="s">
        <v>1498</v>
      </c>
      <c r="AB1409" s="334" t="s">
        <v>1739</v>
      </c>
      <c r="AC1409" s="334" t="s">
        <v>1702</v>
      </c>
      <c r="AD1409" s="326" t="s">
        <v>1717</v>
      </c>
      <c r="AE1409" s="326" t="s">
        <v>1725</v>
      </c>
      <c r="AG1409" s="326" t="s">
        <v>1707</v>
      </c>
      <c r="AH1409" s="326" t="s">
        <v>1714</v>
      </c>
      <c r="AQ1409">
        <v>2027</v>
      </c>
      <c r="AR1409" s="325" t="s">
        <v>1463</v>
      </c>
      <c r="AT1409"/>
      <c r="AU1409"/>
      <c r="AV1409"/>
      <c r="AW1409" t="b">
        <v>1</v>
      </c>
      <c r="AX1409" t="b">
        <v>1</v>
      </c>
      <c r="AY1409" t="b">
        <v>1</v>
      </c>
    </row>
    <row r="1410" spans="1:51">
      <c r="A1410" s="277" t="s">
        <v>1328</v>
      </c>
      <c r="B1410" s="334" t="s">
        <v>103</v>
      </c>
      <c r="C1410" s="334">
        <f>'Schippers RD Black Sea 2012 '!B9</f>
        <v>0.15</v>
      </c>
      <c r="D1410" s="301">
        <f>'Schippers RD Black Sea 2012 '!C9</f>
        <v>2550000000</v>
      </c>
      <c r="E1410" s="301">
        <f>'Schippers RD Black Sea 2012 '!E9</f>
        <v>109000000</v>
      </c>
      <c r="F1410" s="301">
        <f>'Schippers RD Black Sea 2012 '!F9</f>
        <v>23100000</v>
      </c>
      <c r="G1410" s="301">
        <f>E1410+F1410</f>
        <v>132100000</v>
      </c>
      <c r="H1410" s="27">
        <f>G1410/D1410</f>
        <v>5.1803921568627453E-2</v>
      </c>
      <c r="I1410" s="301">
        <f>'Schippers RD Black Sea 2012 '!G9</f>
        <v>426000000</v>
      </c>
      <c r="J1410" s="301">
        <f>'Schippers RD Black Sea 2012 '!H9</f>
        <v>165000000</v>
      </c>
      <c r="K1410" s="301">
        <f>I1410+J1410</f>
        <v>591000000</v>
      </c>
      <c r="M1410" s="27">
        <f>F1410/G1410</f>
        <v>0.17486752460257382</v>
      </c>
      <c r="N1410" s="27">
        <f>J1410/K1410</f>
        <v>0.27918781725888325</v>
      </c>
      <c r="O1410" s="303" t="s">
        <v>71</v>
      </c>
      <c r="P1410" s="304"/>
      <c r="R1410" s="304" t="s">
        <v>1278</v>
      </c>
      <c r="S1410" s="304" t="s">
        <v>141</v>
      </c>
      <c r="T1410" s="304" t="s">
        <v>145</v>
      </c>
      <c r="U1410" s="304" t="s">
        <v>145</v>
      </c>
      <c r="V1410" s="313">
        <v>0.55000000000000004</v>
      </c>
      <c r="W1410" s="313">
        <v>0.55000000000000004</v>
      </c>
      <c r="X1410" s="306" t="s">
        <v>248</v>
      </c>
      <c r="Y1410" s="334" t="s">
        <v>96</v>
      </c>
      <c r="Z1410" s="314" t="s">
        <v>100</v>
      </c>
      <c r="AA1410" s="326" t="s">
        <v>1498</v>
      </c>
      <c r="AB1410" s="334" t="s">
        <v>1739</v>
      </c>
      <c r="AC1410" s="334" t="s">
        <v>1702</v>
      </c>
      <c r="AD1410" s="326" t="s">
        <v>1717</v>
      </c>
      <c r="AE1410" s="326" t="s">
        <v>1725</v>
      </c>
      <c r="AG1410" s="326" t="s">
        <v>1707</v>
      </c>
      <c r="AH1410" s="326" t="s">
        <v>1714</v>
      </c>
      <c r="AQ1410">
        <v>2027</v>
      </c>
      <c r="AR1410" t="s">
        <v>1463</v>
      </c>
      <c r="AT1410"/>
      <c r="AU1410"/>
      <c r="AV1410"/>
      <c r="AW1410" t="b">
        <v>1</v>
      </c>
      <c r="AX1410" t="b">
        <v>1</v>
      </c>
      <c r="AY1410" t="b">
        <v>1</v>
      </c>
    </row>
    <row r="1411" spans="1:51">
      <c r="A1411" s="277" t="s">
        <v>1328</v>
      </c>
      <c r="B1411" s="334" t="s">
        <v>103</v>
      </c>
      <c r="C1411" s="334">
        <f>'Schippers RD Black Sea 2012 '!B10</f>
        <v>0.2</v>
      </c>
      <c r="D1411" s="301">
        <f>'Schippers RD Black Sea 2012 '!C10</f>
        <v>2560000000</v>
      </c>
      <c r="E1411" s="301">
        <f>'Schippers RD Black Sea 2012 '!E10</f>
        <v>91600000</v>
      </c>
      <c r="F1411" s="301">
        <f>'Schippers RD Black Sea 2012 '!F10</f>
        <v>23600000</v>
      </c>
      <c r="G1411" s="301">
        <f>E1411+F1411</f>
        <v>115200000</v>
      </c>
      <c r="H1411" s="27">
        <f>G1411/D1411</f>
        <v>4.4999999999999998E-2</v>
      </c>
      <c r="I1411" s="301">
        <f>'Schippers RD Black Sea 2012 '!G10</f>
        <v>363000000</v>
      </c>
      <c r="J1411" s="301">
        <f>'Schippers RD Black Sea 2012 '!H10</f>
        <v>97500000</v>
      </c>
      <c r="K1411" s="301">
        <f>I1411+J1411</f>
        <v>460500000</v>
      </c>
      <c r="M1411" s="27">
        <f>F1411/G1411</f>
        <v>0.2048611111111111</v>
      </c>
      <c r="N1411" s="27">
        <f>J1411/K1411</f>
        <v>0.21172638436482086</v>
      </c>
      <c r="O1411" s="303" t="s">
        <v>71</v>
      </c>
      <c r="P1411" s="304"/>
      <c r="R1411" s="304" t="s">
        <v>1278</v>
      </c>
      <c r="S1411" s="304" t="s">
        <v>141</v>
      </c>
      <c r="T1411" s="304" t="s">
        <v>145</v>
      </c>
      <c r="U1411" s="304" t="s">
        <v>145</v>
      </c>
      <c r="V1411" s="313">
        <v>0.55000000000000004</v>
      </c>
      <c r="W1411" s="313">
        <v>0.55000000000000004</v>
      </c>
      <c r="X1411" s="306" t="s">
        <v>248</v>
      </c>
      <c r="Y1411" s="327" t="s">
        <v>96</v>
      </c>
      <c r="Z1411" s="314" t="s">
        <v>100</v>
      </c>
      <c r="AA1411" s="326" t="s">
        <v>1498</v>
      </c>
      <c r="AB1411" s="334" t="s">
        <v>1739</v>
      </c>
      <c r="AC1411" s="334" t="s">
        <v>1702</v>
      </c>
      <c r="AD1411" s="326" t="s">
        <v>1717</v>
      </c>
      <c r="AE1411" s="326" t="s">
        <v>1725</v>
      </c>
      <c r="AG1411" s="326" t="s">
        <v>1707</v>
      </c>
      <c r="AH1411" s="326" t="s">
        <v>1714</v>
      </c>
      <c r="AQ1411">
        <v>2027</v>
      </c>
      <c r="AR1411" t="s">
        <v>1463</v>
      </c>
      <c r="AT1411"/>
      <c r="AU1411"/>
      <c r="AV1411"/>
      <c r="AW1411" t="b">
        <v>1</v>
      </c>
      <c r="AX1411" t="b">
        <v>1</v>
      </c>
      <c r="AY1411" t="b">
        <v>1</v>
      </c>
    </row>
    <row r="1412" spans="1:51">
      <c r="A1412" s="277" t="s">
        <v>1328</v>
      </c>
      <c r="B1412" s="334" t="s">
        <v>103</v>
      </c>
      <c r="C1412" s="334">
        <f>'Schippers RD Black Sea 2012 '!B11</f>
        <v>0.25</v>
      </c>
      <c r="D1412" s="301">
        <f>'Schippers RD Black Sea 2012 '!C11</f>
        <v>3590000000</v>
      </c>
      <c r="E1412" s="301">
        <f>'Schippers RD Black Sea 2012 '!E11</f>
        <v>78500000</v>
      </c>
      <c r="F1412" s="301">
        <f>'Schippers RD Black Sea 2012 '!F11</f>
        <v>31400000</v>
      </c>
      <c r="G1412" s="301">
        <f>E1412+F1412</f>
        <v>109900000</v>
      </c>
      <c r="H1412" s="27">
        <f>G1412/D1412</f>
        <v>3.0612813370473536E-2</v>
      </c>
      <c r="I1412" s="301">
        <f>'Schippers RD Black Sea 2012 '!G11</f>
        <v>320000000</v>
      </c>
      <c r="J1412" s="301">
        <f>'Schippers RD Black Sea 2012 '!H11</f>
        <v>115000000</v>
      </c>
      <c r="K1412" s="301">
        <f>I1412+J1412</f>
        <v>435000000</v>
      </c>
      <c r="M1412" s="27">
        <f>F1412/G1412</f>
        <v>0.2857142857142857</v>
      </c>
      <c r="N1412" s="27">
        <f>J1412/K1412</f>
        <v>0.26436781609195403</v>
      </c>
      <c r="O1412" s="303" t="s">
        <v>71</v>
      </c>
      <c r="P1412" s="304"/>
      <c r="R1412" s="304" t="s">
        <v>1278</v>
      </c>
      <c r="S1412" s="304" t="s">
        <v>141</v>
      </c>
      <c r="T1412" s="304" t="s">
        <v>145</v>
      </c>
      <c r="U1412" s="304" t="s">
        <v>145</v>
      </c>
      <c r="V1412" s="313">
        <v>0.55000000000000004</v>
      </c>
      <c r="W1412" s="313">
        <v>0.55000000000000004</v>
      </c>
      <c r="X1412" s="306" t="s">
        <v>248</v>
      </c>
      <c r="Y1412" s="327" t="s">
        <v>96</v>
      </c>
      <c r="Z1412" s="314" t="s">
        <v>100</v>
      </c>
      <c r="AA1412" s="326" t="s">
        <v>1498</v>
      </c>
      <c r="AB1412" s="334" t="s">
        <v>1739</v>
      </c>
      <c r="AC1412" s="334" t="s">
        <v>1702</v>
      </c>
      <c r="AD1412" s="326" t="s">
        <v>1717</v>
      </c>
      <c r="AE1412" s="326" t="s">
        <v>1725</v>
      </c>
      <c r="AG1412" s="326" t="s">
        <v>1707</v>
      </c>
      <c r="AH1412" s="326" t="s">
        <v>1714</v>
      </c>
      <c r="AQ1412">
        <v>2027</v>
      </c>
      <c r="AR1412" t="s">
        <v>1463</v>
      </c>
      <c r="AT1412"/>
      <c r="AU1412"/>
      <c r="AV1412"/>
      <c r="AW1412" t="b">
        <v>1</v>
      </c>
      <c r="AX1412" t="b">
        <v>1</v>
      </c>
      <c r="AY1412" t="b">
        <v>1</v>
      </c>
    </row>
    <row r="1413" spans="1:51">
      <c r="A1413" s="277" t="s">
        <v>1328</v>
      </c>
      <c r="B1413" s="334" t="s">
        <v>1602</v>
      </c>
      <c r="C1413" s="334">
        <f>'Schippers RD Black Sea 2012 '!B12</f>
        <v>0.3</v>
      </c>
      <c r="D1413" s="301">
        <f>'Schippers RD Black Sea 2012 '!C12</f>
        <v>3110000000</v>
      </c>
      <c r="I1413" s="301">
        <f>'Schippers RD Black Sea 2012 '!G12</f>
        <v>322000000</v>
      </c>
      <c r="J1413" s="301">
        <f>'Schippers RD Black Sea 2012 '!H12</f>
        <v>74500000</v>
      </c>
      <c r="K1413" s="301">
        <f>I1413+J1413</f>
        <v>396500000</v>
      </c>
      <c r="N1413" s="27">
        <f>J1413/K1413</f>
        <v>0.18789407313997478</v>
      </c>
      <c r="O1413" s="303"/>
      <c r="P1413" s="304"/>
      <c r="R1413" s="304" t="s">
        <v>1278</v>
      </c>
      <c r="S1413" s="304" t="s">
        <v>141</v>
      </c>
      <c r="T1413" s="304" t="s">
        <v>145</v>
      </c>
      <c r="U1413" s="304" t="s">
        <v>145</v>
      </c>
      <c r="V1413" s="334"/>
      <c r="W1413" s="334"/>
      <c r="X1413" s="334"/>
      <c r="Y1413" s="327"/>
      <c r="Z1413" s="334"/>
      <c r="AA1413" s="326" t="s">
        <v>1498</v>
      </c>
      <c r="AD1413" s="326" t="s">
        <v>1717</v>
      </c>
      <c r="AE1413" s="326" t="s">
        <v>1725</v>
      </c>
      <c r="AG1413" s="326" t="s">
        <v>1707</v>
      </c>
      <c r="AH1413" s="326" t="s">
        <v>1714</v>
      </c>
      <c r="AR1413" s="325"/>
      <c r="AT1413"/>
      <c r="AU1413"/>
      <c r="AV1413"/>
      <c r="AW1413" t="b">
        <v>1</v>
      </c>
      <c r="AX1413" t="b">
        <v>1</v>
      </c>
      <c r="AY1413" t="b">
        <v>1</v>
      </c>
    </row>
    <row r="1414" spans="1:51">
      <c r="A1414" s="277" t="s">
        <v>1328</v>
      </c>
      <c r="B1414" s="334" t="s">
        <v>103</v>
      </c>
      <c r="C1414" s="334">
        <f>'Schippers RD Black Sea 2012 '!B13</f>
        <v>0.33</v>
      </c>
      <c r="D1414" s="301">
        <f>'Schippers RD Black Sea 2012 '!C13</f>
        <v>1050000000</v>
      </c>
      <c r="E1414" s="301">
        <f>'Schippers RD Black Sea 2012 '!E13</f>
        <v>23600000</v>
      </c>
      <c r="G1414" s="301">
        <f>E1414+F1414</f>
        <v>23600000</v>
      </c>
      <c r="H1414" s="27">
        <f>G1414/D1414</f>
        <v>2.2476190476190476E-2</v>
      </c>
      <c r="I1414" s="301">
        <f>'Schippers RD Black Sea 2012 '!G13</f>
        <v>46500000</v>
      </c>
      <c r="J1414" s="301">
        <f>'Schippers RD Black Sea 2012 '!H13</f>
        <v>36300000</v>
      </c>
      <c r="K1414" s="301">
        <f>I1414+J1414</f>
        <v>82800000</v>
      </c>
      <c r="M1414" s="27">
        <f>F1414/G1414</f>
        <v>0</v>
      </c>
      <c r="N1414" s="27">
        <f>J1414/K1414</f>
        <v>0.43840579710144928</v>
      </c>
      <c r="O1414" s="303" t="s">
        <v>71</v>
      </c>
      <c r="P1414" s="304"/>
      <c r="Q1414" s="301" t="b">
        <v>1</v>
      </c>
      <c r="R1414" s="304" t="s">
        <v>1278</v>
      </c>
      <c r="S1414" s="304" t="s">
        <v>141</v>
      </c>
      <c r="T1414" s="304" t="s">
        <v>145</v>
      </c>
      <c r="U1414" s="304" t="s">
        <v>145</v>
      </c>
      <c r="V1414" s="313">
        <v>0.55000000000000004</v>
      </c>
      <c r="W1414" s="313">
        <v>0.55000000000000004</v>
      </c>
      <c r="X1414" s="306" t="s">
        <v>248</v>
      </c>
      <c r="Y1414" s="327" t="s">
        <v>96</v>
      </c>
      <c r="Z1414" s="314" t="s">
        <v>100</v>
      </c>
      <c r="AA1414" s="326" t="s">
        <v>1498</v>
      </c>
      <c r="AB1414" s="334" t="s">
        <v>1739</v>
      </c>
      <c r="AC1414" s="334" t="s">
        <v>1702</v>
      </c>
      <c r="AD1414" s="326" t="s">
        <v>1717</v>
      </c>
      <c r="AE1414" s="326" t="s">
        <v>1725</v>
      </c>
      <c r="AG1414" s="326" t="s">
        <v>1707</v>
      </c>
      <c r="AH1414" s="326" t="s">
        <v>1714</v>
      </c>
      <c r="AQ1414">
        <v>2027</v>
      </c>
      <c r="AR1414" s="323" t="s">
        <v>1463</v>
      </c>
      <c r="AT1414"/>
      <c r="AU1414"/>
      <c r="AV1414"/>
      <c r="AW1414" t="b">
        <v>1</v>
      </c>
      <c r="AX1414" t="b">
        <v>1</v>
      </c>
      <c r="AY1414" t="b">
        <v>1</v>
      </c>
    </row>
    <row r="1415" spans="1:51">
      <c r="A1415" s="277" t="s">
        <v>1328</v>
      </c>
      <c r="B1415" s="334" t="s">
        <v>103</v>
      </c>
      <c r="C1415" s="334">
        <f>'Schippers RD Black Sea 2012 '!B14</f>
        <v>0.35</v>
      </c>
      <c r="D1415" s="301">
        <f>'Schippers RD Black Sea 2012 '!C14</f>
        <v>2670000000</v>
      </c>
      <c r="E1415" s="301">
        <f>'Schippers RD Black Sea 2012 '!E14</f>
        <v>118000000</v>
      </c>
      <c r="F1415" s="301">
        <f>'Schippers RD Black Sea 2012 '!F14</f>
        <v>39300000</v>
      </c>
      <c r="G1415" s="301">
        <f>E1415+F1415</f>
        <v>157300000</v>
      </c>
      <c r="H1415" s="27">
        <f>G1415/D1415</f>
        <v>5.8913857677902623E-2</v>
      </c>
      <c r="I1415" s="301">
        <f>'Schippers RD Black Sea 2012 '!G14</f>
        <v>204000000</v>
      </c>
      <c r="J1415" s="301">
        <f>'Schippers RD Black Sea 2012 '!H14</f>
        <v>79900000</v>
      </c>
      <c r="K1415" s="301">
        <f>I1415+J1415</f>
        <v>283900000</v>
      </c>
      <c r="M1415" s="27">
        <f>F1415/G1415</f>
        <v>0.24984106802288619</v>
      </c>
      <c r="N1415" s="27">
        <f>J1415/K1415</f>
        <v>0.28143712574850299</v>
      </c>
      <c r="O1415" s="303" t="s">
        <v>71</v>
      </c>
      <c r="P1415" s="304"/>
      <c r="R1415" s="304" t="s">
        <v>1278</v>
      </c>
      <c r="S1415" s="304" t="s">
        <v>141</v>
      </c>
      <c r="T1415" s="304" t="s">
        <v>145</v>
      </c>
      <c r="U1415" s="304" t="s">
        <v>145</v>
      </c>
      <c r="V1415" s="313">
        <v>0.55000000000000004</v>
      </c>
      <c r="W1415" s="313">
        <v>0.55000000000000004</v>
      </c>
      <c r="X1415" s="306" t="s">
        <v>248</v>
      </c>
      <c r="Y1415" s="334" t="s">
        <v>96</v>
      </c>
      <c r="Z1415" s="314" t="s">
        <v>100</v>
      </c>
      <c r="AA1415" s="326" t="s">
        <v>1498</v>
      </c>
      <c r="AB1415" s="334" t="s">
        <v>1739</v>
      </c>
      <c r="AC1415" s="334" t="s">
        <v>1702</v>
      </c>
      <c r="AD1415" s="326" t="s">
        <v>1717</v>
      </c>
      <c r="AE1415" s="326" t="s">
        <v>1725</v>
      </c>
      <c r="AG1415" s="326" t="s">
        <v>1707</v>
      </c>
      <c r="AH1415" s="326" t="s">
        <v>1714</v>
      </c>
      <c r="AQ1415">
        <v>2027</v>
      </c>
      <c r="AR1415" s="325" t="s">
        <v>1463</v>
      </c>
      <c r="AT1415"/>
      <c r="AU1415"/>
      <c r="AV1415"/>
      <c r="AW1415" t="b">
        <v>1</v>
      </c>
      <c r="AX1415" t="b">
        <v>1</v>
      </c>
      <c r="AY1415" t="b">
        <v>1</v>
      </c>
    </row>
    <row r="1416" spans="1:51">
      <c r="A1416" s="277" t="s">
        <v>1328</v>
      </c>
      <c r="B1416" s="334" t="s">
        <v>1602</v>
      </c>
      <c r="C1416" s="334">
        <f>'Schippers RD Black Sea 2012 '!B15</f>
        <v>1.1599999999999999</v>
      </c>
      <c r="D1416" s="301">
        <f>'Schippers RD Black Sea 2012 '!C15</f>
        <v>216000000</v>
      </c>
      <c r="I1416" s="301">
        <f>'Schippers RD Black Sea 2012 '!G15</f>
        <v>63700000</v>
      </c>
      <c r="J1416" s="301">
        <f>'Schippers RD Black Sea 2012 '!H15</f>
        <v>36500000</v>
      </c>
      <c r="K1416" s="301">
        <f>I1416+J1416</f>
        <v>100200000</v>
      </c>
      <c r="N1416" s="27">
        <f>J1416/K1416</f>
        <v>0.36427145708582837</v>
      </c>
      <c r="O1416" s="303"/>
      <c r="P1416" s="304"/>
      <c r="R1416" s="304" t="s">
        <v>1278</v>
      </c>
      <c r="S1416" s="304" t="s">
        <v>141</v>
      </c>
      <c r="T1416" s="304" t="s">
        <v>145</v>
      </c>
      <c r="U1416" s="304" t="s">
        <v>145</v>
      </c>
      <c r="V1416" s="334"/>
      <c r="W1416" s="334"/>
      <c r="X1416" s="334"/>
      <c r="Y1416" s="334"/>
      <c r="Z1416" s="334"/>
      <c r="AA1416" s="326" t="s">
        <v>1498</v>
      </c>
      <c r="AD1416" s="326" t="s">
        <v>1717</v>
      </c>
      <c r="AE1416" s="326" t="s">
        <v>1725</v>
      </c>
      <c r="AG1416" s="326" t="s">
        <v>1707</v>
      </c>
      <c r="AH1416" s="326" t="s">
        <v>1714</v>
      </c>
      <c r="AR1416" s="325"/>
      <c r="AT1416"/>
      <c r="AU1416"/>
      <c r="AV1416"/>
      <c r="AW1416" t="b">
        <v>1</v>
      </c>
      <c r="AX1416" t="b">
        <v>1</v>
      </c>
      <c r="AY1416" t="b">
        <v>1</v>
      </c>
    </row>
    <row r="1417" spans="1:51">
      <c r="A1417" s="277" t="s">
        <v>1328</v>
      </c>
      <c r="B1417" s="334" t="s">
        <v>103</v>
      </c>
      <c r="C1417" s="334">
        <f>'Schippers RD Black Sea 2012 '!B16</f>
        <v>1.89</v>
      </c>
      <c r="D1417" s="301">
        <f>'Schippers RD Black Sea 2012 '!C16</f>
        <v>27200000</v>
      </c>
      <c r="E1417" s="301">
        <f>'Schippers RD Black Sea 2012 '!E16</f>
        <v>3140000</v>
      </c>
      <c r="G1417" s="301">
        <f>E1417+F1417</f>
        <v>3140000</v>
      </c>
      <c r="H1417" s="27">
        <f>G1417/D1417</f>
        <v>0.11544117647058824</v>
      </c>
      <c r="I1417" s="301">
        <f>'Schippers RD Black Sea 2012 '!G16</f>
        <v>4210000</v>
      </c>
      <c r="J1417" s="301">
        <f>'Schippers RD Black Sea 2012 '!H16</f>
        <v>966000</v>
      </c>
      <c r="K1417" s="301">
        <f>I1417+J1417</f>
        <v>5176000</v>
      </c>
      <c r="M1417" s="27">
        <f>F1417/G1417</f>
        <v>0</v>
      </c>
      <c r="N1417" s="27">
        <f>J1417/K1417</f>
        <v>0.18663060278207111</v>
      </c>
      <c r="O1417" s="303" t="s">
        <v>71</v>
      </c>
      <c r="P1417" s="304"/>
      <c r="Q1417" s="301" t="b">
        <v>1</v>
      </c>
      <c r="R1417" s="304" t="s">
        <v>1278</v>
      </c>
      <c r="S1417" s="304" t="s">
        <v>141</v>
      </c>
      <c r="T1417" s="304" t="s">
        <v>145</v>
      </c>
      <c r="U1417" s="304" t="s">
        <v>145</v>
      </c>
      <c r="V1417" s="313">
        <v>0.55000000000000004</v>
      </c>
      <c r="W1417" s="313">
        <v>0.55000000000000004</v>
      </c>
      <c r="X1417" s="306" t="s">
        <v>248</v>
      </c>
      <c r="Y1417" s="334" t="s">
        <v>96</v>
      </c>
      <c r="Z1417" s="314" t="s">
        <v>100</v>
      </c>
      <c r="AA1417" s="326" t="s">
        <v>1498</v>
      </c>
      <c r="AB1417" s="334" t="s">
        <v>1739</v>
      </c>
      <c r="AC1417" s="334" t="s">
        <v>1702</v>
      </c>
      <c r="AD1417" s="326" t="s">
        <v>1717</v>
      </c>
      <c r="AE1417" s="326" t="s">
        <v>1725</v>
      </c>
      <c r="AG1417" s="326" t="s">
        <v>1707</v>
      </c>
      <c r="AH1417" s="326" t="s">
        <v>1714</v>
      </c>
      <c r="AQ1417">
        <v>2027</v>
      </c>
      <c r="AR1417" s="323" t="s">
        <v>1463</v>
      </c>
      <c r="AT1417"/>
      <c r="AU1417"/>
      <c r="AV1417"/>
      <c r="AW1417" t="b">
        <v>1</v>
      </c>
      <c r="AX1417" t="b">
        <v>1</v>
      </c>
      <c r="AY1417" t="b">
        <v>1</v>
      </c>
    </row>
    <row r="1418" spans="1:51">
      <c r="A1418" s="277" t="s">
        <v>1328</v>
      </c>
      <c r="B1418" s="334" t="s">
        <v>103</v>
      </c>
      <c r="C1418" s="334">
        <f>'Schippers RD Black Sea 2012 '!B17</f>
        <v>2.16</v>
      </c>
      <c r="D1418" s="301">
        <f>'Schippers RD Black Sea 2012 '!C17</f>
        <v>37200000</v>
      </c>
      <c r="I1418" s="301">
        <f>'Schippers RD Black Sea 2012 '!G17</f>
        <v>395000</v>
      </c>
      <c r="J1418" s="301">
        <f>'Schippers RD Black Sea 2012 '!H17</f>
        <v>566000</v>
      </c>
      <c r="K1418" s="301">
        <f>I1418+J1418</f>
        <v>961000</v>
      </c>
      <c r="N1418" s="27">
        <f>J1418/K1418</f>
        <v>0.58896982310093648</v>
      </c>
      <c r="O1418" s="303"/>
      <c r="P1418" s="304"/>
      <c r="R1418" s="304" t="s">
        <v>1278</v>
      </c>
      <c r="S1418" s="304" t="s">
        <v>141</v>
      </c>
      <c r="T1418" s="304" t="s">
        <v>145</v>
      </c>
      <c r="U1418" s="304" t="s">
        <v>145</v>
      </c>
      <c r="V1418" s="334"/>
      <c r="W1418" s="334"/>
      <c r="X1418" s="334"/>
      <c r="Y1418" s="334"/>
      <c r="Z1418" s="334"/>
      <c r="AA1418" s="327" t="s">
        <v>1498</v>
      </c>
      <c r="AD1418" s="326" t="s">
        <v>1717</v>
      </c>
      <c r="AE1418" s="327" t="s">
        <v>1725</v>
      </c>
      <c r="AG1418" s="326" t="s">
        <v>1707</v>
      </c>
      <c r="AH1418" s="326" t="s">
        <v>1714</v>
      </c>
      <c r="AT1418"/>
      <c r="AU1418"/>
      <c r="AV1418"/>
      <c r="AW1418" t="b">
        <v>1</v>
      </c>
      <c r="AX1418" t="b">
        <v>1</v>
      </c>
      <c r="AY1418" t="b">
        <v>1</v>
      </c>
    </row>
    <row r="1419" spans="1:51">
      <c r="A1419" s="277" t="s">
        <v>1328</v>
      </c>
      <c r="B1419" s="334" t="s">
        <v>103</v>
      </c>
      <c r="C1419" s="334">
        <f>'Schippers RD Black Sea 2012 '!B18</f>
        <v>2.79</v>
      </c>
      <c r="D1419" s="301">
        <f>'Schippers RD Black Sea 2012 '!C18</f>
        <v>62700000</v>
      </c>
      <c r="I1419" s="301">
        <f>'Schippers RD Black Sea 2012 '!G18</f>
        <v>408000</v>
      </c>
      <c r="J1419" s="301">
        <f>'Schippers RD Black Sea 2012 '!H18</f>
        <v>246000</v>
      </c>
      <c r="K1419" s="301">
        <f>I1419+J1419</f>
        <v>654000</v>
      </c>
      <c r="N1419" s="27">
        <f>J1419/K1419</f>
        <v>0.37614678899082571</v>
      </c>
      <c r="O1419" s="303"/>
      <c r="P1419" s="304"/>
      <c r="R1419" s="304" t="s">
        <v>1278</v>
      </c>
      <c r="S1419" s="304" t="s">
        <v>141</v>
      </c>
      <c r="T1419" s="304" t="s">
        <v>145</v>
      </c>
      <c r="U1419" s="304" t="s">
        <v>145</v>
      </c>
      <c r="V1419" s="334"/>
      <c r="W1419" s="334"/>
      <c r="X1419" s="334"/>
      <c r="Y1419" s="334"/>
      <c r="Z1419" s="334"/>
      <c r="AA1419" s="326" t="s">
        <v>1498</v>
      </c>
      <c r="AD1419" s="326" t="s">
        <v>1717</v>
      </c>
      <c r="AE1419" s="326" t="s">
        <v>1725</v>
      </c>
      <c r="AG1419" s="326" t="s">
        <v>1707</v>
      </c>
      <c r="AH1419" s="326" t="s">
        <v>1714</v>
      </c>
      <c r="AR1419" s="323"/>
      <c r="AT1419"/>
      <c r="AU1419"/>
      <c r="AV1419"/>
      <c r="AW1419" t="b">
        <v>1</v>
      </c>
      <c r="AX1419" t="b">
        <v>1</v>
      </c>
      <c r="AY1419" t="b">
        <v>1</v>
      </c>
    </row>
    <row r="1420" spans="1:51">
      <c r="A1420" s="277" t="s">
        <v>1328</v>
      </c>
      <c r="B1420" s="334" t="s">
        <v>103</v>
      </c>
      <c r="C1420" s="334">
        <f>'Schippers RD Black Sea 2012 '!B19</f>
        <v>4.5</v>
      </c>
      <c r="D1420" s="301">
        <f>'Schippers RD Black Sea 2012 '!C19</f>
        <v>66800000</v>
      </c>
      <c r="I1420" s="301">
        <f>'Schippers RD Black Sea 2012 '!G19</f>
        <v>931000</v>
      </c>
      <c r="J1420" s="301">
        <f>'Schippers RD Black Sea 2012 '!H19</f>
        <v>153000</v>
      </c>
      <c r="K1420" s="301">
        <f>I1420+J1420</f>
        <v>1084000</v>
      </c>
      <c r="N1420" s="27">
        <f>J1420/K1420</f>
        <v>0.14114391143911439</v>
      </c>
      <c r="O1420" s="303"/>
      <c r="P1420" s="304"/>
      <c r="R1420" s="304" t="s">
        <v>1278</v>
      </c>
      <c r="S1420" s="304" t="s">
        <v>141</v>
      </c>
      <c r="T1420" s="304" t="s">
        <v>145</v>
      </c>
      <c r="U1420" s="304" t="s">
        <v>145</v>
      </c>
      <c r="V1420" s="334"/>
      <c r="W1420" s="334"/>
      <c r="X1420" s="334"/>
      <c r="Y1420" s="334"/>
      <c r="Z1420" s="334"/>
      <c r="AA1420" s="326" t="s">
        <v>1498</v>
      </c>
      <c r="AD1420" s="326" t="s">
        <v>1717</v>
      </c>
      <c r="AE1420" s="326" t="s">
        <v>1725</v>
      </c>
      <c r="AG1420" s="326" t="s">
        <v>1707</v>
      </c>
      <c r="AH1420" s="326" t="s">
        <v>1714</v>
      </c>
      <c r="AT1420"/>
      <c r="AU1420"/>
      <c r="AV1420"/>
      <c r="AW1420" t="b">
        <v>1</v>
      </c>
      <c r="AX1420" t="b">
        <v>1</v>
      </c>
      <c r="AY1420" t="b">
        <v>1</v>
      </c>
    </row>
    <row r="1421" spans="1:51">
      <c r="A1421" s="277" t="s">
        <v>1328</v>
      </c>
      <c r="B1421" s="334" t="s">
        <v>103</v>
      </c>
      <c r="C1421" s="334">
        <f>'Schippers RD Black Sea 2012 '!B20</f>
        <v>6.21</v>
      </c>
      <c r="D1421" s="301">
        <f>'Schippers RD Black Sea 2012 '!C20</f>
        <v>101000000</v>
      </c>
      <c r="I1421" s="301">
        <f>'Schippers RD Black Sea 2012 '!G20</f>
        <v>849000</v>
      </c>
      <c r="J1421" s="301">
        <f>'Schippers RD Black Sea 2012 '!H20</f>
        <v>165000</v>
      </c>
      <c r="K1421" s="301">
        <f>I1421+J1421</f>
        <v>1014000</v>
      </c>
      <c r="N1421" s="27">
        <f>J1421/K1421</f>
        <v>0.16272189349112426</v>
      </c>
      <c r="O1421" s="303"/>
      <c r="P1421" s="304"/>
      <c r="R1421" s="304" t="s">
        <v>1278</v>
      </c>
      <c r="S1421" s="304" t="s">
        <v>141</v>
      </c>
      <c r="T1421" s="304" t="s">
        <v>145</v>
      </c>
      <c r="U1421" s="304" t="s">
        <v>145</v>
      </c>
      <c r="V1421" s="334"/>
      <c r="W1421" s="334"/>
      <c r="X1421" s="334"/>
      <c r="Y1421" s="334"/>
      <c r="Z1421" s="334"/>
      <c r="AA1421" s="326" t="s">
        <v>1498</v>
      </c>
      <c r="AD1421" s="326" t="s">
        <v>1717</v>
      </c>
      <c r="AE1421" s="326" t="s">
        <v>1725</v>
      </c>
      <c r="AG1421" s="326" t="s">
        <v>1707</v>
      </c>
      <c r="AH1421" s="326" t="s">
        <v>1714</v>
      </c>
      <c r="AR1421" s="323"/>
      <c r="AT1421"/>
      <c r="AU1421"/>
      <c r="AV1421"/>
      <c r="AW1421" t="b">
        <v>1</v>
      </c>
      <c r="AX1421" t="b">
        <v>1</v>
      </c>
      <c r="AY1421" t="b">
        <v>1</v>
      </c>
    </row>
    <row r="1422" spans="1:51">
      <c r="A1422" s="277" t="s">
        <v>1328</v>
      </c>
      <c r="B1422" s="334" t="s">
        <v>103</v>
      </c>
      <c r="C1422" s="334">
        <f>'Schippers RD Black Sea 2012 '!B21</f>
        <v>7.5</v>
      </c>
      <c r="D1422" s="301">
        <f>'Schippers RD Black Sea 2012 '!C21</f>
        <v>47900000</v>
      </c>
      <c r="O1422" s="303"/>
      <c r="P1422" s="304"/>
      <c r="R1422" s="304" t="s">
        <v>1278</v>
      </c>
      <c r="S1422" s="304" t="s">
        <v>141</v>
      </c>
      <c r="T1422" s="304" t="s">
        <v>145</v>
      </c>
      <c r="U1422" s="304" t="s">
        <v>145</v>
      </c>
      <c r="V1422" s="334"/>
      <c r="W1422" s="334"/>
      <c r="X1422" s="334"/>
      <c r="Y1422" s="334"/>
      <c r="Z1422" s="334"/>
      <c r="AT1422"/>
      <c r="AU1422"/>
      <c r="AV1422"/>
    </row>
    <row r="1423" spans="1:51">
      <c r="A1423" s="277" t="s">
        <v>1328</v>
      </c>
      <c r="B1423" s="334" t="s">
        <v>103</v>
      </c>
      <c r="C1423" s="334">
        <f>'Schippers RD Black Sea 2012 '!B22</f>
        <v>8.7650000000000006</v>
      </c>
      <c r="D1423" s="301">
        <f>'Schippers RD Black Sea 2012 '!C22</f>
        <v>3930000</v>
      </c>
      <c r="O1423" s="303"/>
      <c r="P1423" s="304"/>
      <c r="R1423" s="304" t="s">
        <v>1278</v>
      </c>
      <c r="S1423" s="304" t="s">
        <v>141</v>
      </c>
      <c r="T1423" s="304" t="s">
        <v>145</v>
      </c>
      <c r="U1423" s="304" t="s">
        <v>145</v>
      </c>
      <c r="V1423" s="334"/>
      <c r="W1423" s="334"/>
      <c r="X1423" s="334"/>
      <c r="Y1423" s="334"/>
      <c r="Z1423" s="334"/>
      <c r="AT1423"/>
      <c r="AU1423"/>
      <c r="AV1423"/>
    </row>
    <row r="1424" spans="1:51">
      <c r="A1424" s="277" t="s">
        <v>1328</v>
      </c>
      <c r="B1424" s="334" t="s">
        <v>1225</v>
      </c>
      <c r="C1424" s="273">
        <f>'Schippers RD Namibia 2012'!B17</f>
        <v>3.4</v>
      </c>
      <c r="D1424" s="302">
        <f>'Schippers RD Namibia 2012'!C17</f>
        <v>2750000000</v>
      </c>
      <c r="I1424" s="301">
        <f>'Schippers RD Namibia 2012'!H17</f>
        <v>105000000</v>
      </c>
      <c r="J1424" s="301">
        <f>'Schippers RD Namibia 2012'!I17</f>
        <v>1450000000</v>
      </c>
      <c r="K1424" s="301">
        <f>I1424+J1424</f>
        <v>1555000000</v>
      </c>
      <c r="L1424" s="301">
        <f>'Schippers RD Namibia 2012'!R17</f>
        <v>92400000</v>
      </c>
      <c r="N1424" s="27">
        <f>J1424/K1424</f>
        <v>0.932475884244373</v>
      </c>
      <c r="O1424" s="303"/>
      <c r="P1424" s="304"/>
      <c r="R1424" s="304" t="s">
        <v>1278</v>
      </c>
      <c r="S1424" s="304" t="s">
        <v>141</v>
      </c>
      <c r="T1424" s="304" t="s">
        <v>145</v>
      </c>
      <c r="U1424" s="304" t="s">
        <v>145</v>
      </c>
      <c r="V1424" s="334"/>
      <c r="W1424" s="334"/>
      <c r="X1424" s="334"/>
      <c r="Y1424" s="334"/>
      <c r="Z1424" s="334"/>
      <c r="AA1424" s="326" t="s">
        <v>1498</v>
      </c>
      <c r="AD1424" s="326" t="s">
        <v>1717</v>
      </c>
      <c r="AE1424" s="326" t="s">
        <v>1725</v>
      </c>
      <c r="AG1424" s="326" t="s">
        <v>1707</v>
      </c>
      <c r="AH1424" s="326" t="s">
        <v>1714</v>
      </c>
      <c r="AR1424" s="323"/>
      <c r="AT1424"/>
      <c r="AU1424"/>
      <c r="AV1424"/>
      <c r="AW1424" t="b">
        <v>1</v>
      </c>
      <c r="AX1424" t="b">
        <v>1</v>
      </c>
      <c r="AY1424" t="b">
        <v>1</v>
      </c>
    </row>
    <row r="1425" spans="1:51">
      <c r="A1425" s="277" t="s">
        <v>1328</v>
      </c>
      <c r="B1425" s="334" t="s">
        <v>1227</v>
      </c>
      <c r="C1425" s="273">
        <f>'Schippers RD Namibia 2012'!B46</f>
        <v>2.4700000000000002</v>
      </c>
      <c r="D1425" s="302">
        <f>'Schippers RD Namibia 2012'!C46</f>
        <v>76300000</v>
      </c>
      <c r="I1425" s="301">
        <f>'Schippers RD Namibia 2012'!H46</f>
        <v>3810000</v>
      </c>
      <c r="J1425" s="301">
        <f>'Schippers RD Namibia 2012'!I46</f>
        <v>1420000</v>
      </c>
      <c r="K1425" s="301">
        <f>I1425+J1425</f>
        <v>5230000</v>
      </c>
      <c r="L1425" s="301">
        <f>'Schippers RD Namibia 2012'!R46</f>
        <v>4580000</v>
      </c>
      <c r="N1425" s="27">
        <f>J1425/K1425</f>
        <v>0.27151051625239003</v>
      </c>
      <c r="O1425" s="303"/>
      <c r="P1425" s="304"/>
      <c r="R1425" s="304" t="s">
        <v>1278</v>
      </c>
      <c r="S1425" s="304" t="s">
        <v>141</v>
      </c>
      <c r="T1425" s="304" t="s">
        <v>145</v>
      </c>
      <c r="U1425" s="304" t="s">
        <v>145</v>
      </c>
      <c r="V1425" s="334"/>
      <c r="W1425" s="334"/>
      <c r="X1425" s="334"/>
      <c r="Y1425" s="334"/>
      <c r="Z1425" s="334"/>
      <c r="AA1425" s="326" t="s">
        <v>1498</v>
      </c>
      <c r="AD1425" s="326" t="s">
        <v>1717</v>
      </c>
      <c r="AE1425" s="326" t="s">
        <v>1725</v>
      </c>
      <c r="AG1425" s="326" t="s">
        <v>1707</v>
      </c>
      <c r="AH1425" s="326" t="s">
        <v>1714</v>
      </c>
      <c r="AT1425"/>
      <c r="AU1425"/>
      <c r="AV1425"/>
      <c r="AW1425" t="b">
        <v>1</v>
      </c>
      <c r="AX1425" t="b">
        <v>1</v>
      </c>
      <c r="AY1425" t="b">
        <v>1</v>
      </c>
    </row>
    <row r="1426" spans="1:51">
      <c r="A1426" s="277" t="s">
        <v>1328</v>
      </c>
      <c r="B1426" s="334" t="s">
        <v>1227</v>
      </c>
      <c r="C1426" s="273">
        <f>'Schippers RD Namibia 2012'!B48</f>
        <v>3.52</v>
      </c>
      <c r="D1426" s="302">
        <f>'Schippers RD Namibia 2012'!C48</f>
        <v>56800000</v>
      </c>
      <c r="I1426" s="301">
        <f>'Schippers RD Namibia 2012'!H48</f>
        <v>1210000</v>
      </c>
      <c r="J1426" s="301">
        <f>'Schippers RD Namibia 2012'!I48</f>
        <v>279000</v>
      </c>
      <c r="K1426" s="301">
        <f>I1426+J1426</f>
        <v>1489000</v>
      </c>
      <c r="L1426" s="301">
        <f>'Schippers RD Namibia 2012'!R48</f>
        <v>811000</v>
      </c>
      <c r="N1426" s="27">
        <f>J1426/K1426</f>
        <v>0.18737407656145064</v>
      </c>
      <c r="O1426" s="303"/>
      <c r="P1426" s="304"/>
      <c r="R1426" s="304" t="s">
        <v>1278</v>
      </c>
      <c r="S1426" s="304" t="s">
        <v>141</v>
      </c>
      <c r="T1426" s="304" t="s">
        <v>145</v>
      </c>
      <c r="U1426" s="304" t="s">
        <v>145</v>
      </c>
      <c r="V1426" s="334"/>
      <c r="W1426" s="334"/>
      <c r="X1426" s="334"/>
      <c r="Y1426" s="334"/>
      <c r="Z1426" s="334"/>
      <c r="AA1426" s="326" t="s">
        <v>1498</v>
      </c>
      <c r="AD1426" s="326" t="s">
        <v>1717</v>
      </c>
      <c r="AE1426" s="326" t="s">
        <v>1725</v>
      </c>
      <c r="AG1426" s="326" t="s">
        <v>1707</v>
      </c>
      <c r="AH1426" s="326" t="s">
        <v>1714</v>
      </c>
      <c r="AT1426"/>
      <c r="AU1426"/>
      <c r="AV1426"/>
      <c r="AW1426" t="b">
        <v>1</v>
      </c>
      <c r="AX1426" t="b">
        <v>1</v>
      </c>
      <c r="AY1426" t="b">
        <v>1</v>
      </c>
    </row>
    <row r="1427" spans="1:51">
      <c r="A1427" s="277" t="s">
        <v>1328</v>
      </c>
      <c r="B1427" s="334" t="s">
        <v>1227</v>
      </c>
      <c r="C1427" s="273">
        <f>'Schippers RD Namibia 2012'!B50</f>
        <v>4.7300000000000004</v>
      </c>
      <c r="D1427" s="302">
        <f>'Schippers RD Namibia 2012'!C50</f>
        <v>72100000</v>
      </c>
      <c r="I1427" s="301">
        <f>'Schippers RD Namibia 2012'!H50</f>
        <v>6710000</v>
      </c>
      <c r="J1427" s="301">
        <f>'Schippers RD Namibia 2012'!I50</f>
        <v>2370000</v>
      </c>
      <c r="K1427" s="301">
        <f>I1427+J1427</f>
        <v>9080000</v>
      </c>
      <c r="L1427" s="301">
        <f>'Schippers RD Namibia 2012'!R50</f>
        <v>5300000</v>
      </c>
      <c r="N1427" s="27">
        <f>J1427/K1427</f>
        <v>0.26101321585903081</v>
      </c>
      <c r="O1427" s="303"/>
      <c r="P1427" s="323"/>
      <c r="R1427" s="304" t="s">
        <v>1278</v>
      </c>
      <c r="S1427" s="304" t="s">
        <v>141</v>
      </c>
      <c r="T1427" s="304" t="s">
        <v>145</v>
      </c>
      <c r="U1427" s="304" t="s">
        <v>145</v>
      </c>
      <c r="V1427" s="334"/>
      <c r="W1427" s="334"/>
      <c r="X1427" s="334"/>
      <c r="Y1427" s="334"/>
      <c r="Z1427" s="334"/>
      <c r="AA1427" s="326" t="s">
        <v>1498</v>
      </c>
      <c r="AD1427" s="326" t="s">
        <v>1717</v>
      </c>
      <c r="AE1427" s="326" t="s">
        <v>1725</v>
      </c>
      <c r="AG1427" s="326" t="s">
        <v>1707</v>
      </c>
      <c r="AH1427" s="326" t="s">
        <v>1714</v>
      </c>
      <c r="AR1427" s="323"/>
      <c r="AT1427"/>
      <c r="AU1427"/>
      <c r="AV1427"/>
      <c r="AW1427" t="b">
        <v>1</v>
      </c>
      <c r="AX1427" t="b">
        <v>1</v>
      </c>
      <c r="AY1427" t="b">
        <v>1</v>
      </c>
    </row>
    <row r="1428" spans="1:51">
      <c r="A1428" s="277" t="s">
        <v>1328</v>
      </c>
      <c r="B1428" s="334" t="s">
        <v>1227</v>
      </c>
      <c r="C1428" s="273">
        <f>'Schippers RD Namibia 2012'!B52</f>
        <v>5.375</v>
      </c>
      <c r="D1428" s="302">
        <f>'Schippers RD Namibia 2012'!C52</f>
        <v>62400000</v>
      </c>
      <c r="J1428" s="301">
        <f>'Schippers RD Namibia 2012'!I52</f>
        <v>819000</v>
      </c>
      <c r="L1428" s="301">
        <f>'Schippers RD Namibia 2012'!R52</f>
        <v>449000</v>
      </c>
      <c r="O1428" s="303"/>
      <c r="P1428" s="323"/>
      <c r="R1428" s="304" t="s">
        <v>1278</v>
      </c>
      <c r="S1428" s="304" t="s">
        <v>141</v>
      </c>
      <c r="T1428" s="304" t="s">
        <v>145</v>
      </c>
      <c r="U1428" s="304" t="s">
        <v>145</v>
      </c>
      <c r="V1428" s="334"/>
      <c r="W1428" s="334"/>
      <c r="X1428" s="334"/>
      <c r="Y1428" s="334"/>
      <c r="Z1428" s="334"/>
      <c r="AR1428" s="323"/>
      <c r="AT1428"/>
      <c r="AU1428"/>
      <c r="AV1428"/>
    </row>
    <row r="1429" spans="1:51">
      <c r="A1429" s="277" t="s">
        <v>484</v>
      </c>
      <c r="B1429" s="334" t="s">
        <v>1679</v>
      </c>
      <c r="C1429" s="334">
        <f>'Siegert 2011'!C4</f>
        <v>6.4777327935227193E-4</v>
      </c>
      <c r="D1429" s="301">
        <f>'Siegert 2011'!J4</f>
        <v>2696998553.2804017</v>
      </c>
      <c r="E1429" s="301">
        <f>'Siegert 2011'!K4</f>
        <v>78038280.634694979</v>
      </c>
      <c r="F1429" s="301">
        <f>'Siegert 2011'!L4</f>
        <v>20309176.209047072</v>
      </c>
      <c r="G1429" s="301">
        <f>E1429+F1429</f>
        <v>98347456.843742043</v>
      </c>
      <c r="H1429" s="27">
        <f>G1429/D1429</f>
        <v>3.6465520800565684E-2</v>
      </c>
      <c r="I1429" s="301">
        <f>'Siegert 2011'!M4</f>
        <v>2354584955.5427608</v>
      </c>
      <c r="J1429" s="301">
        <f>'Siegert 2011'!N4</f>
        <v>133352143.21633248</v>
      </c>
      <c r="K1429" s="301">
        <f>I1429+J1429</f>
        <v>2487937098.7590933</v>
      </c>
      <c r="M1429" s="27">
        <f>F1429/G1429</f>
        <v>0.20650433535170123</v>
      </c>
      <c r="N1429" s="27">
        <f>J1429/K1429</f>
        <v>5.3599483396442958E-2</v>
      </c>
      <c r="O1429" s="303" t="s">
        <v>71</v>
      </c>
      <c r="P1429" s="323">
        <f>'Siegert 2011'!P4</f>
        <v>27.777787627093002</v>
      </c>
      <c r="R1429" s="304" t="s">
        <v>1278</v>
      </c>
      <c r="S1429" s="304" t="s">
        <v>141</v>
      </c>
      <c r="T1429" s="304" t="s">
        <v>145</v>
      </c>
      <c r="U1429" s="304" t="s">
        <v>145</v>
      </c>
      <c r="V1429" s="313">
        <v>0.55000000000000004</v>
      </c>
      <c r="W1429" s="313">
        <v>0.55000000000000004</v>
      </c>
      <c r="X1429" s="306" t="s">
        <v>248</v>
      </c>
      <c r="Y1429" s="334" t="s">
        <v>96</v>
      </c>
      <c r="Z1429" s="314" t="s">
        <v>100</v>
      </c>
      <c r="AA1429" s="326" t="s">
        <v>1499</v>
      </c>
      <c r="AB1429" s="334" t="s">
        <v>311</v>
      </c>
      <c r="AC1429" s="334" t="s">
        <v>1702</v>
      </c>
      <c r="AD1429" s="326" t="s">
        <v>1717</v>
      </c>
      <c r="AE1429" s="326" t="s">
        <v>1725</v>
      </c>
      <c r="AG1429" s="326" t="s">
        <v>1707</v>
      </c>
      <c r="AH1429" s="326" t="s">
        <v>1714</v>
      </c>
      <c r="AQ1429">
        <v>1130</v>
      </c>
      <c r="AR1429" t="s">
        <v>1463</v>
      </c>
      <c r="AT1429"/>
      <c r="AU1429"/>
      <c r="AV1429"/>
      <c r="AW1429" t="b">
        <v>1</v>
      </c>
      <c r="AX1429" t="b">
        <v>1</v>
      </c>
      <c r="AY1429" t="b">
        <v>1</v>
      </c>
    </row>
    <row r="1430" spans="1:51">
      <c r="A1430" s="277" t="s">
        <v>484</v>
      </c>
      <c r="B1430" s="334" t="s">
        <v>1679</v>
      </c>
      <c r="C1430" s="334">
        <f>'Siegert 2011'!C5</f>
        <v>2.07287449392713E-2</v>
      </c>
      <c r="D1430" s="301">
        <f>'Siegert 2011'!J5</f>
        <v>1246704871.9204583</v>
      </c>
      <c r="E1430" s="301">
        <f>'Siegert 2011'!K5</f>
        <v>23587761.807200257</v>
      </c>
      <c r="F1430" s="301">
        <f>'Siegert 2011'!L5</f>
        <v>27178481.917050295</v>
      </c>
      <c r="G1430" s="301">
        <f>E1430+F1430</f>
        <v>50766243.724250555</v>
      </c>
      <c r="H1430" s="27">
        <f>G1430/D1430</f>
        <v>4.0720337962623698E-2</v>
      </c>
      <c r="I1430" s="301">
        <f>'Siegert 2011'!M5</f>
        <v>1073160545.7801516</v>
      </c>
      <c r="J1430" s="301">
        <f>'Siegert 2011'!N5</f>
        <v>86596432.336006731</v>
      </c>
      <c r="K1430" s="301">
        <f>I1430+J1430</f>
        <v>1159756978.1161582</v>
      </c>
      <c r="M1430" s="27">
        <f>F1430/G1430</f>
        <v>0.53536523333648556</v>
      </c>
      <c r="N1430" s="27">
        <f>J1430/K1430</f>
        <v>7.4667739854145085E-2</v>
      </c>
      <c r="O1430" s="303" t="s">
        <v>71</v>
      </c>
      <c r="P1430" s="323">
        <f>'Siegert 2011'!P5</f>
        <v>26.115449734511699</v>
      </c>
      <c r="R1430" s="304" t="s">
        <v>1278</v>
      </c>
      <c r="S1430" s="304" t="s">
        <v>141</v>
      </c>
      <c r="T1430" s="304" t="s">
        <v>145</v>
      </c>
      <c r="U1430" s="304" t="s">
        <v>145</v>
      </c>
      <c r="V1430" s="313">
        <v>0.55000000000000004</v>
      </c>
      <c r="W1430" s="313">
        <v>0.55000000000000004</v>
      </c>
      <c r="X1430" s="306" t="s">
        <v>248</v>
      </c>
      <c r="Y1430" s="334" t="s">
        <v>96</v>
      </c>
      <c r="Z1430" s="314" t="s">
        <v>100</v>
      </c>
      <c r="AB1430" s="334" t="s">
        <v>311</v>
      </c>
      <c r="AC1430" s="334" t="s">
        <v>1702</v>
      </c>
      <c r="AD1430" s="326" t="s">
        <v>1717</v>
      </c>
      <c r="AE1430" s="326" t="s">
        <v>1725</v>
      </c>
      <c r="AG1430" s="326" t="s">
        <v>1707</v>
      </c>
      <c r="AH1430" s="326" t="s">
        <v>1714</v>
      </c>
      <c r="AQ1430">
        <v>1130</v>
      </c>
      <c r="AR1430" s="323" t="s">
        <v>1463</v>
      </c>
      <c r="AW1430" t="b">
        <v>1</v>
      </c>
      <c r="AX1430" t="b">
        <v>1</v>
      </c>
      <c r="AY1430" t="b">
        <v>1</v>
      </c>
    </row>
    <row r="1431" spans="1:51">
      <c r="A1431" s="277" t="s">
        <v>484</v>
      </c>
      <c r="B1431" s="334" t="s">
        <v>1678</v>
      </c>
      <c r="C1431" s="334">
        <f>'Siegert 2011'!C6</f>
        <v>4.0161943319838002E-2</v>
      </c>
      <c r="D1431" s="301">
        <f>'Siegert 2011'!J6</f>
        <v>537018011.0242337</v>
      </c>
      <c r="E1431" s="301">
        <f>'Siegert 2011'!K6</f>
        <v>11707128.632030929</v>
      </c>
      <c r="F1431" s="301">
        <f>'Siegert 2011'!L6</f>
        <v>8818068.4786476549</v>
      </c>
      <c r="G1431" s="301">
        <f>E1431+F1431</f>
        <v>20525197.110678583</v>
      </c>
      <c r="H1431" s="27">
        <f>G1431/D1431</f>
        <v>3.8220686623772017E-2</v>
      </c>
      <c r="I1431" s="301">
        <f>'Siegert 2011'!M6</f>
        <v>479010171.78459936</v>
      </c>
      <c r="J1431" s="301">
        <f>'Siegert 2011'!N6</f>
        <v>27384196.342643615</v>
      </c>
      <c r="K1431" s="301">
        <f>I1431+J1431</f>
        <v>506394368.12724298</v>
      </c>
      <c r="M1431" s="27">
        <f>F1431/G1431</f>
        <v>0.42962162219917999</v>
      </c>
      <c r="N1431" s="27">
        <f>J1431/K1431</f>
        <v>5.4076818515806875E-2</v>
      </c>
      <c r="O1431" s="303" t="s">
        <v>71</v>
      </c>
      <c r="P1431" s="323">
        <f>'Siegert 2011'!P6</f>
        <v>16.4427227841256</v>
      </c>
      <c r="R1431" s="304" t="s">
        <v>1278</v>
      </c>
      <c r="S1431" s="304" t="s">
        <v>141</v>
      </c>
      <c r="T1431" s="304" t="s">
        <v>145</v>
      </c>
      <c r="U1431" s="304" t="s">
        <v>145</v>
      </c>
      <c r="V1431" s="313">
        <v>0.55000000000000004</v>
      </c>
      <c r="W1431" s="313">
        <v>0.55000000000000004</v>
      </c>
      <c r="X1431" s="306" t="s">
        <v>248</v>
      </c>
      <c r="Y1431" s="334" t="s">
        <v>96</v>
      </c>
      <c r="Z1431" s="314" t="s">
        <v>100</v>
      </c>
      <c r="AB1431" s="334" t="s">
        <v>311</v>
      </c>
      <c r="AC1431" s="334" t="s">
        <v>1702</v>
      </c>
      <c r="AD1431" s="326" t="s">
        <v>1717</v>
      </c>
      <c r="AE1431" s="326" t="s">
        <v>1725</v>
      </c>
      <c r="AG1431" s="326" t="s">
        <v>1707</v>
      </c>
      <c r="AH1431" s="326" t="s">
        <v>1714</v>
      </c>
      <c r="AQ1431">
        <v>1130</v>
      </c>
      <c r="AR1431" t="s">
        <v>1463</v>
      </c>
      <c r="AW1431" t="b">
        <v>1</v>
      </c>
      <c r="AX1431" t="b">
        <v>1</v>
      </c>
      <c r="AY1431" t="b">
        <v>1</v>
      </c>
    </row>
    <row r="1432" spans="1:51">
      <c r="A1432" s="277" t="s">
        <v>484</v>
      </c>
      <c r="B1432" s="334" t="s">
        <v>1678</v>
      </c>
      <c r="C1432" s="334">
        <f>'Siegert 2011'!C7</f>
        <v>6.0890688259109302E-2</v>
      </c>
      <c r="D1432" s="301">
        <f>'Siegert 2011'!J7</f>
        <v>1180066154.4483285</v>
      </c>
      <c r="E1432" s="301">
        <f>'Siegert 2011'!K7</f>
        <v>6693311.3233462498</v>
      </c>
      <c r="F1432" s="301">
        <f>'Siegert 2011'!L7</f>
        <v>5041550.2770415293</v>
      </c>
      <c r="G1432" s="301">
        <f>E1432+F1432</f>
        <v>11734861.600387778</v>
      </c>
      <c r="H1432" s="27">
        <f>G1432/D1432</f>
        <v>9.9442404615644048E-3</v>
      </c>
      <c r="I1432" s="301">
        <f>'Siegert 2011'!M7</f>
        <v>1045603859.1302559</v>
      </c>
      <c r="J1432" s="301">
        <f>'Siegert 2011'!N7</f>
        <v>143301257.0236963</v>
      </c>
      <c r="K1432" s="301">
        <f>I1432+J1432</f>
        <v>1188905116.1539521</v>
      </c>
      <c r="M1432" s="27">
        <f>F1432/G1432</f>
        <v>0.42962162219918565</v>
      </c>
      <c r="N1432" s="27">
        <f>J1432/K1432</f>
        <v>0.12053212243485723</v>
      </c>
      <c r="O1432" s="303" t="s">
        <v>71</v>
      </c>
      <c r="P1432" s="323">
        <f>'Siegert 2011'!P7</f>
        <v>10.232690074549399</v>
      </c>
      <c r="R1432" s="304" t="s">
        <v>1278</v>
      </c>
      <c r="S1432" s="304" t="s">
        <v>141</v>
      </c>
      <c r="T1432" s="304" t="s">
        <v>145</v>
      </c>
      <c r="U1432" s="304" t="s">
        <v>145</v>
      </c>
      <c r="V1432" s="313">
        <v>0.55000000000000004</v>
      </c>
      <c r="W1432" s="313">
        <v>0.55000000000000004</v>
      </c>
      <c r="X1432" s="306" t="s">
        <v>248</v>
      </c>
      <c r="Y1432" s="334" t="s">
        <v>96</v>
      </c>
      <c r="Z1432" s="314" t="s">
        <v>100</v>
      </c>
      <c r="AB1432" s="334" t="s">
        <v>311</v>
      </c>
      <c r="AC1432" s="334" t="s">
        <v>1702</v>
      </c>
      <c r="AD1432" s="326" t="s">
        <v>1717</v>
      </c>
      <c r="AE1432" s="326" t="s">
        <v>1725</v>
      </c>
      <c r="AG1432" s="326" t="s">
        <v>1707</v>
      </c>
      <c r="AH1432" s="326" t="s">
        <v>1714</v>
      </c>
      <c r="AQ1432">
        <v>1130</v>
      </c>
      <c r="AR1432" s="323" t="s">
        <v>1463</v>
      </c>
      <c r="AW1432" t="b">
        <v>1</v>
      </c>
      <c r="AX1432" t="b">
        <v>1</v>
      </c>
      <c r="AY1432" t="b">
        <v>1</v>
      </c>
    </row>
    <row r="1433" spans="1:51">
      <c r="A1433" s="277" t="s">
        <v>484</v>
      </c>
      <c r="B1433" s="334" t="s">
        <v>1678</v>
      </c>
      <c r="C1433" s="334">
        <f>'Siegert 2011'!C8</f>
        <v>8.5506072874493896E-2</v>
      </c>
      <c r="D1433" s="301">
        <f>'Siegert 2011'!J8</f>
        <v>725701603.17192292</v>
      </c>
      <c r="E1433" s="301">
        <f>'Siegert 2011'!K8</f>
        <v>6758920.9794536568</v>
      </c>
      <c r="F1433" s="301">
        <f>'Siegert 2011'!L8</f>
        <v>4419503.3467492647</v>
      </c>
      <c r="G1433" s="301">
        <f>E1433+F1433</f>
        <v>11178424.326202922</v>
      </c>
      <c r="H1433" s="27">
        <f>G1433/D1433</f>
        <v>1.5403609799597876E-2</v>
      </c>
      <c r="I1433" s="301">
        <f>'Siegert 2011'!M8</f>
        <v>639695300.67733848</v>
      </c>
      <c r="J1433" s="301">
        <f>'Siegert 2011'!N8</f>
        <v>69783058.48598513</v>
      </c>
      <c r="K1433" s="301">
        <f>I1433+J1433</f>
        <v>709478359.16332364</v>
      </c>
      <c r="M1433" s="27">
        <f>F1433/G1433</f>
        <v>0.39536013464703379</v>
      </c>
      <c r="N1433" s="27">
        <f>J1433/K1433</f>
        <v>9.8358262214338951E-2</v>
      </c>
      <c r="O1433" s="303" t="s">
        <v>71</v>
      </c>
      <c r="P1433" s="323">
        <f>'Siegert 2011'!P8</f>
        <v>8.2580599409632107</v>
      </c>
      <c r="R1433" s="303" t="s">
        <v>1278</v>
      </c>
      <c r="S1433" s="303" t="s">
        <v>141</v>
      </c>
      <c r="T1433" s="303" t="s">
        <v>145</v>
      </c>
      <c r="U1433" s="303" t="s">
        <v>145</v>
      </c>
      <c r="V1433" s="313">
        <v>0.55000000000000004</v>
      </c>
      <c r="W1433" s="313">
        <v>0.55000000000000004</v>
      </c>
      <c r="X1433" s="306" t="s">
        <v>248</v>
      </c>
      <c r="Y1433" s="334" t="s">
        <v>96</v>
      </c>
      <c r="Z1433" s="314" t="s">
        <v>100</v>
      </c>
      <c r="AB1433" s="334" t="s">
        <v>311</v>
      </c>
      <c r="AC1433" s="334" t="s">
        <v>1702</v>
      </c>
      <c r="AD1433" s="326" t="s">
        <v>1717</v>
      </c>
      <c r="AE1433" s="326" t="s">
        <v>1725</v>
      </c>
      <c r="AG1433" s="326" t="s">
        <v>1707</v>
      </c>
      <c r="AH1433" s="326" t="s">
        <v>1714</v>
      </c>
      <c r="AQ1433">
        <v>1130</v>
      </c>
      <c r="AR1433" t="s">
        <v>1463</v>
      </c>
      <c r="AW1433" t="b">
        <v>1</v>
      </c>
      <c r="AX1433" t="b">
        <v>1</v>
      </c>
      <c r="AY1433" t="b">
        <v>1</v>
      </c>
    </row>
    <row r="1434" spans="1:51">
      <c r="A1434" s="277" t="s">
        <v>484</v>
      </c>
      <c r="B1434" s="334" t="s">
        <v>1678</v>
      </c>
      <c r="C1434" s="334">
        <f>'Siegert 2011'!C9</f>
        <v>0.11012145748987801</v>
      </c>
      <c r="D1434" s="301">
        <f>'Siegert 2011'!J9</f>
        <v>415757966.55119556</v>
      </c>
      <c r="E1434" s="301">
        <f>'Siegert 2011'!K9</f>
        <v>2917389.569291899</v>
      </c>
      <c r="F1434" s="301">
        <f>'Siegert 2011'!L9</f>
        <v>3131581.0518738828</v>
      </c>
      <c r="G1434" s="301">
        <f>E1434+F1434</f>
        <v>6048970.6211657822</v>
      </c>
      <c r="H1434" s="27">
        <f>G1434/D1434</f>
        <v>1.4549259684290198E-2</v>
      </c>
      <c r="I1434" s="301">
        <f>'Siegert 2011'!M9</f>
        <v>408025639.47738642</v>
      </c>
      <c r="J1434" s="301">
        <f>'Siegert 2011'!N9</f>
        <v>22067340.690845449</v>
      </c>
      <c r="K1434" s="301">
        <f>I1434+J1434</f>
        <v>430092980.16823184</v>
      </c>
      <c r="M1434" s="27">
        <f>F1434/G1434</f>
        <v>0.51770478780575591</v>
      </c>
      <c r="N1434" s="27">
        <f>J1434/K1434</f>
        <v>5.1308302409896943E-2</v>
      </c>
      <c r="O1434" s="303" t="s">
        <v>71</v>
      </c>
      <c r="P1434" s="323">
        <f>'Siegert 2011'!P9</f>
        <v>5.7151341624486998</v>
      </c>
      <c r="R1434" s="303" t="s">
        <v>1278</v>
      </c>
      <c r="S1434" s="303" t="s">
        <v>141</v>
      </c>
      <c r="T1434" s="303" t="s">
        <v>145</v>
      </c>
      <c r="U1434" s="303" t="s">
        <v>145</v>
      </c>
      <c r="V1434" s="313">
        <v>0.55000000000000004</v>
      </c>
      <c r="W1434" s="313">
        <v>0.55000000000000004</v>
      </c>
      <c r="X1434" s="306" t="s">
        <v>248</v>
      </c>
      <c r="Y1434" s="334" t="s">
        <v>96</v>
      </c>
      <c r="Z1434" s="314" t="s">
        <v>100</v>
      </c>
      <c r="AB1434" s="334" t="s">
        <v>311</v>
      </c>
      <c r="AC1434" s="334" t="s">
        <v>1702</v>
      </c>
      <c r="AD1434" s="326" t="s">
        <v>1717</v>
      </c>
      <c r="AE1434" s="326" t="s">
        <v>1725</v>
      </c>
      <c r="AG1434" s="326" t="s">
        <v>1707</v>
      </c>
      <c r="AH1434" s="326" t="s">
        <v>1714</v>
      </c>
      <c r="AQ1434">
        <v>1130</v>
      </c>
      <c r="AR1434" s="325" t="s">
        <v>1463</v>
      </c>
      <c r="AW1434" t="b">
        <v>1</v>
      </c>
      <c r="AX1434" t="b">
        <v>1</v>
      </c>
      <c r="AY1434" t="b">
        <v>1</v>
      </c>
    </row>
    <row r="1435" spans="1:51">
      <c r="A1435" s="277" t="s">
        <v>484</v>
      </c>
      <c r="B1435" s="334" t="s">
        <v>1678</v>
      </c>
      <c r="C1435" s="334">
        <f>'Siegert 2011'!C10</f>
        <v>0.13538461538461499</v>
      </c>
      <c r="D1435" s="301">
        <f>'Siegert 2011'!J10</f>
        <v>450657033.77454352</v>
      </c>
      <c r="E1435" s="301">
        <f>'Siegert 2011'!K10</f>
        <v>4837437.6967577655</v>
      </c>
      <c r="F1435" s="301">
        <f>'Siegert 2011'!L10</f>
        <v>6423974.2348228153</v>
      </c>
      <c r="G1435" s="301">
        <f>E1435+F1435</f>
        <v>11261411.931580581</v>
      </c>
      <c r="H1435" s="27">
        <f>G1435/D1435</f>
        <v>2.498887421607289E-2</v>
      </c>
      <c r="I1435" s="301">
        <f>'Siegert 2011'!M10</f>
        <v>420713307.48669213</v>
      </c>
      <c r="J1435" s="301">
        <f>'Siegert 2011'!N10</f>
        <v>39241897.584844604</v>
      </c>
      <c r="K1435" s="301">
        <f>I1435+J1435</f>
        <v>459955205.07153672</v>
      </c>
      <c r="M1435" s="27">
        <f>F1435/G1435</f>
        <v>0.57044127981926929</v>
      </c>
      <c r="N1435" s="27">
        <f>J1435/K1435</f>
        <v>8.5316781182509543E-2</v>
      </c>
      <c r="O1435" s="303" t="s">
        <v>71</v>
      </c>
      <c r="P1435" s="323">
        <f>'Siegert 2011'!P10</f>
        <v>7.926443343291</v>
      </c>
      <c r="R1435" s="303" t="s">
        <v>1278</v>
      </c>
      <c r="S1435" s="303" t="s">
        <v>141</v>
      </c>
      <c r="T1435" s="303" t="s">
        <v>145</v>
      </c>
      <c r="U1435" s="303" t="s">
        <v>145</v>
      </c>
      <c r="V1435" s="313">
        <v>0.55000000000000004</v>
      </c>
      <c r="W1435" s="313">
        <v>0.55000000000000004</v>
      </c>
      <c r="X1435" s="306" t="s">
        <v>248</v>
      </c>
      <c r="Y1435" s="334" t="s">
        <v>96</v>
      </c>
      <c r="Z1435" s="314" t="s">
        <v>100</v>
      </c>
      <c r="AB1435" s="334" t="s">
        <v>311</v>
      </c>
      <c r="AC1435" s="334" t="s">
        <v>1702</v>
      </c>
      <c r="AD1435" s="326" t="s">
        <v>1717</v>
      </c>
      <c r="AE1435" s="326" t="s">
        <v>1725</v>
      </c>
      <c r="AG1435" s="326" t="s">
        <v>1707</v>
      </c>
      <c r="AH1435" s="326" t="s">
        <v>1714</v>
      </c>
      <c r="AQ1435">
        <v>1130</v>
      </c>
      <c r="AR1435" t="s">
        <v>1463</v>
      </c>
      <c r="AW1435" t="b">
        <v>1</v>
      </c>
      <c r="AX1435" t="b">
        <v>1</v>
      </c>
      <c r="AY1435" t="b">
        <v>1</v>
      </c>
    </row>
    <row r="1436" spans="1:51">
      <c r="A1436" s="277" t="s">
        <v>484</v>
      </c>
      <c r="B1436" s="334" t="s">
        <v>1678</v>
      </c>
      <c r="C1436" s="334">
        <f>'Siegert 2011'!C11</f>
        <v>0.16</v>
      </c>
      <c r="D1436" s="301">
        <f>'Siegert 2011'!J11</f>
        <v>524484238.39731652</v>
      </c>
      <c r="E1436" s="301">
        <f>'Siegert 2011'!K11</f>
        <v>14141701.70289016</v>
      </c>
      <c r="F1436" s="301">
        <f>'Siegert 2011'!L11</f>
        <v>6488609.1777657568</v>
      </c>
      <c r="G1436" s="301">
        <f>E1436+F1436</f>
        <v>20630310.880655915</v>
      </c>
      <c r="H1436" s="27">
        <f>G1436/D1436</f>
        <v>3.933447255478377E-2</v>
      </c>
      <c r="I1436" s="301">
        <f>'Siegert 2011'!M11</f>
        <v>452299006.78994316</v>
      </c>
      <c r="J1436" s="301">
        <f>'Siegert 2011'!N11</f>
        <v>60429639.023812011</v>
      </c>
      <c r="K1436" s="301">
        <f>I1436+J1436</f>
        <v>512728645.81375515</v>
      </c>
      <c r="M1436" s="27">
        <f>F1436/G1436</f>
        <v>0.3145182452800469</v>
      </c>
      <c r="N1436" s="27">
        <f>J1436/K1436</f>
        <v>0.11785890941962822</v>
      </c>
      <c r="O1436" s="303" t="s">
        <v>71</v>
      </c>
      <c r="P1436" s="323">
        <f>'Siegert 2011'!P11</f>
        <v>4.3499304145872104</v>
      </c>
      <c r="R1436" s="303" t="s">
        <v>1278</v>
      </c>
      <c r="S1436" s="303" t="s">
        <v>141</v>
      </c>
      <c r="T1436" s="303" t="s">
        <v>145</v>
      </c>
      <c r="U1436" s="303" t="s">
        <v>145</v>
      </c>
      <c r="V1436" s="313">
        <v>0.55000000000000004</v>
      </c>
      <c r="W1436" s="313">
        <v>0.55000000000000004</v>
      </c>
      <c r="X1436" s="306" t="s">
        <v>248</v>
      </c>
      <c r="Y1436" s="334" t="s">
        <v>96</v>
      </c>
      <c r="Z1436" s="314" t="s">
        <v>100</v>
      </c>
      <c r="AA1436" s="328"/>
      <c r="AB1436" s="334" t="s">
        <v>311</v>
      </c>
      <c r="AC1436" s="334" t="s">
        <v>1702</v>
      </c>
      <c r="AD1436" s="326" t="s">
        <v>1717</v>
      </c>
      <c r="AE1436" s="328" t="s">
        <v>1725</v>
      </c>
      <c r="AG1436" s="326" t="s">
        <v>1707</v>
      </c>
      <c r="AH1436" s="326" t="s">
        <v>1714</v>
      </c>
      <c r="AQ1436">
        <v>1130</v>
      </c>
      <c r="AR1436" t="s">
        <v>1463</v>
      </c>
      <c r="AW1436" t="b">
        <v>1</v>
      </c>
      <c r="AX1436" t="b">
        <v>1</v>
      </c>
      <c r="AY1436" t="b">
        <v>1</v>
      </c>
    </row>
    <row r="1437" spans="1:51">
      <c r="A1437" s="277" t="s">
        <v>484</v>
      </c>
      <c r="B1437" s="334" t="s">
        <v>1681</v>
      </c>
      <c r="C1437" s="334">
        <f>'Siegert 2011'!C12</f>
        <v>8.9552238805968892E-4</v>
      </c>
      <c r="D1437" s="301">
        <f>'Siegert 2011'!J12</f>
        <v>1036291054.448835</v>
      </c>
      <c r="E1437" s="301">
        <f>'Siegert 2011'!K12</f>
        <v>909100.54247096321</v>
      </c>
      <c r="G1437" s="301">
        <f>E1437+F1437</f>
        <v>909100.54247096321</v>
      </c>
      <c r="H1437" s="27">
        <f>G1437/D1437</f>
        <v>8.7726371714602928E-4</v>
      </c>
      <c r="I1437" s="301">
        <f>'Siegert 2011'!M12</f>
        <v>587801607.22749269</v>
      </c>
      <c r="J1437" s="301">
        <f>'Siegert 2011'!N12</f>
        <v>142510267.03029877</v>
      </c>
      <c r="K1437" s="301">
        <f>I1437+J1437</f>
        <v>730311874.25779152</v>
      </c>
      <c r="M1437" s="27">
        <v>0</v>
      </c>
      <c r="N1437" s="27">
        <f>J1437/K1437</f>
        <v>0.19513617682189613</v>
      </c>
      <c r="O1437" s="303" t="s">
        <v>71</v>
      </c>
      <c r="P1437" s="323">
        <f>'Siegert 2011'!P12</f>
        <v>26.897069700412501</v>
      </c>
      <c r="Q1437" s="301" t="b">
        <v>1</v>
      </c>
      <c r="R1437" s="303" t="s">
        <v>1278</v>
      </c>
      <c r="S1437" s="303" t="s">
        <v>141</v>
      </c>
      <c r="T1437" s="303" t="s">
        <v>145</v>
      </c>
      <c r="U1437" s="303" t="s">
        <v>145</v>
      </c>
      <c r="V1437" s="313">
        <v>0.55000000000000004</v>
      </c>
      <c r="W1437" s="313">
        <v>0.55000000000000004</v>
      </c>
      <c r="X1437" s="306" t="s">
        <v>248</v>
      </c>
      <c r="Y1437" s="334" t="s">
        <v>96</v>
      </c>
      <c r="Z1437" s="314" t="s">
        <v>100</v>
      </c>
      <c r="AB1437" s="334" t="s">
        <v>311</v>
      </c>
      <c r="AC1437" s="334" t="s">
        <v>1702</v>
      </c>
      <c r="AD1437" s="326" t="s">
        <v>1717</v>
      </c>
      <c r="AE1437" s="326" t="s">
        <v>1725</v>
      </c>
      <c r="AG1437" s="326" t="s">
        <v>1707</v>
      </c>
      <c r="AH1437" s="326" t="s">
        <v>1714</v>
      </c>
      <c r="AQ1437">
        <v>1135</v>
      </c>
      <c r="AR1437" t="s">
        <v>1463</v>
      </c>
      <c r="AW1437" t="b">
        <v>1</v>
      </c>
      <c r="AX1437" t="b">
        <v>1</v>
      </c>
      <c r="AY1437" t="b">
        <v>1</v>
      </c>
    </row>
    <row r="1438" spans="1:51">
      <c r="A1438" s="277" t="s">
        <v>484</v>
      </c>
      <c r="B1438" s="334" t="s">
        <v>1681</v>
      </c>
      <c r="C1438" s="334">
        <f>'Siegert 2011'!C13</f>
        <v>2.0597014925373101E-2</v>
      </c>
      <c r="D1438" s="301">
        <f>'Siegert 2011'!J13</f>
        <v>608395898.22566783</v>
      </c>
      <c r="E1438" s="301">
        <f>'Siegert 2011'!K13</f>
        <v>1158420.12473013</v>
      </c>
      <c r="G1438" s="301">
        <f>E1438+F1438</f>
        <v>1158420.12473013</v>
      </c>
      <c r="H1438" s="336">
        <f>G1438/D1438</f>
        <v>1.9040564344837935E-3</v>
      </c>
      <c r="I1438" s="301">
        <f>'Siegert 2011'!M13</f>
        <v>273893246.71610326</v>
      </c>
      <c r="J1438" s="301">
        <f>'Siegert 2011'!N13</f>
        <v>203916672.77731654</v>
      </c>
      <c r="K1438" s="301">
        <f>I1438+J1438</f>
        <v>477809919.49341977</v>
      </c>
      <c r="M1438" s="27">
        <v>0</v>
      </c>
      <c r="N1438" s="27">
        <f>J1438/K1438</f>
        <v>0.42677362787593781</v>
      </c>
      <c r="O1438" s="303" t="s">
        <v>71</v>
      </c>
      <c r="P1438" s="323">
        <f>'Siegert 2011'!P13</f>
        <v>27.4607120254371</v>
      </c>
      <c r="Q1438" s="301" t="b">
        <v>1</v>
      </c>
      <c r="R1438" s="303" t="s">
        <v>1278</v>
      </c>
      <c r="S1438" s="303" t="s">
        <v>141</v>
      </c>
      <c r="T1438" s="303" t="s">
        <v>145</v>
      </c>
      <c r="U1438" s="303" t="s">
        <v>145</v>
      </c>
      <c r="V1438" s="313">
        <v>0.55000000000000004</v>
      </c>
      <c r="W1438" s="313">
        <v>0.55000000000000004</v>
      </c>
      <c r="X1438" s="306" t="s">
        <v>248</v>
      </c>
      <c r="Y1438" s="334" t="s">
        <v>96</v>
      </c>
      <c r="Z1438" s="314" t="s">
        <v>100</v>
      </c>
      <c r="AB1438" s="334" t="s">
        <v>311</v>
      </c>
      <c r="AC1438" s="334" t="s">
        <v>1702</v>
      </c>
      <c r="AD1438" s="326" t="s">
        <v>1717</v>
      </c>
      <c r="AE1438" s="326" t="s">
        <v>1725</v>
      </c>
      <c r="AG1438" s="326" t="s">
        <v>1707</v>
      </c>
      <c r="AH1438" s="326" t="s">
        <v>1714</v>
      </c>
      <c r="AQ1438">
        <v>1135</v>
      </c>
      <c r="AR1438" t="s">
        <v>1463</v>
      </c>
      <c r="AW1438" t="b">
        <v>1</v>
      </c>
      <c r="AX1438" t="b">
        <v>1</v>
      </c>
      <c r="AY1438" t="b">
        <v>1</v>
      </c>
    </row>
    <row r="1439" spans="1:51">
      <c r="A1439" s="277" t="s">
        <v>484</v>
      </c>
      <c r="B1439" s="334" t="s">
        <v>1680</v>
      </c>
      <c r="C1439" s="334">
        <f>'Siegert 2011'!C14</f>
        <v>4.1194029850746203E-2</v>
      </c>
      <c r="D1439" s="301">
        <f>'Siegert 2011'!J14</f>
        <v>823046461.21164072</v>
      </c>
      <c r="E1439" s="301">
        <f>'Siegert 2011'!K14</f>
        <v>1989433.8527691569</v>
      </c>
      <c r="G1439" s="301">
        <f>E1439+F1439</f>
        <v>1989433.8527691569</v>
      </c>
      <c r="H1439" s="336">
        <f>G1439/D1439</f>
        <v>2.4171586253349891E-3</v>
      </c>
      <c r="I1439" s="301">
        <f>'Siegert 2011'!M14</f>
        <v>558513995.66523373</v>
      </c>
      <c r="J1439" s="301">
        <f>'Siegert 2011'!N14</f>
        <v>750307329.02382398</v>
      </c>
      <c r="K1439" s="301">
        <f>I1439+J1439</f>
        <v>1308821324.6890578</v>
      </c>
      <c r="M1439" s="27">
        <v>0</v>
      </c>
      <c r="N1439" s="27">
        <f>J1439/K1439</f>
        <v>0.57326948672850941</v>
      </c>
      <c r="O1439" s="303" t="s">
        <v>71</v>
      </c>
      <c r="P1439" s="323">
        <f>'Siegert 2011'!P14</f>
        <v>27.260173698216501</v>
      </c>
      <c r="Q1439" s="301" t="b">
        <v>1</v>
      </c>
      <c r="R1439" s="303" t="s">
        <v>1278</v>
      </c>
      <c r="S1439" s="303" t="s">
        <v>141</v>
      </c>
      <c r="T1439" s="303" t="s">
        <v>145</v>
      </c>
      <c r="U1439" s="303" t="s">
        <v>145</v>
      </c>
      <c r="V1439" s="313">
        <v>0.55000000000000004</v>
      </c>
      <c r="W1439" s="313">
        <v>0.55000000000000004</v>
      </c>
      <c r="X1439" s="306" t="s">
        <v>248</v>
      </c>
      <c r="Y1439" s="328" t="s">
        <v>96</v>
      </c>
      <c r="Z1439" s="314" t="s">
        <v>100</v>
      </c>
      <c r="AB1439" s="334" t="s">
        <v>311</v>
      </c>
      <c r="AC1439" s="334" t="s">
        <v>1702</v>
      </c>
      <c r="AD1439" s="326" t="s">
        <v>1717</v>
      </c>
      <c r="AE1439" s="326" t="s">
        <v>1725</v>
      </c>
      <c r="AG1439" s="326" t="s">
        <v>1707</v>
      </c>
      <c r="AH1439" s="326" t="s">
        <v>1714</v>
      </c>
      <c r="AQ1439">
        <v>1135</v>
      </c>
      <c r="AR1439" t="s">
        <v>1463</v>
      </c>
      <c r="AW1439" t="b">
        <v>1</v>
      </c>
      <c r="AX1439" t="b">
        <v>1</v>
      </c>
      <c r="AY1439" t="b">
        <v>1</v>
      </c>
    </row>
    <row r="1440" spans="1:51">
      <c r="A1440" s="277" t="s">
        <v>484</v>
      </c>
      <c r="B1440" s="334" t="s">
        <v>1680</v>
      </c>
      <c r="C1440" s="334">
        <f>'Siegert 2011'!C15</f>
        <v>6.1791044776119401E-2</v>
      </c>
      <c r="D1440" s="301">
        <f>'Siegert 2011'!J15</f>
        <v>428630944.0750218</v>
      </c>
      <c r="E1440" s="301">
        <f>'Siegert 2011'!K15</f>
        <v>1670299.962052841</v>
      </c>
      <c r="G1440" s="301">
        <f>E1440+F1440</f>
        <v>1670299.962052841</v>
      </c>
      <c r="H1440" s="336">
        <f>G1440/D1440</f>
        <v>3.8968254278918652E-3</v>
      </c>
      <c r="I1440" s="301">
        <f>'Siegert 2011'!M15</f>
        <v>498324727.34686685</v>
      </c>
      <c r="J1440" s="301">
        <f>'Siegert 2011'!N15</f>
        <v>798891061.8043232</v>
      </c>
      <c r="K1440" s="301">
        <f>I1440+J1440</f>
        <v>1297215789.15119</v>
      </c>
      <c r="M1440" s="27">
        <v>0</v>
      </c>
      <c r="N1440" s="27">
        <f>J1440/K1440</f>
        <v>0.6158505535359412</v>
      </c>
      <c r="O1440" s="303" t="s">
        <v>71</v>
      </c>
      <c r="P1440" s="323">
        <f>'Siegert 2011'!P15</f>
        <v>26.820971886509</v>
      </c>
      <c r="Q1440" s="301" t="b">
        <v>1</v>
      </c>
      <c r="R1440" s="303" t="s">
        <v>1278</v>
      </c>
      <c r="S1440" s="303" t="s">
        <v>141</v>
      </c>
      <c r="T1440" s="303" t="s">
        <v>145</v>
      </c>
      <c r="U1440" s="303" t="s">
        <v>145</v>
      </c>
      <c r="V1440" s="313">
        <v>0.55000000000000004</v>
      </c>
      <c r="W1440" s="313">
        <v>0.55000000000000004</v>
      </c>
      <c r="X1440" s="306" t="s">
        <v>248</v>
      </c>
      <c r="Y1440" s="328" t="s">
        <v>96</v>
      </c>
      <c r="Z1440" s="314" t="s">
        <v>100</v>
      </c>
      <c r="AB1440" s="334" t="s">
        <v>311</v>
      </c>
      <c r="AC1440" s="334" t="s">
        <v>1702</v>
      </c>
      <c r="AD1440" s="326" t="s">
        <v>1717</v>
      </c>
      <c r="AE1440" s="326" t="s">
        <v>1725</v>
      </c>
      <c r="AG1440" s="326" t="s">
        <v>1707</v>
      </c>
      <c r="AH1440" s="326" t="s">
        <v>1714</v>
      </c>
      <c r="AQ1440">
        <v>1135</v>
      </c>
      <c r="AR1440" t="s">
        <v>1463</v>
      </c>
      <c r="AW1440" t="b">
        <v>1</v>
      </c>
      <c r="AX1440" t="b">
        <v>1</v>
      </c>
      <c r="AY1440" t="b">
        <v>1</v>
      </c>
    </row>
    <row r="1441" spans="1:51">
      <c r="A1441" s="277" t="s">
        <v>484</v>
      </c>
      <c r="B1441" s="334" t="s">
        <v>1680</v>
      </c>
      <c r="C1441" s="334">
        <f>'Siegert 2011'!C16</f>
        <v>8.0597014925373092E-2</v>
      </c>
      <c r="D1441" s="301">
        <f>'Siegert 2011'!J16</f>
        <v>934484852.86749208</v>
      </c>
      <c r="E1441" s="301">
        <f>'Siegert 2011'!K16</f>
        <v>1172574.4778843985</v>
      </c>
      <c r="G1441" s="301">
        <f>E1441+F1441</f>
        <v>1172574.4778843985</v>
      </c>
      <c r="H1441" s="27">
        <f>G1441/D1441</f>
        <v>1.2547816845680504E-3</v>
      </c>
      <c r="I1441" s="301">
        <f>'Siegert 2011'!M16</f>
        <v>802135968.28266644</v>
      </c>
      <c r="J1441" s="301">
        <f>'Siegert 2011'!N16</f>
        <v>597094213.77400196</v>
      </c>
      <c r="K1441" s="301">
        <f>I1441+J1441</f>
        <v>1399230182.0566683</v>
      </c>
      <c r="M1441" s="27">
        <v>0</v>
      </c>
      <c r="N1441" s="27">
        <f>J1441/K1441</f>
        <v>0.42673051327148964</v>
      </c>
      <c r="O1441" s="304" t="s">
        <v>71</v>
      </c>
      <c r="P1441" s="323">
        <f>'Siegert 2011'!P16</f>
        <v>27.384156709646401</v>
      </c>
      <c r="Q1441" s="301" t="b">
        <v>1</v>
      </c>
      <c r="R1441" s="304" t="s">
        <v>1278</v>
      </c>
      <c r="S1441" s="304" t="s">
        <v>141</v>
      </c>
      <c r="T1441" s="304" t="s">
        <v>145</v>
      </c>
      <c r="U1441" s="304" t="s">
        <v>145</v>
      </c>
      <c r="V1441" s="313">
        <v>0.55000000000000004</v>
      </c>
      <c r="W1441" s="313">
        <v>0.55000000000000004</v>
      </c>
      <c r="X1441" s="306" t="s">
        <v>248</v>
      </c>
      <c r="Y1441" s="328" t="s">
        <v>96</v>
      </c>
      <c r="Z1441" s="314" t="s">
        <v>100</v>
      </c>
      <c r="AB1441" s="334" t="s">
        <v>311</v>
      </c>
      <c r="AC1441" s="334" t="s">
        <v>1702</v>
      </c>
      <c r="AD1441" s="326" t="s">
        <v>1717</v>
      </c>
      <c r="AE1441" s="326" t="s">
        <v>1725</v>
      </c>
      <c r="AG1441" s="326" t="s">
        <v>1707</v>
      </c>
      <c r="AH1441" s="326" t="s">
        <v>1714</v>
      </c>
      <c r="AQ1441">
        <v>1135</v>
      </c>
      <c r="AR1441" s="323" t="s">
        <v>1463</v>
      </c>
      <c r="AW1441" t="b">
        <v>1</v>
      </c>
      <c r="AX1441" t="b">
        <v>1</v>
      </c>
      <c r="AY1441" t="b">
        <v>1</v>
      </c>
    </row>
    <row r="1442" spans="1:51">
      <c r="A1442" s="277" t="s">
        <v>484</v>
      </c>
      <c r="B1442" s="334" t="s">
        <v>1680</v>
      </c>
      <c r="C1442" s="334">
        <f>'Siegert 2011'!C17</f>
        <v>0.12089552238805901</v>
      </c>
      <c r="D1442" s="301">
        <f>'Siegert 2011'!J17</f>
        <v>698961745.69790828</v>
      </c>
      <c r="E1442" s="301">
        <f>'Siegert 2011'!K17</f>
        <v>1413170.8982291555</v>
      </c>
      <c r="G1442" s="301">
        <f>E1442+F1442</f>
        <v>1413170.8982291555</v>
      </c>
      <c r="H1442" s="27">
        <f>G1442/D1442</f>
        <v>2.0218143652741888E-3</v>
      </c>
      <c r="I1442" s="301">
        <f>'Siegert 2011'!M17</f>
        <v>504155027.70415223</v>
      </c>
      <c r="J1442" s="301">
        <f>'Siegert 2011'!N17</f>
        <v>965195713.73506176</v>
      </c>
      <c r="K1442" s="301">
        <f>I1442+J1442</f>
        <v>1469350741.439214</v>
      </c>
      <c r="M1442" s="27">
        <v>0</v>
      </c>
      <c r="N1442" s="27">
        <f>J1442/K1442</f>
        <v>0.65688585203942695</v>
      </c>
      <c r="O1442" s="304" t="s">
        <v>71</v>
      </c>
      <c r="P1442" s="323">
        <f>'Siegert 2011'!P17</f>
        <v>26.9356523595659</v>
      </c>
      <c r="Q1442" s="301" t="b">
        <v>1</v>
      </c>
      <c r="R1442" s="304" t="s">
        <v>1278</v>
      </c>
      <c r="S1442" s="304" t="s">
        <v>141</v>
      </c>
      <c r="T1442" s="304" t="s">
        <v>145</v>
      </c>
      <c r="U1442" s="304" t="s">
        <v>145</v>
      </c>
      <c r="V1442" s="313">
        <v>0.55000000000000004</v>
      </c>
      <c r="W1442" s="313">
        <v>0.55000000000000004</v>
      </c>
      <c r="X1442" s="306" t="s">
        <v>248</v>
      </c>
      <c r="Y1442" s="328" t="s">
        <v>96</v>
      </c>
      <c r="Z1442" s="314" t="s">
        <v>100</v>
      </c>
      <c r="AB1442" s="334" t="s">
        <v>311</v>
      </c>
      <c r="AC1442" s="334" t="s">
        <v>1702</v>
      </c>
      <c r="AD1442" s="326" t="s">
        <v>1717</v>
      </c>
      <c r="AE1442" s="326" t="s">
        <v>1725</v>
      </c>
      <c r="AG1442" s="326" t="s">
        <v>1707</v>
      </c>
      <c r="AH1442" s="326" t="s">
        <v>1714</v>
      </c>
      <c r="AQ1442">
        <v>1135</v>
      </c>
      <c r="AR1442" t="s">
        <v>1463</v>
      </c>
      <c r="AW1442" t="b">
        <v>1</v>
      </c>
      <c r="AX1442" t="b">
        <v>1</v>
      </c>
      <c r="AY1442" t="b">
        <v>1</v>
      </c>
    </row>
    <row r="1443" spans="1:51">
      <c r="A1443" s="277" t="s">
        <v>484</v>
      </c>
      <c r="B1443" s="334" t="s">
        <v>1680</v>
      </c>
      <c r="C1443" s="334">
        <f>'Siegert 2011'!C18</f>
        <v>0.162089552238805</v>
      </c>
      <c r="D1443" s="301">
        <f>'Siegert 2011'!J18</f>
        <v>464087044.35282683</v>
      </c>
      <c r="E1443" s="301">
        <f>'Siegert 2011'!K18</f>
        <v>1122172.7649047049</v>
      </c>
      <c r="G1443" s="301">
        <f>E1443+F1443</f>
        <v>1122172.7649047049</v>
      </c>
      <c r="H1443" s="27">
        <f>G1443/D1443</f>
        <v>2.4180221761406504E-3</v>
      </c>
      <c r="I1443" s="301">
        <f>'Siegert 2011'!M18</f>
        <v>316925186.58735871</v>
      </c>
      <c r="J1443" s="301">
        <f>'Siegert 2011'!N18</f>
        <v>768373077.1377908</v>
      </c>
      <c r="K1443" s="301">
        <f>I1443+J1443</f>
        <v>1085298263.7251496</v>
      </c>
      <c r="M1443" s="27">
        <v>0</v>
      </c>
      <c r="N1443" s="27">
        <f>J1443/K1443</f>
        <v>0.70798332847271583</v>
      </c>
      <c r="O1443" s="304" t="s">
        <v>71</v>
      </c>
      <c r="P1443" s="323">
        <f>'Siegert 2011'!P18</f>
        <v>26.4868430082274</v>
      </c>
      <c r="Q1443" s="301" t="b">
        <v>1</v>
      </c>
      <c r="R1443" s="304" t="s">
        <v>1278</v>
      </c>
      <c r="S1443" s="304" t="s">
        <v>141</v>
      </c>
      <c r="T1443" s="304" t="s">
        <v>145</v>
      </c>
      <c r="U1443" s="304" t="s">
        <v>145</v>
      </c>
      <c r="V1443" s="313">
        <v>0.55000000000000004</v>
      </c>
      <c r="W1443" s="313">
        <v>0.55000000000000004</v>
      </c>
      <c r="X1443" s="306" t="s">
        <v>248</v>
      </c>
      <c r="Y1443" s="327" t="s">
        <v>96</v>
      </c>
      <c r="Z1443" s="314" t="s">
        <v>100</v>
      </c>
      <c r="AB1443" s="334" t="s">
        <v>311</v>
      </c>
      <c r="AC1443" s="334" t="s">
        <v>1702</v>
      </c>
      <c r="AD1443" s="326" t="s">
        <v>1717</v>
      </c>
      <c r="AE1443" s="326" t="s">
        <v>1725</v>
      </c>
      <c r="AG1443" s="326" t="s">
        <v>1707</v>
      </c>
      <c r="AH1443" s="326" t="s">
        <v>1714</v>
      </c>
      <c r="AQ1443">
        <v>1135</v>
      </c>
      <c r="AR1443" t="s">
        <v>1463</v>
      </c>
      <c r="AW1443" t="b">
        <v>1</v>
      </c>
      <c r="AX1443" t="b">
        <v>1</v>
      </c>
      <c r="AY1443" t="b">
        <v>1</v>
      </c>
    </row>
    <row r="1444" spans="1:51">
      <c r="A1444" s="277" t="s">
        <v>484</v>
      </c>
      <c r="B1444" s="334" t="s">
        <v>1680</v>
      </c>
      <c r="C1444" s="334">
        <f>'Siegert 2011'!C19</f>
        <v>0.201492537313432</v>
      </c>
      <c r="D1444" s="301">
        <f>'Siegert 2011'!J19</f>
        <v>496499241.03827101</v>
      </c>
      <c r="E1444" s="301">
        <f>'Siegert 2011'!K19</f>
        <v>304462.06566321017</v>
      </c>
      <c r="G1444" s="301">
        <f>E1444+F1444</f>
        <v>304462.06566321017</v>
      </c>
      <c r="H1444" s="336">
        <f>G1444/D1444</f>
        <v>6.1321758524046101E-4</v>
      </c>
      <c r="I1444" s="301">
        <f>'Siegert 2011'!M19</f>
        <v>381283145.73225409</v>
      </c>
      <c r="J1444" s="301">
        <f>'Siegert 2011'!N19</f>
        <v>648545273.34968877</v>
      </c>
      <c r="K1444" s="301">
        <f>I1444+J1444</f>
        <v>1029828419.0819428</v>
      </c>
      <c r="M1444" s="27">
        <v>0</v>
      </c>
      <c r="N1444" s="27">
        <f>J1444/K1444</f>
        <v>0.62976051285110668</v>
      </c>
      <c r="O1444" s="304" t="s">
        <v>71</v>
      </c>
      <c r="P1444" s="323">
        <f>'Siegert 2011'!P19</f>
        <v>26.992535094207199</v>
      </c>
      <c r="Q1444" s="301" t="b">
        <v>1</v>
      </c>
      <c r="R1444" s="304" t="s">
        <v>1278</v>
      </c>
      <c r="S1444" s="304" t="s">
        <v>141</v>
      </c>
      <c r="T1444" s="304" t="s">
        <v>145</v>
      </c>
      <c r="U1444" s="304" t="s">
        <v>145</v>
      </c>
      <c r="V1444" s="313">
        <v>0.55000000000000004</v>
      </c>
      <c r="W1444" s="313">
        <v>0.55000000000000004</v>
      </c>
      <c r="X1444" s="306" t="s">
        <v>248</v>
      </c>
      <c r="Y1444" s="327" t="s">
        <v>96</v>
      </c>
      <c r="Z1444" s="314" t="s">
        <v>100</v>
      </c>
      <c r="AB1444" s="334" t="s">
        <v>311</v>
      </c>
      <c r="AC1444" s="334" t="s">
        <v>1702</v>
      </c>
      <c r="AD1444" s="326" t="s">
        <v>1717</v>
      </c>
      <c r="AE1444" s="326" t="s">
        <v>1725</v>
      </c>
      <c r="AG1444" s="326" t="s">
        <v>1707</v>
      </c>
      <c r="AH1444" s="326" t="s">
        <v>1714</v>
      </c>
      <c r="AQ1444">
        <v>1135</v>
      </c>
      <c r="AR1444" s="325" t="s">
        <v>1463</v>
      </c>
      <c r="AW1444" t="b">
        <v>1</v>
      </c>
      <c r="AX1444" t="b">
        <v>1</v>
      </c>
      <c r="AY1444" t="b">
        <v>1</v>
      </c>
    </row>
    <row r="1445" spans="1:51">
      <c r="A1445" s="277" t="s">
        <v>484</v>
      </c>
      <c r="B1445" s="334" t="s">
        <v>1680</v>
      </c>
      <c r="C1445" s="334">
        <f>'Siegert 2011'!C20</f>
        <v>0.24179104477611901</v>
      </c>
      <c r="D1445" s="301">
        <f>'Siegert 2011'!J20</f>
        <v>205252128.20308807</v>
      </c>
      <c r="E1445" s="301">
        <f>'Siegert 2011'!K20</f>
        <v>2196733.9081920539</v>
      </c>
      <c r="G1445" s="301">
        <f>E1445+F1445</f>
        <v>2196733.9081920539</v>
      </c>
      <c r="H1445" s="27">
        <f>G1445/D1445</f>
        <v>1.0702612087015638E-2</v>
      </c>
      <c r="I1445" s="301">
        <f>'Siegert 2011'!M20</f>
        <v>581003976.07772958</v>
      </c>
      <c r="J1445" s="301">
        <f>'Siegert 2011'!N20</f>
        <v>303424945.11212546</v>
      </c>
      <c r="K1445" s="301">
        <f>I1445+J1445</f>
        <v>884428921.1898551</v>
      </c>
      <c r="M1445" s="27">
        <v>0</v>
      </c>
      <c r="N1445" s="27">
        <f>J1445/K1445</f>
        <v>0.3430744267203707</v>
      </c>
      <c r="O1445" s="304" t="s">
        <v>71</v>
      </c>
      <c r="P1445" s="323">
        <f>'Siegert 2011'!P20</f>
        <v>27.4029142870214</v>
      </c>
      <c r="Q1445" s="301" t="b">
        <v>1</v>
      </c>
      <c r="R1445" s="304" t="s">
        <v>1278</v>
      </c>
      <c r="S1445" s="304" t="s">
        <v>141</v>
      </c>
      <c r="T1445" s="304" t="s">
        <v>145</v>
      </c>
      <c r="U1445" s="304" t="s">
        <v>145</v>
      </c>
      <c r="V1445" s="313">
        <v>0.55000000000000004</v>
      </c>
      <c r="W1445" s="313">
        <v>0.55000000000000004</v>
      </c>
      <c r="X1445" s="306" t="s">
        <v>248</v>
      </c>
      <c r="Y1445" s="327" t="s">
        <v>96</v>
      </c>
      <c r="Z1445" s="314" t="s">
        <v>100</v>
      </c>
      <c r="AB1445" s="334" t="s">
        <v>311</v>
      </c>
      <c r="AC1445" s="334" t="s">
        <v>1702</v>
      </c>
      <c r="AD1445" s="326" t="s">
        <v>1717</v>
      </c>
      <c r="AE1445" s="326" t="s">
        <v>1725</v>
      </c>
      <c r="AG1445" s="326" t="s">
        <v>1707</v>
      </c>
      <c r="AH1445" s="326" t="s">
        <v>1714</v>
      </c>
      <c r="AQ1445">
        <v>1135</v>
      </c>
      <c r="AR1445" s="325" t="s">
        <v>1463</v>
      </c>
      <c r="AW1445" t="b">
        <v>1</v>
      </c>
      <c r="AX1445" t="b">
        <v>1</v>
      </c>
      <c r="AY1445" t="b">
        <v>1</v>
      </c>
    </row>
    <row r="1446" spans="1:51">
      <c r="A1446" s="277" t="s">
        <v>484</v>
      </c>
      <c r="B1446" s="334" t="s">
        <v>1680</v>
      </c>
      <c r="C1446" s="334">
        <f>'Siegert 2011'!C21</f>
        <v>0.28119402985074599</v>
      </c>
      <c r="D1446" s="301">
        <f>'Siegert 2011'!J21</f>
        <v>447722691.63052773</v>
      </c>
      <c r="E1446" s="301">
        <f>'Siegert 2011'!K21</f>
        <v>3363913.7862867443</v>
      </c>
      <c r="G1446" s="301">
        <f>E1446+F1446</f>
        <v>3363913.7862867443</v>
      </c>
      <c r="H1446" s="336">
        <f>G1446/D1446</f>
        <v>7.5133868556805971E-3</v>
      </c>
      <c r="I1446" s="301">
        <f>'Siegert 2011'!M21</f>
        <v>344173675.84640533</v>
      </c>
      <c r="J1446" s="301">
        <f>'Siegert 2011'!N21</f>
        <v>435854719.32128245</v>
      </c>
      <c r="K1446" s="301">
        <f>I1446+J1446</f>
        <v>780028395.16768777</v>
      </c>
      <c r="M1446" s="27">
        <v>0</v>
      </c>
      <c r="N1446" s="27">
        <f>J1446/K1446</f>
        <v>0.5587677602782446</v>
      </c>
      <c r="O1446" s="304" t="s">
        <v>71</v>
      </c>
      <c r="P1446" s="323">
        <f>'Siegert 2011'!P21</f>
        <v>27.240806118325199</v>
      </c>
      <c r="Q1446" s="301" t="b">
        <v>1</v>
      </c>
      <c r="R1446" s="304" t="s">
        <v>1278</v>
      </c>
      <c r="S1446" s="304" t="s">
        <v>141</v>
      </c>
      <c r="T1446" s="304" t="s">
        <v>145</v>
      </c>
      <c r="U1446" s="304" t="s">
        <v>145</v>
      </c>
      <c r="V1446" s="313">
        <v>0.55000000000000004</v>
      </c>
      <c r="W1446" s="313">
        <v>0.55000000000000004</v>
      </c>
      <c r="X1446" s="306" t="s">
        <v>248</v>
      </c>
      <c r="Y1446" s="327" t="s">
        <v>96</v>
      </c>
      <c r="Z1446" s="314" t="s">
        <v>100</v>
      </c>
      <c r="AB1446" s="334" t="s">
        <v>311</v>
      </c>
      <c r="AC1446" s="334" t="s">
        <v>1702</v>
      </c>
      <c r="AD1446" s="326" t="s">
        <v>1717</v>
      </c>
      <c r="AE1446" s="326" t="s">
        <v>1725</v>
      </c>
      <c r="AG1446" s="326" t="s">
        <v>1707</v>
      </c>
      <c r="AH1446" s="326" t="s">
        <v>1714</v>
      </c>
      <c r="AQ1446">
        <v>1135</v>
      </c>
      <c r="AR1446" s="325" t="s">
        <v>1463</v>
      </c>
      <c r="AW1446" t="b">
        <v>1</v>
      </c>
      <c r="AX1446" t="b">
        <v>1</v>
      </c>
      <c r="AY1446" t="b">
        <v>1</v>
      </c>
    </row>
    <row r="1447" spans="1:51">
      <c r="A1447" s="277" t="s">
        <v>484</v>
      </c>
      <c r="B1447" s="334" t="s">
        <v>1682</v>
      </c>
      <c r="C1447" s="334">
        <f>'Siegert 2011'!C22</f>
        <v>5.06996183899696E-2</v>
      </c>
      <c r="D1447" s="301">
        <f>'Siegert 2011'!J22</f>
        <v>260031611.44040376</v>
      </c>
      <c r="E1447" s="301">
        <f>'Siegert 2011'!K22</f>
        <v>2076934.5928285734</v>
      </c>
      <c r="G1447" s="301">
        <f>E1447+F1447</f>
        <v>2076934.5928285734</v>
      </c>
      <c r="H1447" s="336">
        <f>G1447/D1447</f>
        <v>7.987238864243176E-3</v>
      </c>
      <c r="I1447" s="301">
        <f>'Siegert 2011'!M22</f>
        <v>1324192791.8860357</v>
      </c>
      <c r="J1447" s="301">
        <f>'Siegert 2011'!N22</f>
        <v>84494661.082833067</v>
      </c>
      <c r="K1447" s="301">
        <f>I1447+J1447</f>
        <v>1408687452.9688687</v>
      </c>
      <c r="M1447" s="27">
        <v>0</v>
      </c>
      <c r="N1447" s="27">
        <f>J1447/K1447</f>
        <v>5.9981127044723068E-2</v>
      </c>
      <c r="O1447" s="304" t="s">
        <v>71</v>
      </c>
      <c r="P1447" s="323">
        <f>'Siegert 2011'!P22</f>
        <v>28.398836313228699</v>
      </c>
      <c r="Q1447" s="301" t="b">
        <v>1</v>
      </c>
      <c r="R1447" s="304" t="s">
        <v>1278</v>
      </c>
      <c r="S1447" s="304" t="s">
        <v>141</v>
      </c>
      <c r="T1447" s="304" t="s">
        <v>145</v>
      </c>
      <c r="U1447" s="304" t="s">
        <v>145</v>
      </c>
      <c r="V1447" s="313">
        <v>0.55000000000000004</v>
      </c>
      <c r="W1447" s="313">
        <v>0.55000000000000004</v>
      </c>
      <c r="X1447" s="306" t="s">
        <v>248</v>
      </c>
      <c r="Y1447" s="327" t="s">
        <v>96</v>
      </c>
      <c r="Z1447" s="314" t="s">
        <v>100</v>
      </c>
      <c r="AB1447" s="334" t="s">
        <v>311</v>
      </c>
      <c r="AC1447" s="334" t="s">
        <v>1702</v>
      </c>
      <c r="AD1447" s="326" t="s">
        <v>1717</v>
      </c>
      <c r="AE1447" s="326" t="s">
        <v>1725</v>
      </c>
      <c r="AG1447" s="326" t="s">
        <v>1707</v>
      </c>
      <c r="AH1447" s="326" t="s">
        <v>1714</v>
      </c>
      <c r="AQ1447">
        <v>1134</v>
      </c>
      <c r="AR1447" s="325" t="s">
        <v>1463</v>
      </c>
      <c r="AW1447" t="b">
        <v>1</v>
      </c>
      <c r="AX1447" t="b">
        <v>1</v>
      </c>
      <c r="AY1447" t="b">
        <v>1</v>
      </c>
    </row>
    <row r="1448" spans="1:51">
      <c r="A1448" s="277" t="s">
        <v>484</v>
      </c>
      <c r="B1448" s="334" t="s">
        <v>1682</v>
      </c>
      <c r="C1448" s="334">
        <f>'Siegert 2011'!C23</f>
        <v>0.378036222666424</v>
      </c>
      <c r="D1448" s="301">
        <f>'Siegert 2011'!J23</f>
        <v>166941945.10988572</v>
      </c>
      <c r="E1448" s="301">
        <f>'Siegert 2011'!K23</f>
        <v>1669264.2306479961</v>
      </c>
      <c r="G1448" s="301">
        <f>E1448+F1448</f>
        <v>1669264.2306479961</v>
      </c>
      <c r="H1448" s="27">
        <f>G1448/D1448</f>
        <v>9.9990702129967458E-3</v>
      </c>
      <c r="I1448" s="301">
        <f>'Siegert 2011'!M23</f>
        <v>674944857.41191602</v>
      </c>
      <c r="J1448" s="301">
        <f>'Siegert 2011'!N23</f>
        <v>148160251.76256546</v>
      </c>
      <c r="K1448" s="301">
        <f>I1448+J1448</f>
        <v>823105109.17448151</v>
      </c>
      <c r="M1448" s="27">
        <v>0</v>
      </c>
      <c r="N1448" s="27">
        <f>J1448/K1448</f>
        <v>0.18000161839738807</v>
      </c>
      <c r="O1448" s="304" t="s">
        <v>71</v>
      </c>
      <c r="P1448" s="323">
        <f>'Siegert 2011'!P23</f>
        <v>28.238418991076198</v>
      </c>
      <c r="Q1448" s="301" t="b">
        <v>1</v>
      </c>
      <c r="R1448" s="304" t="s">
        <v>1278</v>
      </c>
      <c r="S1448" s="304" t="s">
        <v>141</v>
      </c>
      <c r="T1448" s="304" t="s">
        <v>145</v>
      </c>
      <c r="U1448" s="304" t="s">
        <v>145</v>
      </c>
      <c r="V1448" s="313">
        <v>0.55000000000000004</v>
      </c>
      <c r="W1448" s="313">
        <v>0.55000000000000004</v>
      </c>
      <c r="X1448" s="306" t="s">
        <v>248</v>
      </c>
      <c r="Y1448" s="327" t="s">
        <v>96</v>
      </c>
      <c r="Z1448" s="314" t="s">
        <v>100</v>
      </c>
      <c r="AB1448" s="334" t="s">
        <v>311</v>
      </c>
      <c r="AC1448" s="334" t="s">
        <v>1702</v>
      </c>
      <c r="AD1448" s="326" t="s">
        <v>1717</v>
      </c>
      <c r="AE1448" s="326" t="s">
        <v>1725</v>
      </c>
      <c r="AG1448" s="326" t="s">
        <v>1707</v>
      </c>
      <c r="AH1448" s="326" t="s">
        <v>1714</v>
      </c>
      <c r="AQ1448">
        <v>1134</v>
      </c>
      <c r="AR1448" t="s">
        <v>1463</v>
      </c>
      <c r="AW1448" t="b">
        <v>1</v>
      </c>
      <c r="AX1448" t="b">
        <v>1</v>
      </c>
      <c r="AY1448" t="b">
        <v>1</v>
      </c>
    </row>
    <row r="1449" spans="1:51">
      <c r="A1449" s="277" t="s">
        <v>484</v>
      </c>
      <c r="B1449" s="334" t="s">
        <v>1682</v>
      </c>
      <c r="C1449" s="334">
        <f>'Siegert 2011'!C24</f>
        <v>1.0340420376764099</v>
      </c>
      <c r="D1449" s="301">
        <f>'Siegert 2011'!J24</f>
        <v>236722922.24274933</v>
      </c>
      <c r="E1449" s="301">
        <f>'Siegert 2011'!K24</f>
        <v>1276150.3129830335</v>
      </c>
      <c r="G1449" s="301">
        <f>E1449+F1449</f>
        <v>1276150.3129830335</v>
      </c>
      <c r="H1449" s="27">
        <f>G1449/D1449</f>
        <v>5.3909030054740343E-3</v>
      </c>
      <c r="I1449" s="301">
        <f>'Siegert 2011'!M24</f>
        <v>344021326.30397052</v>
      </c>
      <c r="J1449" s="301">
        <f>'Siegert 2011'!N24</f>
        <v>196192737.42800826</v>
      </c>
      <c r="K1449" s="301">
        <f>I1449+J1449</f>
        <v>540214063.73197877</v>
      </c>
      <c r="M1449" s="27">
        <v>0</v>
      </c>
      <c r="N1449" s="27">
        <f>J1449/K1449</f>
        <v>0.36317591599271493</v>
      </c>
      <c r="O1449" s="304" t="s">
        <v>71</v>
      </c>
      <c r="P1449" s="323">
        <f>'Siegert 2011'!P24</f>
        <v>28.400021887525401</v>
      </c>
      <c r="Q1449" s="301" t="b">
        <v>1</v>
      </c>
      <c r="R1449" s="304" t="s">
        <v>1278</v>
      </c>
      <c r="S1449" s="304" t="s">
        <v>141</v>
      </c>
      <c r="T1449" s="304" t="s">
        <v>145</v>
      </c>
      <c r="U1449" s="304" t="s">
        <v>145</v>
      </c>
      <c r="V1449" s="313">
        <v>0.55000000000000004</v>
      </c>
      <c r="W1449" s="313">
        <v>0.55000000000000004</v>
      </c>
      <c r="X1449" s="306" t="s">
        <v>248</v>
      </c>
      <c r="Y1449" s="327" t="s">
        <v>96</v>
      </c>
      <c r="Z1449" s="314" t="s">
        <v>100</v>
      </c>
      <c r="AB1449" s="334" t="s">
        <v>311</v>
      </c>
      <c r="AC1449" s="334" t="s">
        <v>1702</v>
      </c>
      <c r="AD1449" s="326" t="s">
        <v>1717</v>
      </c>
      <c r="AE1449" s="326" t="s">
        <v>1725</v>
      </c>
      <c r="AG1449" s="326" t="s">
        <v>1707</v>
      </c>
      <c r="AH1449" s="326" t="s">
        <v>1714</v>
      </c>
      <c r="AQ1449">
        <v>1134</v>
      </c>
      <c r="AR1449" t="s">
        <v>1463</v>
      </c>
      <c r="AW1449" t="b">
        <v>1</v>
      </c>
      <c r="AX1449" t="b">
        <v>1</v>
      </c>
      <c r="AY1449" t="b">
        <v>1</v>
      </c>
    </row>
    <row r="1450" spans="1:51">
      <c r="A1450" s="277" t="s">
        <v>484</v>
      </c>
      <c r="B1450" s="334" t="s">
        <v>1682</v>
      </c>
      <c r="C1450" s="334">
        <f>'Siegert 2011'!C25</f>
        <v>1.5392210309528098</v>
      </c>
      <c r="D1450" s="301">
        <f>'Siegert 2011'!J25</f>
        <v>62084273.864449412</v>
      </c>
      <c r="E1450" s="301">
        <f>'Siegert 2011'!K25</f>
        <v>1362735.3852490103</v>
      </c>
      <c r="G1450" s="301">
        <f>E1450+F1450</f>
        <v>1362735.3852490103</v>
      </c>
      <c r="H1450" s="27">
        <f>G1450/D1450</f>
        <v>2.1949767637200916E-2</v>
      </c>
      <c r="I1450" s="301">
        <f>'Siegert 2011'!M25</f>
        <v>111887221.15873997</v>
      </c>
      <c r="J1450" s="301">
        <f>'Siegert 2011'!N25</f>
        <v>290679653.71321177</v>
      </c>
      <c r="K1450" s="301">
        <f>I1450+J1450</f>
        <v>402566874.87195176</v>
      </c>
      <c r="M1450" s="27">
        <v>0</v>
      </c>
      <c r="N1450" s="27">
        <f>J1450/K1450</f>
        <v>0.7220655047827047</v>
      </c>
      <c r="O1450" s="304" t="s">
        <v>71</v>
      </c>
      <c r="P1450" s="323">
        <f>'Siegert 2011'!P25</f>
        <v>27.1652918564725</v>
      </c>
      <c r="Q1450" s="301" t="b">
        <v>1</v>
      </c>
      <c r="R1450" s="304" t="s">
        <v>1278</v>
      </c>
      <c r="S1450" s="304" t="s">
        <v>141</v>
      </c>
      <c r="T1450" s="304" t="s">
        <v>145</v>
      </c>
      <c r="U1450" s="304" t="s">
        <v>145</v>
      </c>
      <c r="V1450" s="313">
        <v>0.55000000000000004</v>
      </c>
      <c r="W1450" s="313">
        <v>0.55000000000000004</v>
      </c>
      <c r="X1450" s="306" t="s">
        <v>248</v>
      </c>
      <c r="Y1450" s="327" t="s">
        <v>96</v>
      </c>
      <c r="Z1450" s="314" t="s">
        <v>100</v>
      </c>
      <c r="AB1450" s="334" t="s">
        <v>311</v>
      </c>
      <c r="AC1450" s="334" t="s">
        <v>1702</v>
      </c>
      <c r="AD1450" s="326" t="s">
        <v>1717</v>
      </c>
      <c r="AE1450" s="326" t="s">
        <v>1725</v>
      </c>
      <c r="AG1450" s="326" t="s">
        <v>1707</v>
      </c>
      <c r="AH1450" s="326" t="s">
        <v>1714</v>
      </c>
      <c r="AQ1450">
        <v>1134</v>
      </c>
      <c r="AR1450" s="323" t="s">
        <v>1463</v>
      </c>
      <c r="AW1450" t="b">
        <v>1</v>
      </c>
      <c r="AX1450" t="b">
        <v>1</v>
      </c>
      <c r="AY1450" t="b">
        <v>1</v>
      </c>
    </row>
    <row r="1451" spans="1:51">
      <c r="A1451" s="277" t="s">
        <v>484</v>
      </c>
      <c r="B1451" s="334" t="s">
        <v>1682</v>
      </c>
      <c r="C1451" s="334">
        <f>'Siegert 2011'!C26</f>
        <v>2.0354957901750499</v>
      </c>
      <c r="D1451" s="301">
        <f>'Siegert 2011'!J26</f>
        <v>42294573.786224462</v>
      </c>
      <c r="E1451" s="301">
        <f>'Siegert 2011'!K26</f>
        <v>447420.38913710049</v>
      </c>
      <c r="G1451" s="301">
        <f>E1451+F1451</f>
        <v>447420.38913710049</v>
      </c>
      <c r="H1451" s="27">
        <f>G1451/D1451</f>
        <v>1.0578671188378954E-2</v>
      </c>
      <c r="I1451" s="301">
        <f>'Siegert 2011'!M26</f>
        <v>196192737.42800826</v>
      </c>
      <c r="J1451" s="301">
        <f>'Siegert 2011'!N26</f>
        <v>455550560.54679835</v>
      </c>
      <c r="K1451" s="301">
        <f>I1451+J1451</f>
        <v>651743297.97480655</v>
      </c>
      <c r="M1451" s="27">
        <v>0</v>
      </c>
      <c r="N1451" s="27">
        <f>J1451/K1451</f>
        <v>0.6989723744952232</v>
      </c>
      <c r="O1451" s="304" t="s">
        <v>71</v>
      </c>
      <c r="P1451" s="328">
        <f>'Siegert 2011'!P26</f>
        <v>27.189459332521601</v>
      </c>
      <c r="Q1451" s="301" t="b">
        <v>1</v>
      </c>
      <c r="R1451" s="304" t="s">
        <v>1278</v>
      </c>
      <c r="S1451" s="304" t="s">
        <v>141</v>
      </c>
      <c r="T1451" s="304" t="s">
        <v>145</v>
      </c>
      <c r="U1451" s="304" t="s">
        <v>145</v>
      </c>
      <c r="V1451" s="313">
        <v>0.55000000000000004</v>
      </c>
      <c r="W1451" s="313">
        <v>0.55000000000000004</v>
      </c>
      <c r="X1451" s="306" t="s">
        <v>248</v>
      </c>
      <c r="Y1451" s="327" t="s">
        <v>96</v>
      </c>
      <c r="Z1451" s="314" t="s">
        <v>100</v>
      </c>
      <c r="AB1451" s="334" t="s">
        <v>311</v>
      </c>
      <c r="AC1451" s="334" t="s">
        <v>1702</v>
      </c>
      <c r="AD1451" s="326" t="s">
        <v>1717</v>
      </c>
      <c r="AE1451" s="326" t="s">
        <v>1725</v>
      </c>
      <c r="AG1451" s="326" t="s">
        <v>1707</v>
      </c>
      <c r="AH1451" s="326" t="s">
        <v>1714</v>
      </c>
      <c r="AQ1451">
        <v>1134</v>
      </c>
      <c r="AR1451" t="s">
        <v>1463</v>
      </c>
      <c r="AW1451" t="b">
        <v>1</v>
      </c>
      <c r="AX1451" t="b">
        <v>1</v>
      </c>
      <c r="AY1451" t="b">
        <v>1</v>
      </c>
    </row>
    <row r="1452" spans="1:51">
      <c r="A1452" s="277" t="s">
        <v>484</v>
      </c>
      <c r="B1452" s="334" t="s">
        <v>1682</v>
      </c>
      <c r="C1452" s="334">
        <f>'Siegert 2011'!C27</f>
        <v>2.4330365255315201</v>
      </c>
      <c r="D1452" s="301">
        <f>'Siegert 2011'!J27</f>
        <v>50429820.579949059</v>
      </c>
      <c r="E1452" s="301">
        <f>'Siegert 2011'!K27</f>
        <v>790265.33484098851</v>
      </c>
      <c r="G1452" s="301">
        <f>E1452+F1452</f>
        <v>790265.33484098851</v>
      </c>
      <c r="H1452" s="27">
        <f>G1452/D1452</f>
        <v>1.5670595805276348E-2</v>
      </c>
      <c r="I1452" s="301">
        <f>'Siegert 2011'!M27</f>
        <v>100000000</v>
      </c>
      <c r="J1452" s="301">
        <f>'Siegert 2011'!N27</f>
        <v>430671706.76404732</v>
      </c>
      <c r="K1452" s="301">
        <f>I1452+J1452</f>
        <v>530671706.76404732</v>
      </c>
      <c r="M1452" s="27">
        <v>0</v>
      </c>
      <c r="N1452" s="27">
        <f>J1452/K1452</f>
        <v>0.81155957868983764</v>
      </c>
      <c r="O1452" s="304" t="s">
        <v>71</v>
      </c>
      <c r="P1452" s="328">
        <f>'Siegert 2011'!P27</f>
        <v>26.346880799624198</v>
      </c>
      <c r="Q1452" s="301" t="b">
        <v>1</v>
      </c>
      <c r="R1452" s="304" t="s">
        <v>1278</v>
      </c>
      <c r="S1452" s="304" t="s">
        <v>141</v>
      </c>
      <c r="T1452" s="304" t="s">
        <v>145</v>
      </c>
      <c r="U1452" s="304" t="s">
        <v>145</v>
      </c>
      <c r="V1452" s="313">
        <v>0.55000000000000004</v>
      </c>
      <c r="W1452" s="313">
        <v>0.55000000000000004</v>
      </c>
      <c r="X1452" s="306" t="s">
        <v>248</v>
      </c>
      <c r="Y1452" s="327" t="s">
        <v>96</v>
      </c>
      <c r="Z1452" s="314" t="s">
        <v>100</v>
      </c>
      <c r="AB1452" s="334" t="s">
        <v>311</v>
      </c>
      <c r="AC1452" s="334" t="s">
        <v>1702</v>
      </c>
      <c r="AD1452" s="326" t="s">
        <v>1717</v>
      </c>
      <c r="AE1452" s="326" t="s">
        <v>1725</v>
      </c>
      <c r="AG1452" s="326" t="s">
        <v>1707</v>
      </c>
      <c r="AH1452" s="326" t="s">
        <v>1714</v>
      </c>
      <c r="AQ1452">
        <v>1134</v>
      </c>
      <c r="AR1452" t="s">
        <v>1463</v>
      </c>
      <c r="AW1452" t="b">
        <v>1</v>
      </c>
      <c r="AX1452" t="b">
        <v>1</v>
      </c>
      <c r="AY1452" t="b">
        <v>1</v>
      </c>
    </row>
    <row r="1453" spans="1:51">
      <c r="A1453" s="277" t="s">
        <v>484</v>
      </c>
      <c r="B1453" s="334" t="s">
        <v>1682</v>
      </c>
      <c r="C1453" s="334">
        <f>'Siegert 2011'!C28</f>
        <v>3.0404022048579495</v>
      </c>
      <c r="D1453" s="301">
        <f>'Siegert 2011'!J28</f>
        <v>185609826.64953527</v>
      </c>
      <c r="E1453" s="301">
        <f>'Siegert 2011'!K28</f>
        <v>799132.46357872616</v>
      </c>
      <c r="G1453" s="301">
        <f>E1453+F1453</f>
        <v>799132.46357872616</v>
      </c>
      <c r="H1453" s="27">
        <f>G1453/D1453</f>
        <v>4.305442648182803E-3</v>
      </c>
      <c r="M1453" s="27">
        <v>0</v>
      </c>
      <c r="O1453" s="304" t="s">
        <v>71</v>
      </c>
      <c r="P1453" s="328">
        <f>'Siegert 2011'!P28</f>
        <v>26.855309776883999</v>
      </c>
      <c r="Q1453" s="301" t="b">
        <v>1</v>
      </c>
      <c r="R1453" s="304" t="s">
        <v>1278</v>
      </c>
      <c r="S1453" s="304" t="s">
        <v>141</v>
      </c>
      <c r="T1453" s="304" t="s">
        <v>145</v>
      </c>
      <c r="U1453" s="304" t="s">
        <v>145</v>
      </c>
      <c r="V1453" s="313">
        <v>0.55000000000000004</v>
      </c>
      <c r="W1453" s="313">
        <v>0.55000000000000004</v>
      </c>
      <c r="X1453" s="306" t="s">
        <v>248</v>
      </c>
      <c r="Y1453" s="327" t="s">
        <v>96</v>
      </c>
      <c r="Z1453" s="314" t="s">
        <v>100</v>
      </c>
      <c r="AB1453" s="334" t="s">
        <v>311</v>
      </c>
      <c r="AC1453" s="334" t="s">
        <v>1702</v>
      </c>
      <c r="AQ1453">
        <v>1134</v>
      </c>
      <c r="AR1453" t="s">
        <v>1463</v>
      </c>
    </row>
    <row r="1454" spans="1:51">
      <c r="A1454" s="277" t="s">
        <v>484</v>
      </c>
      <c r="B1454" s="334" t="s">
        <v>1682</v>
      </c>
      <c r="C1454" s="334">
        <f>'Siegert 2011'!C29</f>
        <v>3.3364225573929298</v>
      </c>
      <c r="D1454" s="301">
        <f>'Siegert 2011'!J29</f>
        <v>29250250.239868872</v>
      </c>
      <c r="I1454" s="301">
        <f>'Siegert 2011'!M29</f>
        <v>407151554.77896404</v>
      </c>
      <c r="J1454" s="301">
        <f>'Siegert 2011'!N29</f>
        <v>274804848.08533287</v>
      </c>
      <c r="K1454" s="301">
        <f>I1454+J1454</f>
        <v>681956402.86429691</v>
      </c>
      <c r="N1454" s="27">
        <f>J1454/K1454</f>
        <v>0.40296541968243171</v>
      </c>
      <c r="O1454" s="304"/>
      <c r="P1454" s="328">
        <f>'Siegert 2011'!P29</f>
        <v>26.932828096286801</v>
      </c>
      <c r="R1454" s="304" t="s">
        <v>1278</v>
      </c>
      <c r="S1454" s="304" t="s">
        <v>141</v>
      </c>
      <c r="T1454" s="304" t="s">
        <v>145</v>
      </c>
      <c r="U1454" s="304" t="s">
        <v>145</v>
      </c>
      <c r="V1454" s="334"/>
      <c r="W1454" s="334"/>
      <c r="X1454" s="334"/>
      <c r="Y1454" s="327"/>
      <c r="Z1454" s="334"/>
      <c r="AD1454" s="326" t="s">
        <v>1717</v>
      </c>
      <c r="AE1454" s="326" t="s">
        <v>1725</v>
      </c>
      <c r="AG1454" s="326" t="s">
        <v>1707</v>
      </c>
      <c r="AH1454" s="326" t="s">
        <v>1714</v>
      </c>
      <c r="AR1454" t="s">
        <v>1463</v>
      </c>
      <c r="AW1454" t="b">
        <v>1</v>
      </c>
      <c r="AX1454" t="b">
        <v>1</v>
      </c>
      <c r="AY1454" t="b">
        <v>1</v>
      </c>
    </row>
    <row r="1455" spans="1:51">
      <c r="A1455" s="277" t="s">
        <v>1738</v>
      </c>
      <c r="B1455" s="334" t="s">
        <v>107</v>
      </c>
      <c r="C1455" s="334">
        <f>'This study'!B6</f>
        <v>1.4999999999999999E-2</v>
      </c>
      <c r="D1455" s="301">
        <f>'This study'!C6</f>
        <v>5631541218.63799</v>
      </c>
      <c r="E1455" s="301">
        <f>'This study'!D6</f>
        <v>1114979166.6666701</v>
      </c>
      <c r="F1455" s="301">
        <f>'This study'!E6</f>
        <v>1140552083.3333299</v>
      </c>
      <c r="G1455" s="301">
        <f>E1455+F1455</f>
        <v>2255531250</v>
      </c>
      <c r="H1455" s="27">
        <f>G1455/D1455</f>
        <v>0.40051757812500022</v>
      </c>
      <c r="M1455" s="27">
        <f>F1455/G1455</f>
        <v>0.5056689342403613</v>
      </c>
      <c r="O1455" s="304" t="s">
        <v>440</v>
      </c>
      <c r="P1455" s="328">
        <f>'This study'!F6</f>
        <v>6.0681776999999997</v>
      </c>
      <c r="R1455" s="304" t="s">
        <v>460</v>
      </c>
      <c r="S1455" s="304" t="s">
        <v>141</v>
      </c>
      <c r="T1455" s="304" t="s">
        <v>145</v>
      </c>
      <c r="U1455" s="304" t="s">
        <v>147</v>
      </c>
      <c r="V1455" s="313">
        <v>0.55000000000000004</v>
      </c>
      <c r="W1455" s="313">
        <v>0.55000000000000004</v>
      </c>
      <c r="X1455" s="306" t="s">
        <v>114</v>
      </c>
      <c r="Y1455" s="306" t="s">
        <v>260</v>
      </c>
      <c r="Z1455" s="314" t="s">
        <v>100</v>
      </c>
      <c r="AB1455" s="334" t="s">
        <v>1739</v>
      </c>
      <c r="AC1455" s="334" t="s">
        <v>1702</v>
      </c>
      <c r="AQ1455">
        <v>1.5</v>
      </c>
      <c r="AS1455" t="b">
        <v>1</v>
      </c>
    </row>
    <row r="1456" spans="1:51">
      <c r="A1456" s="277" t="s">
        <v>1738</v>
      </c>
      <c r="B1456" s="334" t="s">
        <v>107</v>
      </c>
      <c r="C1456" s="334">
        <f>'This study'!B7</f>
        <v>4.4999999999999998E-2</v>
      </c>
      <c r="D1456" s="301">
        <f>'This study'!C7</f>
        <v>2286218750</v>
      </c>
      <c r="E1456" s="301">
        <f>'This study'!D7</f>
        <v>506343750</v>
      </c>
      <c r="F1456" s="301">
        <f>'This study'!E7</f>
        <v>854135416.66666698</v>
      </c>
      <c r="G1456" s="301">
        <f>E1456+F1456</f>
        <v>1360479166.666667</v>
      </c>
      <c r="H1456" s="27">
        <f>G1456/D1456</f>
        <v>0.59507829977628646</v>
      </c>
      <c r="M1456" s="27">
        <f>F1456/G1456</f>
        <v>0.6278195488721805</v>
      </c>
      <c r="O1456" s="304" t="s">
        <v>440</v>
      </c>
      <c r="P1456" s="328">
        <f>'This study'!F7</f>
        <v>6.0808878000000002</v>
      </c>
      <c r="R1456" s="304" t="s">
        <v>460</v>
      </c>
      <c r="S1456" s="304" t="s">
        <v>141</v>
      </c>
      <c r="T1456" s="304" t="s">
        <v>145</v>
      </c>
      <c r="U1456" s="304" t="s">
        <v>147</v>
      </c>
      <c r="V1456" s="313">
        <v>0.55000000000000004</v>
      </c>
      <c r="W1456" s="313">
        <v>0.55000000000000004</v>
      </c>
      <c r="X1456" s="306" t="s">
        <v>114</v>
      </c>
      <c r="Y1456" s="306" t="s">
        <v>260</v>
      </c>
      <c r="Z1456" s="314" t="s">
        <v>100</v>
      </c>
      <c r="AB1456" s="334" t="s">
        <v>1739</v>
      </c>
      <c r="AC1456" s="334" t="s">
        <v>1702</v>
      </c>
      <c r="AQ1456">
        <v>1.5</v>
      </c>
      <c r="AS1456" t="b">
        <v>1</v>
      </c>
    </row>
    <row r="1457" spans="1:45">
      <c r="A1457" s="277" t="s">
        <v>1738</v>
      </c>
      <c r="B1457" s="334" t="s">
        <v>107</v>
      </c>
      <c r="C1457" s="334">
        <f>'This study'!B8</f>
        <v>7.4999999999999997E-2</v>
      </c>
      <c r="D1457" s="301">
        <f>'This study'!C8</f>
        <v>1278645833.3333299</v>
      </c>
      <c r="E1457" s="301">
        <f>'This study'!D8</f>
        <v>818333333.33333302</v>
      </c>
      <c r="F1457" s="301">
        <f>'This study'!E8</f>
        <v>685354166.66666698</v>
      </c>
      <c r="G1457" s="301">
        <f>E1457+F1457</f>
        <v>1503687500</v>
      </c>
      <c r="H1457" s="27">
        <f>G1457/E1457</f>
        <v>1.8375000000000008</v>
      </c>
      <c r="M1457" s="27">
        <f>F1457/G1457</f>
        <v>0.4557823129251703</v>
      </c>
      <c r="O1457" s="304" t="s">
        <v>440</v>
      </c>
      <c r="P1457" s="328">
        <f>'This study'!F8</f>
        <v>5.3470830999999999</v>
      </c>
      <c r="R1457" s="304" t="s">
        <v>460</v>
      </c>
      <c r="S1457" s="304" t="s">
        <v>141</v>
      </c>
      <c r="T1457" s="304" t="s">
        <v>145</v>
      </c>
      <c r="U1457" s="304" t="s">
        <v>147</v>
      </c>
      <c r="V1457" s="313">
        <v>0.55000000000000004</v>
      </c>
      <c r="W1457" s="313">
        <v>0.55000000000000004</v>
      </c>
      <c r="X1457" s="306" t="s">
        <v>114</v>
      </c>
      <c r="Y1457" s="306" t="s">
        <v>260</v>
      </c>
      <c r="Z1457" s="314" t="s">
        <v>100</v>
      </c>
      <c r="AB1457" s="334" t="s">
        <v>1739</v>
      </c>
      <c r="AC1457" s="334" t="s">
        <v>1702</v>
      </c>
      <c r="AQ1457">
        <v>1.5</v>
      </c>
      <c r="AS1457" t="b">
        <v>1</v>
      </c>
    </row>
    <row r="1458" spans="1:45">
      <c r="A1458" s="277" t="s">
        <v>1738</v>
      </c>
      <c r="B1458" s="334" t="s">
        <v>107</v>
      </c>
      <c r="C1458" s="334">
        <f>'This study'!B9</f>
        <v>0.105</v>
      </c>
      <c r="D1458" s="301">
        <f>'This study'!C9</f>
        <v>1462770833.3333299</v>
      </c>
      <c r="E1458" s="301">
        <f>'This study'!D9</f>
        <v>623979166.66666698</v>
      </c>
      <c r="F1458" s="301">
        <f>'This study'!E9</f>
        <v>567718750</v>
      </c>
      <c r="G1458" s="301">
        <f>E1458+F1458</f>
        <v>1191697916.666667</v>
      </c>
      <c r="H1458" s="27">
        <f>G1458/E1458</f>
        <v>1.9098360655737701</v>
      </c>
      <c r="M1458" s="27">
        <f>F1458/G1458</f>
        <v>0.47639484978540758</v>
      </c>
      <c r="O1458" s="304" t="s">
        <v>440</v>
      </c>
      <c r="P1458" s="328">
        <f>'This study'!F9</f>
        <v>5.8016323999999999</v>
      </c>
      <c r="R1458" s="304" t="s">
        <v>460</v>
      </c>
      <c r="S1458" s="304" t="s">
        <v>141</v>
      </c>
      <c r="T1458" s="304" t="s">
        <v>145</v>
      </c>
      <c r="U1458" s="304" t="s">
        <v>147</v>
      </c>
      <c r="V1458" s="313">
        <v>0.55000000000000004</v>
      </c>
      <c r="W1458" s="313">
        <v>0.55000000000000004</v>
      </c>
      <c r="X1458" s="306" t="s">
        <v>114</v>
      </c>
      <c r="Y1458" s="306" t="s">
        <v>260</v>
      </c>
      <c r="Z1458" s="314" t="s">
        <v>100</v>
      </c>
      <c r="AB1458" s="334" t="s">
        <v>1739</v>
      </c>
      <c r="AC1458" s="334" t="s">
        <v>1702</v>
      </c>
      <c r="AQ1458">
        <v>1.5</v>
      </c>
      <c r="AS1458" t="b">
        <v>1</v>
      </c>
    </row>
    <row r="1459" spans="1:45">
      <c r="A1459" s="277" t="s">
        <v>1738</v>
      </c>
      <c r="B1459" s="334" t="s">
        <v>107</v>
      </c>
      <c r="C1459" s="334">
        <f>'This study'!B10</f>
        <v>0.13500000000000001</v>
      </c>
      <c r="D1459" s="301">
        <f>'This study'!C10</f>
        <v>1242843750</v>
      </c>
      <c r="E1459" s="301">
        <f>'This study'!D10</f>
        <v>491000000</v>
      </c>
      <c r="F1459" s="301">
        <f>'This study'!E10</f>
        <v>327333333.33333302</v>
      </c>
      <c r="G1459" s="301">
        <f>E1459+F1459</f>
        <v>818333333.33333302</v>
      </c>
      <c r="H1459" s="27">
        <f>G1459/D1459</f>
        <v>0.65843621399176933</v>
      </c>
      <c r="M1459" s="27">
        <f>F1459/G1459</f>
        <v>0.39999999999999974</v>
      </c>
      <c r="O1459" s="304" t="s">
        <v>440</v>
      </c>
      <c r="P1459" s="328">
        <f>'This study'!F10</f>
        <v>5.8307877000000001</v>
      </c>
      <c r="R1459" s="304" t="s">
        <v>460</v>
      </c>
      <c r="S1459" s="304" t="s">
        <v>141</v>
      </c>
      <c r="T1459" s="304" t="s">
        <v>145</v>
      </c>
      <c r="U1459" s="304" t="s">
        <v>147</v>
      </c>
      <c r="V1459" s="313">
        <v>0.55000000000000004</v>
      </c>
      <c r="W1459" s="313">
        <v>0.55000000000000004</v>
      </c>
      <c r="X1459" s="306" t="s">
        <v>114</v>
      </c>
      <c r="Y1459" s="306" t="s">
        <v>260</v>
      </c>
      <c r="Z1459" s="314" t="s">
        <v>100</v>
      </c>
      <c r="AB1459" s="334" t="s">
        <v>1739</v>
      </c>
      <c r="AC1459" s="334" t="s">
        <v>1702</v>
      </c>
      <c r="AQ1459">
        <v>1.5</v>
      </c>
      <c r="AS1459" t="b">
        <v>1</v>
      </c>
    </row>
    <row r="1460" spans="1:45">
      <c r="A1460" s="277" t="s">
        <v>1738</v>
      </c>
      <c r="B1460" s="334" t="s">
        <v>107</v>
      </c>
      <c r="C1460" s="334">
        <f>'This study'!B11</f>
        <v>0.16500000000000001</v>
      </c>
      <c r="D1460" s="301">
        <f>'This study'!C11</f>
        <v>1002458333.33333</v>
      </c>
      <c r="E1460" s="301">
        <f>'This study'!D11</f>
        <v>577947916.66666698</v>
      </c>
      <c r="F1460" s="301">
        <f>'This study'!E11</f>
        <v>644437500</v>
      </c>
      <c r="G1460" s="301">
        <f>E1460+F1460</f>
        <v>1222385416.666667</v>
      </c>
      <c r="H1460" s="27">
        <f>G1460/D1460</f>
        <v>1.2193877551020451</v>
      </c>
      <c r="M1460" s="27">
        <f>F1460/G1460</f>
        <v>0.52719665271966509</v>
      </c>
      <c r="O1460" s="304" t="s">
        <v>440</v>
      </c>
      <c r="P1460" s="328">
        <f>'This study'!F11</f>
        <v>4.7050495000000003</v>
      </c>
      <c r="R1460" s="304" t="s">
        <v>460</v>
      </c>
      <c r="S1460" s="304" t="s">
        <v>141</v>
      </c>
      <c r="T1460" s="304" t="s">
        <v>145</v>
      </c>
      <c r="U1460" s="304" t="s">
        <v>147</v>
      </c>
      <c r="V1460" s="313">
        <v>0.55000000000000004</v>
      </c>
      <c r="W1460" s="313">
        <v>0.55000000000000004</v>
      </c>
      <c r="X1460" s="306" t="s">
        <v>114</v>
      </c>
      <c r="Y1460" s="306" t="s">
        <v>260</v>
      </c>
      <c r="Z1460" s="314" t="s">
        <v>100</v>
      </c>
      <c r="AB1460" s="334" t="s">
        <v>1739</v>
      </c>
      <c r="AC1460" s="334" t="s">
        <v>1702</v>
      </c>
      <c r="AQ1460">
        <v>1.5</v>
      </c>
      <c r="AS1460" t="b">
        <v>1</v>
      </c>
    </row>
    <row r="1461" spans="1:45">
      <c r="A1461" s="277" t="s">
        <v>1738</v>
      </c>
      <c r="B1461" s="334" t="s">
        <v>107</v>
      </c>
      <c r="C1461" s="334">
        <f>'This study'!B12</f>
        <v>0.19500000000000001</v>
      </c>
      <c r="D1461" s="301">
        <f>'This study'!C12</f>
        <v>1048489583.33333</v>
      </c>
      <c r="E1461" s="301">
        <f>'This study'!D12</f>
        <v>475656250</v>
      </c>
      <c r="F1461" s="301">
        <f>'This study'!E12</f>
        <v>424510416.66666698</v>
      </c>
      <c r="G1461" s="301">
        <f>E1461+F1461</f>
        <v>900166666.66666698</v>
      </c>
      <c r="H1461" s="27">
        <f>G1461/D1461</f>
        <v>0.85853658536585664</v>
      </c>
      <c r="M1461" s="27">
        <f>F1461/G1461</f>
        <v>0.47159090909090928</v>
      </c>
      <c r="O1461" s="304" t="s">
        <v>440</v>
      </c>
      <c r="P1461" s="328">
        <f>'This study'!F12</f>
        <v>4.5960035000000001</v>
      </c>
      <c r="R1461" s="304" t="s">
        <v>460</v>
      </c>
      <c r="S1461" s="304" t="s">
        <v>141</v>
      </c>
      <c r="T1461" s="304" t="s">
        <v>145</v>
      </c>
      <c r="U1461" s="304" t="s">
        <v>147</v>
      </c>
      <c r="V1461" s="313">
        <v>0.55000000000000004</v>
      </c>
      <c r="W1461" s="313">
        <v>0.55000000000000004</v>
      </c>
      <c r="X1461" s="306" t="s">
        <v>114</v>
      </c>
      <c r="Y1461" s="306" t="s">
        <v>260</v>
      </c>
      <c r="Z1461" s="314" t="s">
        <v>100</v>
      </c>
      <c r="AB1461" s="334" t="s">
        <v>1739</v>
      </c>
      <c r="AC1461" s="334" t="s">
        <v>1702</v>
      </c>
      <c r="AQ1461">
        <v>1.5</v>
      </c>
      <c r="AS1461" t="b">
        <v>1</v>
      </c>
    </row>
    <row r="1462" spans="1:45">
      <c r="A1462" s="277" t="s">
        <v>1738</v>
      </c>
      <c r="B1462" s="334" t="s">
        <v>107</v>
      </c>
      <c r="C1462" s="334">
        <f>'This study'!B13</f>
        <v>0.22500000000000001</v>
      </c>
      <c r="D1462" s="301">
        <f>'This study'!C13</f>
        <v>1012687500</v>
      </c>
      <c r="E1462" s="301">
        <f>'This study'!D13</f>
        <v>358020833.33333302</v>
      </c>
      <c r="F1462" s="301">
        <f>'This study'!E13</f>
        <v>567718750</v>
      </c>
      <c r="G1462" s="301">
        <f>E1462+F1462</f>
        <v>925739583.33333302</v>
      </c>
      <c r="H1462" s="27">
        <f>G1462/D1462</f>
        <v>0.91414141414141381</v>
      </c>
      <c r="M1462" s="27">
        <f>F1462/G1462</f>
        <v>0.6132596685082875</v>
      </c>
      <c r="O1462" s="304" t="s">
        <v>440</v>
      </c>
      <c r="P1462" s="328">
        <f>'This study'!F13</f>
        <v>4.0674777000000004</v>
      </c>
      <c r="R1462" s="304" t="s">
        <v>460</v>
      </c>
      <c r="S1462" s="304" t="s">
        <v>141</v>
      </c>
      <c r="T1462" s="304" t="s">
        <v>145</v>
      </c>
      <c r="U1462" s="304" t="s">
        <v>147</v>
      </c>
      <c r="V1462" s="313">
        <v>0.55000000000000004</v>
      </c>
      <c r="W1462" s="313">
        <v>0.55000000000000004</v>
      </c>
      <c r="X1462" s="306" t="s">
        <v>114</v>
      </c>
      <c r="Y1462" s="306" t="s">
        <v>260</v>
      </c>
      <c r="Z1462" s="314" t="s">
        <v>100</v>
      </c>
      <c r="AB1462" s="334" t="s">
        <v>1739</v>
      </c>
      <c r="AC1462" s="334" t="s">
        <v>1702</v>
      </c>
      <c r="AQ1462">
        <v>1.5</v>
      </c>
      <c r="AS1462" t="b">
        <v>1</v>
      </c>
    </row>
    <row r="1463" spans="1:45">
      <c r="A1463" s="277" t="s">
        <v>1738</v>
      </c>
      <c r="B1463" s="334" t="s">
        <v>107</v>
      </c>
      <c r="C1463" s="334">
        <f>'This study'!B14</f>
        <v>0.255</v>
      </c>
      <c r="D1463" s="301">
        <f>'This study'!C14</f>
        <v>859250000</v>
      </c>
      <c r="E1463" s="301">
        <f>'This study'!D14</f>
        <v>378479166.66666698</v>
      </c>
      <c r="F1463" s="301">
        <f>'This study'!E14</f>
        <v>414281250</v>
      </c>
      <c r="G1463" s="301">
        <f>E1463+F1463</f>
        <v>792760416.66666698</v>
      </c>
      <c r="H1463" s="27">
        <f>G1463/D1463</f>
        <v>0.922619047619048</v>
      </c>
      <c r="M1463" s="27">
        <f>F1463/G1463</f>
        <v>0.5225806451612901</v>
      </c>
      <c r="O1463" s="304" t="s">
        <v>440</v>
      </c>
      <c r="P1463" s="328">
        <f>'This study'!F14</f>
        <v>3.6536523999999999</v>
      </c>
      <c r="R1463" s="304" t="s">
        <v>460</v>
      </c>
      <c r="S1463" s="304" t="s">
        <v>141</v>
      </c>
      <c r="T1463" s="304" t="s">
        <v>145</v>
      </c>
      <c r="U1463" s="304" t="s">
        <v>147</v>
      </c>
      <c r="V1463" s="313">
        <v>0.55000000000000004</v>
      </c>
      <c r="W1463" s="313">
        <v>0.55000000000000004</v>
      </c>
      <c r="X1463" s="306" t="s">
        <v>114</v>
      </c>
      <c r="Y1463" s="306" t="s">
        <v>260</v>
      </c>
      <c r="Z1463" s="314" t="s">
        <v>100</v>
      </c>
      <c r="AB1463" s="334" t="s">
        <v>1739</v>
      </c>
      <c r="AC1463" s="334" t="s">
        <v>1702</v>
      </c>
      <c r="AQ1463">
        <v>1.5</v>
      </c>
      <c r="AS1463" t="b">
        <v>1</v>
      </c>
    </row>
    <row r="1464" spans="1:45">
      <c r="A1464" s="277" t="s">
        <v>1738</v>
      </c>
      <c r="B1464" s="334" t="s">
        <v>107</v>
      </c>
      <c r="C1464" s="334">
        <f>'This study'!B15</f>
        <v>0.315</v>
      </c>
      <c r="D1464" s="301">
        <f>'This study'!C15</f>
        <v>716041666.66666698</v>
      </c>
      <c r="E1464" s="301">
        <f>'This study'!D15</f>
        <v>424510416.66666698</v>
      </c>
      <c r="F1464" s="301">
        <f>'This study'!E15</f>
        <v>352906250</v>
      </c>
      <c r="G1464" s="301">
        <f>E1464+F1464</f>
        <v>777416666.66666698</v>
      </c>
      <c r="H1464" s="27">
        <f>G1464/D1464</f>
        <v>1.0857142857142856</v>
      </c>
      <c r="M1464" s="27">
        <f>F1464/G1464</f>
        <v>0.45394736842105243</v>
      </c>
      <c r="O1464" s="304" t="s">
        <v>440</v>
      </c>
      <c r="P1464" s="328">
        <f>'This study'!F15</f>
        <v>2.8966067</v>
      </c>
      <c r="R1464" s="304" t="s">
        <v>460</v>
      </c>
      <c r="S1464" s="304" t="s">
        <v>141</v>
      </c>
      <c r="T1464" s="304" t="s">
        <v>145</v>
      </c>
      <c r="U1464" s="304" t="s">
        <v>147</v>
      </c>
      <c r="V1464" s="313">
        <v>0.55000000000000004</v>
      </c>
      <c r="W1464" s="313">
        <v>0.55000000000000004</v>
      </c>
      <c r="X1464" s="306" t="s">
        <v>114</v>
      </c>
      <c r="Y1464" s="306" t="s">
        <v>260</v>
      </c>
      <c r="Z1464" s="314" t="s">
        <v>100</v>
      </c>
      <c r="AB1464" s="334" t="s">
        <v>1739</v>
      </c>
      <c r="AC1464" s="334" t="s">
        <v>1702</v>
      </c>
      <c r="AQ1464">
        <v>1.5</v>
      </c>
      <c r="AS1464" t="b">
        <v>1</v>
      </c>
    </row>
    <row r="1465" spans="1:45">
      <c r="A1465" s="277" t="s">
        <v>1738</v>
      </c>
      <c r="B1465" s="334" t="s">
        <v>107</v>
      </c>
      <c r="C1465" s="334">
        <f>'This study'!B16</f>
        <v>0.34499999999999997</v>
      </c>
      <c r="D1465" s="301">
        <f>'This study'!C16</f>
        <v>716041666.66666698</v>
      </c>
      <c r="E1465" s="301">
        <f>'This study'!D16</f>
        <v>577947916.66666698</v>
      </c>
      <c r="F1465" s="301">
        <f>'This study'!E16</f>
        <v>465427083.33333302</v>
      </c>
      <c r="G1465" s="301">
        <f>E1465+F1465</f>
        <v>1043375000</v>
      </c>
      <c r="H1465" s="27">
        <f>G1465/D1465</f>
        <v>1.4571428571428564</v>
      </c>
      <c r="M1465" s="27">
        <f>F1465/G1465</f>
        <v>0.44607843137254871</v>
      </c>
      <c r="O1465" s="304" t="s">
        <v>440</v>
      </c>
      <c r="P1465" s="328">
        <f>'This study'!F16</f>
        <v>2.4057955999999998</v>
      </c>
      <c r="R1465" s="304" t="s">
        <v>460</v>
      </c>
      <c r="S1465" s="304" t="s">
        <v>141</v>
      </c>
      <c r="T1465" s="304" t="s">
        <v>145</v>
      </c>
      <c r="U1465" s="304" t="s">
        <v>147</v>
      </c>
      <c r="V1465" s="313">
        <v>0.55000000000000004</v>
      </c>
      <c r="W1465" s="313">
        <v>0.55000000000000004</v>
      </c>
      <c r="X1465" s="306" t="s">
        <v>114</v>
      </c>
      <c r="Y1465" s="306" t="s">
        <v>260</v>
      </c>
      <c r="Z1465" s="314" t="s">
        <v>100</v>
      </c>
      <c r="AB1465" s="334" t="s">
        <v>1739</v>
      </c>
      <c r="AC1465" s="334" t="s">
        <v>1702</v>
      </c>
      <c r="AQ1465">
        <v>1.5</v>
      </c>
      <c r="AS1465" t="b">
        <v>1</v>
      </c>
    </row>
    <row r="1466" spans="1:45">
      <c r="A1466" s="277" t="s">
        <v>1738</v>
      </c>
      <c r="B1466" s="334" t="s">
        <v>107</v>
      </c>
      <c r="C1466" s="334">
        <f>'This study'!B17</f>
        <v>0.375</v>
      </c>
      <c r="D1466" s="301">
        <f>'This study'!C17</f>
        <v>966656250</v>
      </c>
      <c r="E1466" s="301">
        <f>'This study'!D17</f>
        <v>491000000</v>
      </c>
      <c r="F1466" s="301">
        <f>'This study'!E17</f>
        <v>629093750</v>
      </c>
      <c r="G1466" s="301">
        <f>E1466+F1466</f>
        <v>1120093750</v>
      </c>
      <c r="H1466" s="27">
        <f>G1466/D1466</f>
        <v>1.1587301587301588</v>
      </c>
      <c r="M1466" s="27">
        <f>F1466/G1466</f>
        <v>0.56164383561643838</v>
      </c>
      <c r="O1466" s="304" t="s">
        <v>440</v>
      </c>
      <c r="P1466" s="328">
        <f>'This study'!F17</f>
        <v>1.8088952</v>
      </c>
      <c r="R1466" s="304" t="s">
        <v>460</v>
      </c>
      <c r="S1466" s="304" t="s">
        <v>141</v>
      </c>
      <c r="T1466" s="304" t="s">
        <v>145</v>
      </c>
      <c r="U1466" s="304" t="s">
        <v>147</v>
      </c>
      <c r="V1466" s="313">
        <v>0.55000000000000004</v>
      </c>
      <c r="W1466" s="313">
        <v>0.55000000000000004</v>
      </c>
      <c r="X1466" s="306" t="s">
        <v>114</v>
      </c>
      <c r="Y1466" s="306" t="s">
        <v>260</v>
      </c>
      <c r="Z1466" s="314" t="s">
        <v>100</v>
      </c>
      <c r="AB1466" s="334" t="s">
        <v>1739</v>
      </c>
      <c r="AC1466" s="334" t="s">
        <v>1702</v>
      </c>
      <c r="AQ1466">
        <v>1.5</v>
      </c>
      <c r="AS1466" t="b">
        <v>1</v>
      </c>
    </row>
    <row r="1467" spans="1:45">
      <c r="A1467" s="277" t="s">
        <v>1738</v>
      </c>
      <c r="B1467" s="334" t="s">
        <v>107</v>
      </c>
      <c r="C1467" s="334">
        <f>'This study'!B18</f>
        <v>0.40500000000000003</v>
      </c>
      <c r="D1467" s="301">
        <f>'This study'!C18</f>
        <v>690468750</v>
      </c>
      <c r="E1467" s="301">
        <f>'This study'!D18</f>
        <v>439854166.66666698</v>
      </c>
      <c r="F1467" s="301">
        <f>'This study'!E18</f>
        <v>521687500</v>
      </c>
      <c r="G1467" s="301">
        <f>E1467+F1467</f>
        <v>961541666.66666698</v>
      </c>
      <c r="H1467" s="27">
        <f>G1467/D1467</f>
        <v>1.392592592592593</v>
      </c>
      <c r="M1467" s="27">
        <f>F1467/G1467</f>
        <v>0.54255319148936154</v>
      </c>
      <c r="O1467" s="304" t="s">
        <v>440</v>
      </c>
      <c r="P1467" s="328">
        <f>'This study'!F18</f>
        <v>1.3083309999999999</v>
      </c>
      <c r="R1467" s="304" t="s">
        <v>460</v>
      </c>
      <c r="S1467" s="304" t="s">
        <v>141</v>
      </c>
      <c r="T1467" s="304" t="s">
        <v>145</v>
      </c>
      <c r="U1467" s="304" t="s">
        <v>147</v>
      </c>
      <c r="V1467" s="313">
        <v>0.55000000000000004</v>
      </c>
      <c r="W1467" s="313">
        <v>0.55000000000000004</v>
      </c>
      <c r="X1467" s="306" t="s">
        <v>114</v>
      </c>
      <c r="Y1467" s="306" t="s">
        <v>260</v>
      </c>
      <c r="Z1467" s="314" t="s">
        <v>100</v>
      </c>
      <c r="AB1467" s="334" t="s">
        <v>1739</v>
      </c>
      <c r="AC1467" s="334" t="s">
        <v>1702</v>
      </c>
      <c r="AQ1467">
        <v>1.5</v>
      </c>
      <c r="AS1467" t="b">
        <v>1</v>
      </c>
    </row>
    <row r="1468" spans="1:45">
      <c r="A1468" s="277" t="s">
        <v>1738</v>
      </c>
      <c r="B1468" s="334" t="s">
        <v>107</v>
      </c>
      <c r="C1468" s="334">
        <f>'This study'!B19</f>
        <v>0.435</v>
      </c>
      <c r="D1468" s="301">
        <f>'This study'!C19</f>
        <v>649552083.33333302</v>
      </c>
      <c r="E1468" s="301">
        <f>'This study'!D19</f>
        <v>373364583.33333302</v>
      </c>
      <c r="F1468" s="301">
        <f>'This study'!E19</f>
        <v>311989583.33333302</v>
      </c>
      <c r="G1468" s="301">
        <f>E1468+F1468</f>
        <v>685354166.66666603</v>
      </c>
      <c r="H1468" s="27">
        <f>G1468/D1468</f>
        <v>1.0551181102362199</v>
      </c>
      <c r="M1468" s="27">
        <f>F1468/G1468</f>
        <v>0.45522388059701491</v>
      </c>
      <c r="O1468" s="304" t="s">
        <v>440</v>
      </c>
      <c r="P1468" s="328">
        <f>'This study'!F19</f>
        <v>0.91219592000000005</v>
      </c>
      <c r="R1468" s="304" t="s">
        <v>460</v>
      </c>
      <c r="S1468" s="304" t="s">
        <v>141</v>
      </c>
      <c r="T1468" s="304" t="s">
        <v>145</v>
      </c>
      <c r="U1468" s="304" t="s">
        <v>147</v>
      </c>
      <c r="V1468" s="313">
        <v>0.55000000000000004</v>
      </c>
      <c r="W1468" s="313">
        <v>0.55000000000000004</v>
      </c>
      <c r="X1468" s="306" t="s">
        <v>114</v>
      </c>
      <c r="Y1468" s="306" t="s">
        <v>260</v>
      </c>
      <c r="Z1468" s="314" t="s">
        <v>100</v>
      </c>
      <c r="AB1468" s="334" t="s">
        <v>1739</v>
      </c>
      <c r="AC1468" s="334" t="s">
        <v>1702</v>
      </c>
      <c r="AQ1468">
        <v>1.5</v>
      </c>
      <c r="AS1468" t="b">
        <v>1</v>
      </c>
    </row>
    <row r="1469" spans="1:45">
      <c r="A1469" s="277" t="s">
        <v>1738</v>
      </c>
      <c r="B1469" s="334" t="s">
        <v>107</v>
      </c>
      <c r="C1469" s="334">
        <f>'This study'!B20</f>
        <v>0.46500000000000002</v>
      </c>
      <c r="D1469" s="301">
        <f>'This study'!C20</f>
        <v>567718750</v>
      </c>
      <c r="E1469" s="301">
        <f>'This study'!D20</f>
        <v>409166666.66666698</v>
      </c>
      <c r="F1469" s="301">
        <f>'This study'!E20</f>
        <v>439854166.66666698</v>
      </c>
      <c r="G1469" s="301">
        <f>E1469+F1469</f>
        <v>849020833.33333397</v>
      </c>
      <c r="H1469" s="27">
        <f>G1469/D1469</f>
        <v>1.4954954954954967</v>
      </c>
      <c r="M1469" s="27">
        <f>F1469/G1469</f>
        <v>0.51807228915662651</v>
      </c>
      <c r="O1469" s="304" t="s">
        <v>440</v>
      </c>
      <c r="P1469" s="328">
        <f>'This study'!F20</f>
        <v>0.60285157</v>
      </c>
      <c r="R1469" s="304" t="s">
        <v>460</v>
      </c>
      <c r="S1469" s="304" t="s">
        <v>141</v>
      </c>
      <c r="T1469" s="304" t="s">
        <v>145</v>
      </c>
      <c r="U1469" s="304" t="s">
        <v>147</v>
      </c>
      <c r="V1469" s="313">
        <v>0.55000000000000004</v>
      </c>
      <c r="W1469" s="313">
        <v>0.55000000000000004</v>
      </c>
      <c r="X1469" s="306" t="s">
        <v>114</v>
      </c>
      <c r="Y1469" s="306" t="s">
        <v>260</v>
      </c>
      <c r="Z1469" s="314" t="s">
        <v>100</v>
      </c>
      <c r="AB1469" s="334" t="s">
        <v>1739</v>
      </c>
      <c r="AC1469" s="334" t="s">
        <v>1702</v>
      </c>
      <c r="AQ1469">
        <v>1.5</v>
      </c>
      <c r="AS1469" t="b">
        <v>1</v>
      </c>
    </row>
    <row r="1470" spans="1:45">
      <c r="A1470" s="277" t="s">
        <v>1738</v>
      </c>
      <c r="B1470" s="334" t="s">
        <v>107</v>
      </c>
      <c r="C1470" s="334">
        <f>'This study'!B21</f>
        <v>0.495</v>
      </c>
      <c r="D1470" s="301">
        <f>'This study'!C21</f>
        <v>552375000</v>
      </c>
      <c r="E1470" s="301">
        <f>'This study'!D21</f>
        <v>358020833.33333302</v>
      </c>
      <c r="F1470" s="301">
        <f>'This study'!E21</f>
        <v>368250000</v>
      </c>
      <c r="G1470" s="301">
        <f>E1470+F1470</f>
        <v>726270833.33333302</v>
      </c>
      <c r="H1470" s="27">
        <f>G1470/D1470</f>
        <v>1.3148148148148142</v>
      </c>
      <c r="M1470" s="27">
        <f>F1470/G1470</f>
        <v>0.50704225352112697</v>
      </c>
      <c r="O1470" s="304" t="s">
        <v>440</v>
      </c>
      <c r="P1470" s="328">
        <f>'This study'!F21</f>
        <v>0.25039715000000001</v>
      </c>
      <c r="R1470" s="304" t="s">
        <v>460</v>
      </c>
      <c r="S1470" s="319" t="s">
        <v>141</v>
      </c>
      <c r="T1470" s="319" t="s">
        <v>145</v>
      </c>
      <c r="U1470" s="319" t="s">
        <v>147</v>
      </c>
      <c r="V1470" s="313">
        <v>0.55000000000000004</v>
      </c>
      <c r="W1470" s="313">
        <v>0.55000000000000004</v>
      </c>
      <c r="X1470" s="306" t="s">
        <v>114</v>
      </c>
      <c r="Y1470" s="306" t="s">
        <v>260</v>
      </c>
      <c r="Z1470" s="314" t="s">
        <v>100</v>
      </c>
      <c r="AB1470" s="334" t="s">
        <v>1739</v>
      </c>
      <c r="AC1470" s="334" t="s">
        <v>1702</v>
      </c>
      <c r="AQ1470">
        <v>1.5</v>
      </c>
      <c r="AS1470" t="b">
        <v>1</v>
      </c>
    </row>
    <row r="1471" spans="1:45">
      <c r="A1471" s="277" t="s">
        <v>1738</v>
      </c>
      <c r="B1471" s="334" t="s">
        <v>107</v>
      </c>
      <c r="C1471" s="334">
        <f>'This study'!B22</f>
        <v>0.52500000000000002</v>
      </c>
      <c r="D1471" s="301">
        <f>'This study'!C22</f>
        <v>542145833.33333302</v>
      </c>
      <c r="E1471" s="301">
        <f>'This study'!D22</f>
        <v>393822916.66666698</v>
      </c>
      <c r="F1471" s="301">
        <f>'This study'!E22</f>
        <v>414281250</v>
      </c>
      <c r="G1471" s="301">
        <f>E1471+F1471</f>
        <v>808104166.66666698</v>
      </c>
      <c r="H1471" s="27">
        <f>G1471/D1471</f>
        <v>1.4905660377358505</v>
      </c>
      <c r="M1471" s="27">
        <f>F1471/G1471</f>
        <v>0.51265822784810111</v>
      </c>
      <c r="O1471" s="304" t="s">
        <v>440</v>
      </c>
      <c r="P1471" s="328">
        <f>'This study'!F22</f>
        <v>5.9592410899999997E-2</v>
      </c>
      <c r="R1471" s="304" t="s">
        <v>460</v>
      </c>
      <c r="S1471" s="304" t="s">
        <v>141</v>
      </c>
      <c r="T1471" s="304" t="s">
        <v>145</v>
      </c>
      <c r="U1471" s="304" t="s">
        <v>147</v>
      </c>
      <c r="V1471" s="313">
        <v>0.55000000000000004</v>
      </c>
      <c r="W1471" s="313">
        <v>0.55000000000000004</v>
      </c>
      <c r="X1471" s="306" t="s">
        <v>114</v>
      </c>
      <c r="Y1471" s="306" t="s">
        <v>260</v>
      </c>
      <c r="Z1471" s="314" t="s">
        <v>100</v>
      </c>
      <c r="AB1471" s="334" t="s">
        <v>1739</v>
      </c>
      <c r="AC1471" s="334" t="s">
        <v>1702</v>
      </c>
      <c r="AQ1471">
        <v>1.5</v>
      </c>
      <c r="AS1471" t="b">
        <v>1</v>
      </c>
    </row>
    <row r="1472" spans="1:45">
      <c r="A1472" s="277" t="s">
        <v>1738</v>
      </c>
      <c r="B1472" s="334" t="s">
        <v>107</v>
      </c>
      <c r="C1472" s="334">
        <f>'This study'!B23</f>
        <v>0.55500000000000005</v>
      </c>
      <c r="D1472" s="301">
        <f>'This study'!C23</f>
        <v>659781250</v>
      </c>
      <c r="E1472" s="301">
        <f>'This study'!D23</f>
        <v>245500000</v>
      </c>
      <c r="F1472" s="301">
        <f>'This study'!E23</f>
        <v>265958333.33333299</v>
      </c>
      <c r="G1472" s="301">
        <f>E1472+F1472</f>
        <v>511458333.33333302</v>
      </c>
      <c r="H1472" s="27">
        <f>G1472/D1472</f>
        <v>0.77519379844961189</v>
      </c>
      <c r="M1472" s="27">
        <f>F1472/G1472</f>
        <v>0.51999999999999968</v>
      </c>
      <c r="O1472" s="304" t="s">
        <v>440</v>
      </c>
      <c r="P1472" s="328">
        <f>'This study'!F23</f>
        <v>2.5457141900000001E-2</v>
      </c>
      <c r="R1472" s="304" t="s">
        <v>460</v>
      </c>
      <c r="S1472" s="304" t="s">
        <v>141</v>
      </c>
      <c r="T1472" s="304" t="s">
        <v>145</v>
      </c>
      <c r="U1472" s="304" t="s">
        <v>147</v>
      </c>
      <c r="V1472" s="313">
        <v>0.55000000000000004</v>
      </c>
      <c r="W1472" s="313">
        <v>0.55000000000000004</v>
      </c>
      <c r="X1472" s="306" t="s">
        <v>114</v>
      </c>
      <c r="Y1472" s="306" t="s">
        <v>260</v>
      </c>
      <c r="Z1472" s="314" t="s">
        <v>100</v>
      </c>
      <c r="AB1472" s="334" t="s">
        <v>1739</v>
      </c>
      <c r="AC1472" s="334" t="s">
        <v>1702</v>
      </c>
      <c r="AQ1472">
        <v>1.5</v>
      </c>
      <c r="AS1472" t="b">
        <v>1</v>
      </c>
    </row>
    <row r="1473" spans="1:51">
      <c r="A1473" s="277" t="s">
        <v>1738</v>
      </c>
      <c r="B1473" s="334" t="s">
        <v>107</v>
      </c>
      <c r="C1473" s="334">
        <f>'This study'!B24</f>
        <v>0.61499999999999999</v>
      </c>
      <c r="D1473" s="301">
        <f>'This study'!C24</f>
        <v>629093750</v>
      </c>
      <c r="E1473" s="301">
        <f>'This study'!D24</f>
        <v>230156250</v>
      </c>
      <c r="F1473" s="301">
        <f>'This study'!E24</f>
        <v>301760416.66666698</v>
      </c>
      <c r="G1473" s="301">
        <f>E1473+F1473</f>
        <v>531916666.66666698</v>
      </c>
      <c r="H1473" s="27">
        <f>G1473/D1473</f>
        <v>0.84552845528455334</v>
      </c>
      <c r="M1473" s="27">
        <f>F1473/G1473</f>
        <v>0.56730769230769251</v>
      </c>
      <c r="O1473" s="304" t="s">
        <v>440</v>
      </c>
      <c r="P1473" s="328">
        <f>'This study'!F24</f>
        <v>1.34734847E-2</v>
      </c>
      <c r="R1473" s="304" t="s">
        <v>460</v>
      </c>
      <c r="S1473" s="304" t="s">
        <v>141</v>
      </c>
      <c r="T1473" s="304" t="s">
        <v>145</v>
      </c>
      <c r="U1473" s="304" t="s">
        <v>147</v>
      </c>
      <c r="V1473" s="313">
        <v>0.55000000000000004</v>
      </c>
      <c r="W1473" s="313">
        <v>0.55000000000000004</v>
      </c>
      <c r="X1473" s="306" t="s">
        <v>114</v>
      </c>
      <c r="Y1473" s="306" t="s">
        <v>260</v>
      </c>
      <c r="Z1473" s="314" t="s">
        <v>100</v>
      </c>
      <c r="AB1473" s="334" t="s">
        <v>1739</v>
      </c>
      <c r="AC1473" s="334" t="s">
        <v>1702</v>
      </c>
      <c r="AQ1473">
        <v>1.5</v>
      </c>
      <c r="AS1473" t="b">
        <v>1</v>
      </c>
    </row>
    <row r="1474" spans="1:51">
      <c r="A1474" s="277" t="s">
        <v>1738</v>
      </c>
      <c r="B1474" s="334" t="s">
        <v>107</v>
      </c>
      <c r="C1474" s="334">
        <f>'This study'!B25</f>
        <v>0.64500000000000002</v>
      </c>
      <c r="D1474" s="301">
        <f>'This study'!C25</f>
        <v>603520833.33333302</v>
      </c>
      <c r="E1474" s="301">
        <f>'This study'!D25</f>
        <v>179010416.66666701</v>
      </c>
      <c r="F1474" s="301">
        <f>'This study'!E25</f>
        <v>306875000</v>
      </c>
      <c r="G1474" s="301">
        <f>E1474+F1474</f>
        <v>485885416.66666698</v>
      </c>
      <c r="H1474" s="27">
        <f>G1474/D1474</f>
        <v>0.80508474576271283</v>
      </c>
      <c r="M1474" s="27">
        <f>F1474/G1474</f>
        <v>0.63157894736842068</v>
      </c>
      <c r="O1474" s="304" t="s">
        <v>440</v>
      </c>
      <c r="P1474" s="328">
        <f>'This study'!F25</f>
        <v>1.79868098E-2</v>
      </c>
      <c r="R1474" s="304" t="s">
        <v>460</v>
      </c>
      <c r="S1474" s="304" t="s">
        <v>141</v>
      </c>
      <c r="T1474" s="304" t="s">
        <v>145</v>
      </c>
      <c r="U1474" s="304" t="s">
        <v>147</v>
      </c>
      <c r="V1474" s="313">
        <v>0.55000000000000004</v>
      </c>
      <c r="W1474" s="313">
        <v>0.55000000000000004</v>
      </c>
      <c r="X1474" s="306" t="s">
        <v>114</v>
      </c>
      <c r="Y1474" s="306" t="s">
        <v>260</v>
      </c>
      <c r="Z1474" s="314" t="s">
        <v>100</v>
      </c>
      <c r="AB1474" s="334" t="s">
        <v>1739</v>
      </c>
      <c r="AC1474" s="334" t="s">
        <v>1702</v>
      </c>
      <c r="AQ1474">
        <v>1.5</v>
      </c>
      <c r="AS1474" t="b">
        <v>1</v>
      </c>
    </row>
    <row r="1475" spans="1:51">
      <c r="A1475" s="277" t="s">
        <v>1738</v>
      </c>
      <c r="B1475" s="334" t="s">
        <v>107</v>
      </c>
      <c r="C1475" s="334">
        <f>'This study'!B26</f>
        <v>0.67500000000000004</v>
      </c>
      <c r="D1475" s="301">
        <f>'This study'!C26</f>
        <v>649552083.33333302</v>
      </c>
      <c r="E1475" s="301">
        <f>'This study'!D26</f>
        <v>189239583.33333299</v>
      </c>
      <c r="F1475" s="301">
        <f>'This study'!E26</f>
        <v>230156250</v>
      </c>
      <c r="G1475" s="301">
        <f>E1475+F1475</f>
        <v>419395833.33333302</v>
      </c>
      <c r="H1475" s="27">
        <f>G1475/D1475</f>
        <v>0.64566929133858253</v>
      </c>
      <c r="M1475" s="27">
        <f>F1475/G1475</f>
        <v>0.54878048780487843</v>
      </c>
      <c r="O1475" s="311" t="s">
        <v>440</v>
      </c>
      <c r="P1475" s="328">
        <f>'This study'!F26</f>
        <v>1.1139004500000001E-2</v>
      </c>
      <c r="R1475" s="311" t="s">
        <v>460</v>
      </c>
      <c r="S1475" s="311" t="s">
        <v>141</v>
      </c>
      <c r="T1475" s="311" t="s">
        <v>145</v>
      </c>
      <c r="U1475" s="311" t="s">
        <v>147</v>
      </c>
      <c r="V1475" s="313">
        <v>0.55000000000000004</v>
      </c>
      <c r="W1475" s="313">
        <v>0.55000000000000004</v>
      </c>
      <c r="X1475" s="306" t="s">
        <v>114</v>
      </c>
      <c r="Y1475" s="306" t="s">
        <v>260</v>
      </c>
      <c r="Z1475" s="314" t="s">
        <v>100</v>
      </c>
      <c r="AB1475" s="334" t="s">
        <v>1739</v>
      </c>
      <c r="AC1475" s="334" t="s">
        <v>1702</v>
      </c>
      <c r="AQ1475">
        <v>1.5</v>
      </c>
      <c r="AS1475" t="b">
        <v>1</v>
      </c>
    </row>
    <row r="1476" spans="1:51">
      <c r="A1476" s="277" t="s">
        <v>1738</v>
      </c>
      <c r="B1476" s="334" t="s">
        <v>107</v>
      </c>
      <c r="C1476" s="334">
        <f>'This study'!B27</f>
        <v>0.70499999999999996</v>
      </c>
      <c r="D1476" s="301">
        <f>'This study'!C27</f>
        <v>603520833.33333302</v>
      </c>
      <c r="E1476" s="301">
        <f>'This study'!D27</f>
        <v>148322916.66666701</v>
      </c>
      <c r="F1476" s="301">
        <f>'This study'!E27</f>
        <v>102291666.666667</v>
      </c>
      <c r="G1476" s="301">
        <f>E1476+F1476</f>
        <v>250614583.33333403</v>
      </c>
      <c r="H1476" s="27">
        <f>G1476/D1476</f>
        <v>0.41525423728813698</v>
      </c>
      <c r="M1476" s="27">
        <f>F1476/G1476</f>
        <v>0.40816326530612262</v>
      </c>
      <c r="O1476" s="311" t="s">
        <v>440</v>
      </c>
      <c r="P1476" s="328">
        <f>'This study'!F27</f>
        <v>1.8246196199999998E-2</v>
      </c>
      <c r="R1476" s="311" t="s">
        <v>460</v>
      </c>
      <c r="S1476" s="311" t="s">
        <v>141</v>
      </c>
      <c r="T1476" s="311" t="s">
        <v>145</v>
      </c>
      <c r="U1476" s="311" t="s">
        <v>147</v>
      </c>
      <c r="V1476" s="313">
        <v>0.55000000000000004</v>
      </c>
      <c r="W1476" s="313">
        <v>0.55000000000000004</v>
      </c>
      <c r="X1476" s="306" t="s">
        <v>114</v>
      </c>
      <c r="Y1476" s="306" t="s">
        <v>260</v>
      </c>
      <c r="Z1476" s="314" t="s">
        <v>100</v>
      </c>
      <c r="AB1476" s="334" t="s">
        <v>1739</v>
      </c>
      <c r="AC1476" s="334" t="s">
        <v>1702</v>
      </c>
      <c r="AQ1476">
        <v>1.5</v>
      </c>
      <c r="AS1476" t="b">
        <v>1</v>
      </c>
    </row>
    <row r="1477" spans="1:51">
      <c r="A1477" s="277" t="s">
        <v>1738</v>
      </c>
      <c r="B1477" s="334" t="s">
        <v>107</v>
      </c>
      <c r="C1477" s="334">
        <f>'This study'!B28</f>
        <v>0.73499999999999999</v>
      </c>
      <c r="D1477" s="301">
        <f>'This study'!C28</f>
        <v>475656250</v>
      </c>
      <c r="E1477" s="301">
        <f>'This study'!D28</f>
        <v>158552083.33333299</v>
      </c>
      <c r="F1477" s="301">
        <f>'This study'!E28</f>
        <v>102291666.666667</v>
      </c>
      <c r="G1477" s="301">
        <f>E1477+F1477</f>
        <v>260843750</v>
      </c>
      <c r="H1477" s="27">
        <f>G1477/D1477</f>
        <v>0.54838709677419351</v>
      </c>
      <c r="M1477" s="27">
        <f>F1477/G1477</f>
        <v>0.39215686274509931</v>
      </c>
      <c r="O1477" s="311" t="s">
        <v>440</v>
      </c>
      <c r="P1477" s="328">
        <f>'This study'!F28</f>
        <v>1.8298074599999999E-2</v>
      </c>
      <c r="R1477" s="311" t="s">
        <v>460</v>
      </c>
      <c r="S1477" s="311" t="s">
        <v>141</v>
      </c>
      <c r="T1477" s="311" t="s">
        <v>145</v>
      </c>
      <c r="U1477" s="311" t="s">
        <v>147</v>
      </c>
      <c r="V1477" s="313">
        <v>0.55000000000000004</v>
      </c>
      <c r="W1477" s="313">
        <v>0.55000000000000004</v>
      </c>
      <c r="X1477" s="306" t="s">
        <v>114</v>
      </c>
      <c r="Y1477" s="306" t="s">
        <v>260</v>
      </c>
      <c r="Z1477" s="314" t="s">
        <v>100</v>
      </c>
      <c r="AB1477" s="334" t="s">
        <v>1739</v>
      </c>
      <c r="AC1477" s="334" t="s">
        <v>1702</v>
      </c>
      <c r="AQ1477">
        <v>1.5</v>
      </c>
      <c r="AS1477" t="b">
        <v>1</v>
      </c>
    </row>
    <row r="1478" spans="1:51">
      <c r="A1478" s="277" t="s">
        <v>523</v>
      </c>
      <c r="B1478" s="334" t="s">
        <v>1612</v>
      </c>
      <c r="C1478" s="334">
        <f>'EXD Webster 2009'!C5</f>
        <v>0</v>
      </c>
      <c r="D1478" s="301">
        <f>'EXD Webster 2009'!L5</f>
        <v>31458880.39255951</v>
      </c>
      <c r="E1478" s="301">
        <f>'EXD Webster 2009'!M5</f>
        <v>113170.30539907544</v>
      </c>
      <c r="G1478" s="301">
        <f>E1478+F1478</f>
        <v>113170.30539907544</v>
      </c>
      <c r="H1478" s="27">
        <f>G1478/D1478</f>
        <v>3.5974041029712515E-3</v>
      </c>
      <c r="I1478" s="301">
        <f>'EXD Webster 2009'!N5</f>
        <v>18852212.17040877</v>
      </c>
      <c r="J1478" s="301">
        <f>'EXD Webster 2009'!O5</f>
        <v>29091634.056238253</v>
      </c>
      <c r="K1478" s="301">
        <f>I1478+J1478</f>
        <v>47943846.226647019</v>
      </c>
      <c r="L1478" s="301">
        <f>'EXD Webster 2009'!P5</f>
        <v>28257883.087107211</v>
      </c>
      <c r="M1478" s="27">
        <f>F1478/G1478</f>
        <v>0</v>
      </c>
      <c r="N1478" s="27">
        <f>J1478/K1478</f>
        <v>0.60678556990843224</v>
      </c>
      <c r="O1478" t="s">
        <v>440</v>
      </c>
      <c r="P1478">
        <f>'EXD Webster 2009'!T5</f>
        <v>20.9164018293155</v>
      </c>
      <c r="Q1478" s="301" t="b">
        <v>1</v>
      </c>
      <c r="R1478" s="328" t="s">
        <v>1395</v>
      </c>
      <c r="S1478" s="328" t="s">
        <v>141</v>
      </c>
      <c r="T1478" t="s">
        <v>145</v>
      </c>
      <c r="U1478" t="s">
        <v>145</v>
      </c>
      <c r="V1478" s="313">
        <v>0.55000000000000004</v>
      </c>
      <c r="W1478" s="313">
        <v>0.55000000000000004</v>
      </c>
      <c r="X1478" s="306" t="s">
        <v>248</v>
      </c>
      <c r="Y1478" s="328" t="s">
        <v>96</v>
      </c>
      <c r="Z1478" s="314" t="s">
        <v>100</v>
      </c>
      <c r="AA1478" s="326" t="s">
        <v>1495</v>
      </c>
      <c r="AB1478" s="334" t="s">
        <v>1739</v>
      </c>
      <c r="AC1478" s="334" t="s">
        <v>1702</v>
      </c>
      <c r="AD1478" s="326" t="s">
        <v>1717</v>
      </c>
      <c r="AE1478" s="326" t="s">
        <v>1725</v>
      </c>
      <c r="AF1478" s="326" t="s">
        <v>1735</v>
      </c>
      <c r="AG1478" s="326" t="s">
        <v>1707</v>
      </c>
      <c r="AH1478" s="326" t="s">
        <v>1714</v>
      </c>
      <c r="AI1478" s="326" t="s">
        <v>1496</v>
      </c>
      <c r="AJ1478" s="326" t="s">
        <v>1487</v>
      </c>
      <c r="AK1478" s="326" t="s">
        <v>1488</v>
      </c>
      <c r="AL1478" s="326" t="s">
        <v>1497</v>
      </c>
      <c r="AQ1478">
        <v>965</v>
      </c>
      <c r="AR1478" t="s">
        <v>1463</v>
      </c>
      <c r="AV1478" s="326" t="b">
        <v>1</v>
      </c>
      <c r="AW1478" t="b">
        <v>1</v>
      </c>
      <c r="AX1478" t="b">
        <v>1</v>
      </c>
      <c r="AY1478" t="b">
        <v>1</v>
      </c>
    </row>
    <row r="1479" spans="1:51">
      <c r="A1479" s="277" t="s">
        <v>523</v>
      </c>
      <c r="B1479" s="334" t="s">
        <v>1612</v>
      </c>
      <c r="C1479" s="334">
        <f>'EXD Webster 2009'!C6</f>
        <v>3.0674846625767032</v>
      </c>
      <c r="D1479" s="301">
        <f>'EXD Webster 2009'!L6</f>
        <v>14827227.83353984</v>
      </c>
      <c r="E1479" s="301">
        <f>'EXD Webster 2009'!M6</f>
        <v>591323.7276414393</v>
      </c>
      <c r="G1479" s="301">
        <f>E1479+F1479</f>
        <v>591323.7276414393</v>
      </c>
      <c r="H1479" s="27">
        <f>G1479/D1479</f>
        <v>3.9880936226247166E-2</v>
      </c>
      <c r="I1479" s="301">
        <f>'EXD Webster 2009'!N6</f>
        <v>5304417.2798438165</v>
      </c>
      <c r="J1479" s="301">
        <f>'EXD Webster 2009'!O6</f>
        <v>1305996.547906002</v>
      </c>
      <c r="K1479" s="301">
        <f>I1479+J1479</f>
        <v>6610413.8277498186</v>
      </c>
      <c r="L1479" s="301">
        <f>'EXD Webster 2009'!P6</f>
        <v>5763276.1424527587</v>
      </c>
      <c r="M1479" s="27">
        <f>F1479/G1479</f>
        <v>0</v>
      </c>
      <c r="N1479" s="27">
        <f>J1479/K1479</f>
        <v>0.19756653394732512</v>
      </c>
      <c r="O1479" t="s">
        <v>440</v>
      </c>
      <c r="P1479">
        <f>'EXD Webster 2009'!T6</f>
        <v>21.872723044725198</v>
      </c>
      <c r="Q1479" s="301" t="b">
        <v>1</v>
      </c>
      <c r="R1479" s="328" t="s">
        <v>1395</v>
      </c>
      <c r="S1479" s="328" t="s">
        <v>141</v>
      </c>
      <c r="T1479" t="s">
        <v>145</v>
      </c>
      <c r="U1479" t="s">
        <v>145</v>
      </c>
      <c r="V1479" s="313">
        <v>0.55000000000000004</v>
      </c>
      <c r="W1479" s="313">
        <v>0.55000000000000004</v>
      </c>
      <c r="X1479" s="306" t="s">
        <v>248</v>
      </c>
      <c r="Y1479" s="328" t="s">
        <v>96</v>
      </c>
      <c r="Z1479" s="314" t="s">
        <v>100</v>
      </c>
      <c r="AA1479" s="326" t="s">
        <v>1495</v>
      </c>
      <c r="AB1479" s="334" t="s">
        <v>1739</v>
      </c>
      <c r="AC1479" s="334" t="s">
        <v>1702</v>
      </c>
      <c r="AD1479" s="326" t="s">
        <v>1717</v>
      </c>
      <c r="AE1479" s="326" t="s">
        <v>1725</v>
      </c>
      <c r="AF1479" s="326" t="s">
        <v>1735</v>
      </c>
      <c r="AG1479" s="326" t="s">
        <v>1707</v>
      </c>
      <c r="AH1479" s="326" t="s">
        <v>1714</v>
      </c>
      <c r="AI1479" s="326" t="s">
        <v>1496</v>
      </c>
      <c r="AJ1479" s="326" t="s">
        <v>1487</v>
      </c>
      <c r="AK1479" s="326" t="s">
        <v>1488</v>
      </c>
      <c r="AL1479" s="326" t="s">
        <v>1497</v>
      </c>
      <c r="AQ1479">
        <v>965</v>
      </c>
      <c r="AR1479" t="s">
        <v>1463</v>
      </c>
      <c r="AV1479" s="326" t="b">
        <v>1</v>
      </c>
      <c r="AW1479" t="b">
        <v>1</v>
      </c>
      <c r="AX1479" t="b">
        <v>1</v>
      </c>
      <c r="AY1479" t="b">
        <v>1</v>
      </c>
    </row>
    <row r="1480" spans="1:51">
      <c r="A1480" s="277" t="s">
        <v>523</v>
      </c>
      <c r="B1480" s="334" t="s">
        <v>1611</v>
      </c>
      <c r="C1480" s="334">
        <f>'EXD Webster 2009'!C7</f>
        <v>9.9693251533742</v>
      </c>
      <c r="D1480" s="301">
        <f>'EXD Webster 2009'!L7</f>
        <v>30746445.889926754</v>
      </c>
      <c r="E1480" s="301">
        <f>'EXD Webster 2009'!M7</f>
        <v>210810.59031723649</v>
      </c>
      <c r="G1480" s="301">
        <f>E1480+F1480</f>
        <v>210810.59031723649</v>
      </c>
      <c r="H1480" s="27">
        <f>G1480/D1480</f>
        <v>6.8564214241849299E-3</v>
      </c>
      <c r="I1480" s="301">
        <f>'EXD Webster 2009'!N7</f>
        <v>194919.4029602865</v>
      </c>
      <c r="J1480" s="301">
        <f>'EXD Webster 2009'!O7</f>
        <v>1142.8020598100234</v>
      </c>
      <c r="K1480" s="301">
        <f>I1480+J1480</f>
        <v>196062.20502009653</v>
      </c>
      <c r="L1480" s="301">
        <f>'EXD Webster 2009'!P7</f>
        <v>201968.38789052473</v>
      </c>
      <c r="M1480" s="27">
        <f>F1480/G1480</f>
        <v>0</v>
      </c>
      <c r="N1480" s="27">
        <f>J1480/K1480</f>
        <v>5.8287728616174912E-3</v>
      </c>
      <c r="O1480" t="s">
        <v>440</v>
      </c>
      <c r="P1480">
        <f>'EXD Webster 2009'!T7</f>
        <v>18.427408728005499</v>
      </c>
      <c r="Q1480" s="301" t="b">
        <v>1</v>
      </c>
      <c r="R1480" s="328" t="s">
        <v>1395</v>
      </c>
      <c r="S1480" s="328" t="s">
        <v>141</v>
      </c>
      <c r="T1480" t="s">
        <v>145</v>
      </c>
      <c r="U1480" t="s">
        <v>145</v>
      </c>
      <c r="V1480" s="313">
        <v>0.55000000000000004</v>
      </c>
      <c r="W1480" s="313">
        <v>0.55000000000000004</v>
      </c>
      <c r="X1480" s="306" t="s">
        <v>248</v>
      </c>
      <c r="Y1480" s="328" t="s">
        <v>96</v>
      </c>
      <c r="Z1480" s="314" t="s">
        <v>100</v>
      </c>
      <c r="AA1480" s="326" t="s">
        <v>1495</v>
      </c>
      <c r="AB1480" s="334" t="s">
        <v>1739</v>
      </c>
      <c r="AC1480" s="334" t="s">
        <v>1702</v>
      </c>
      <c r="AD1480" s="326" t="s">
        <v>1717</v>
      </c>
      <c r="AE1480" s="326" t="s">
        <v>1725</v>
      </c>
      <c r="AF1480" s="326" t="s">
        <v>1735</v>
      </c>
      <c r="AG1480" s="326" t="s">
        <v>1707</v>
      </c>
      <c r="AH1480" s="326" t="s">
        <v>1714</v>
      </c>
      <c r="AI1480" s="326" t="s">
        <v>1496</v>
      </c>
      <c r="AJ1480" s="326" t="s">
        <v>1487</v>
      </c>
      <c r="AK1480" s="326" t="s">
        <v>1488</v>
      </c>
      <c r="AL1480" s="326" t="s">
        <v>1497</v>
      </c>
      <c r="AQ1480">
        <v>965</v>
      </c>
      <c r="AR1480" t="s">
        <v>1463</v>
      </c>
      <c r="AV1480" s="326" t="b">
        <v>1</v>
      </c>
      <c r="AW1480" t="b">
        <v>1</v>
      </c>
      <c r="AX1480" t="b">
        <v>1</v>
      </c>
      <c r="AY1480" t="b">
        <v>1</v>
      </c>
    </row>
    <row r="1481" spans="1:51">
      <c r="A1481" s="277" t="s">
        <v>523</v>
      </c>
      <c r="B1481" s="334" t="s">
        <v>1611</v>
      </c>
      <c r="C1481" s="334">
        <f>'EXD Webster 2009'!C8</f>
        <v>19.631901840490798</v>
      </c>
      <c r="D1481" s="301">
        <f>'EXD Webster 2009'!L8</f>
        <v>23223376.222399008</v>
      </c>
      <c r="E1481" s="301">
        <f>'EXD Webster 2009'!M8</f>
        <v>215099.27791843336</v>
      </c>
      <c r="G1481" s="301">
        <f>E1481+F1481</f>
        <v>215099.27791843336</v>
      </c>
      <c r="H1481" s="27">
        <f>G1481/D1481</f>
        <v>9.2621880582104826E-3</v>
      </c>
      <c r="I1481" s="301">
        <f>'EXD Webster 2009'!N8</f>
        <v>1263133.5639768445</v>
      </c>
      <c r="J1481" s="301">
        <f>'EXD Webster 2009'!O8</f>
        <v>106901.92046029841</v>
      </c>
      <c r="K1481" s="301">
        <f>I1481+J1481</f>
        <v>1370035.484437143</v>
      </c>
      <c r="L1481" s="301">
        <f>'EXD Webster 2009'!P8</f>
        <v>1009994.2383928036</v>
      </c>
      <c r="M1481" s="27">
        <f>F1481/G1481</f>
        <v>0</v>
      </c>
      <c r="N1481" s="27">
        <f>J1481/K1481</f>
        <v>7.8028577854111089E-2</v>
      </c>
      <c r="O1481" t="s">
        <v>440</v>
      </c>
      <c r="P1481">
        <f>'EXD Webster 2009'!T8</f>
        <v>18.645763894271699</v>
      </c>
      <c r="Q1481" s="301" t="b">
        <v>1</v>
      </c>
      <c r="R1481" s="328" t="s">
        <v>1395</v>
      </c>
      <c r="S1481" s="328" t="s">
        <v>141</v>
      </c>
      <c r="T1481" t="s">
        <v>145</v>
      </c>
      <c r="U1481" t="s">
        <v>145</v>
      </c>
      <c r="V1481" s="313">
        <v>0.55000000000000004</v>
      </c>
      <c r="W1481" s="313">
        <v>0.55000000000000004</v>
      </c>
      <c r="X1481" s="306" t="s">
        <v>248</v>
      </c>
      <c r="Y1481" s="328" t="s">
        <v>96</v>
      </c>
      <c r="Z1481" s="314" t="s">
        <v>100</v>
      </c>
      <c r="AA1481" s="326" t="s">
        <v>1495</v>
      </c>
      <c r="AB1481" s="334" t="s">
        <v>1739</v>
      </c>
      <c r="AC1481" s="334" t="s">
        <v>1702</v>
      </c>
      <c r="AD1481" s="326" t="s">
        <v>1717</v>
      </c>
      <c r="AE1481" s="326" t="s">
        <v>1725</v>
      </c>
      <c r="AF1481" s="326" t="s">
        <v>1735</v>
      </c>
      <c r="AG1481" s="326" t="s">
        <v>1707</v>
      </c>
      <c r="AH1481" s="326" t="s">
        <v>1714</v>
      </c>
      <c r="AI1481" s="326" t="s">
        <v>1496</v>
      </c>
      <c r="AJ1481" s="326" t="s">
        <v>1487</v>
      </c>
      <c r="AK1481" s="326" t="s">
        <v>1488</v>
      </c>
      <c r="AL1481" s="326" t="s">
        <v>1497</v>
      </c>
      <c r="AQ1481">
        <v>965</v>
      </c>
      <c r="AR1481" t="s">
        <v>1463</v>
      </c>
      <c r="AV1481" s="326" t="b">
        <v>1</v>
      </c>
      <c r="AW1481" t="b">
        <v>1</v>
      </c>
      <c r="AX1481" t="b">
        <v>1</v>
      </c>
      <c r="AY1481" t="b">
        <v>1</v>
      </c>
    </row>
    <row r="1482" spans="1:51">
      <c r="A1482" s="277" t="s">
        <v>523</v>
      </c>
      <c r="B1482" s="334" t="s">
        <v>1611</v>
      </c>
      <c r="C1482" s="334">
        <f>'EXD Webster 2009'!C9</f>
        <v>29.2944785276073</v>
      </c>
      <c r="D1482" s="301">
        <f>'EXD Webster 2009'!L9</f>
        <v>20387045.965988476</v>
      </c>
      <c r="P1482">
        <f>'EXD Webster 2009'!T9</f>
        <v>18.1311526238276</v>
      </c>
      <c r="R1482" s="328" t="s">
        <v>1395</v>
      </c>
      <c r="S1482" s="328" t="s">
        <v>141</v>
      </c>
      <c r="T1482" t="s">
        <v>145</v>
      </c>
      <c r="U1482" t="s">
        <v>145</v>
      </c>
      <c r="V1482" s="334"/>
      <c r="W1482" s="334"/>
      <c r="X1482" s="334"/>
      <c r="Y1482" s="328"/>
      <c r="Z1482" s="334"/>
    </row>
    <row r="1483" spans="1:51">
      <c r="A1483" s="277" t="s">
        <v>523</v>
      </c>
      <c r="B1483" s="334" t="s">
        <v>1611</v>
      </c>
      <c r="C1483" s="334">
        <f>'EXD Webster 2009'!C10</f>
        <v>38.8036809815951</v>
      </c>
      <c r="D1483" s="301">
        <f>'EXD Webster 2009'!L10</f>
        <v>34831476.861555547</v>
      </c>
      <c r="E1483" s="301">
        <f>'EXD Webster 2009'!M10</f>
        <v>228475.89327565458</v>
      </c>
      <c r="G1483" s="301">
        <f>E1483+F1483</f>
        <v>228475.89327565458</v>
      </c>
      <c r="H1483" s="27">
        <f>G1483/D1483</f>
        <v>6.5594661456296064E-3</v>
      </c>
      <c r="I1483" s="301">
        <f>'EXD Webster 2009'!N10</f>
        <v>464158.88336127147</v>
      </c>
      <c r="J1483" s="301">
        <f>'EXD Webster 2009'!O10</f>
        <v>272133.87683752971</v>
      </c>
      <c r="K1483" s="301">
        <f>I1483+J1483</f>
        <v>736292.76019880117</v>
      </c>
      <c r="L1483" s="301">
        <f>'EXD Webster 2009'!P10</f>
        <v>1480692.1615677362</v>
      </c>
      <c r="M1483" s="27">
        <v>0</v>
      </c>
      <c r="N1483" s="27">
        <f>J1483/K1483</f>
        <v>0.36960009869450949</v>
      </c>
      <c r="O1483" t="s">
        <v>440</v>
      </c>
      <c r="P1483">
        <f>'EXD Webster 2009'!T10</f>
        <v>16.263390434849999</v>
      </c>
      <c r="Q1483" s="301" t="b">
        <v>1</v>
      </c>
      <c r="R1483" s="328" t="s">
        <v>1395</v>
      </c>
      <c r="S1483" s="328" t="s">
        <v>141</v>
      </c>
      <c r="T1483" t="s">
        <v>145</v>
      </c>
      <c r="U1483" t="s">
        <v>145</v>
      </c>
      <c r="V1483" s="313">
        <v>0.55000000000000004</v>
      </c>
      <c r="W1483" s="313">
        <v>0.55000000000000004</v>
      </c>
      <c r="X1483" s="306" t="s">
        <v>248</v>
      </c>
      <c r="Y1483" s="328" t="s">
        <v>96</v>
      </c>
      <c r="Z1483" s="314" t="s">
        <v>100</v>
      </c>
      <c r="AA1483" s="326" t="s">
        <v>1495</v>
      </c>
      <c r="AB1483" s="334" t="s">
        <v>1739</v>
      </c>
      <c r="AC1483" s="334" t="s">
        <v>1702</v>
      </c>
      <c r="AD1483" s="326" t="s">
        <v>1717</v>
      </c>
      <c r="AE1483" s="326" t="s">
        <v>1725</v>
      </c>
      <c r="AF1483" s="326" t="s">
        <v>1735</v>
      </c>
      <c r="AG1483" s="326" t="s">
        <v>1707</v>
      </c>
      <c r="AH1483" s="326" t="s">
        <v>1714</v>
      </c>
      <c r="AI1483" s="326" t="s">
        <v>1496</v>
      </c>
      <c r="AJ1483" s="326" t="s">
        <v>1487</v>
      </c>
      <c r="AK1483" s="326" t="s">
        <v>1488</v>
      </c>
      <c r="AL1483" s="326" t="s">
        <v>1497</v>
      </c>
      <c r="AQ1483">
        <v>965</v>
      </c>
      <c r="AR1483" t="s">
        <v>1463</v>
      </c>
      <c r="AV1483" s="326" t="b">
        <v>1</v>
      </c>
      <c r="AW1483" t="b">
        <v>1</v>
      </c>
      <c r="AX1483" t="b">
        <v>1</v>
      </c>
      <c r="AY1483" t="b">
        <v>1</v>
      </c>
    </row>
    <row r="1484" spans="1:51">
      <c r="A1484" s="277" t="s">
        <v>523</v>
      </c>
      <c r="B1484" s="334" t="s">
        <v>1611</v>
      </c>
      <c r="C1484" s="334">
        <f>'EXD Webster 2009'!C11</f>
        <v>48.312883435582734</v>
      </c>
      <c r="D1484" s="301">
        <f>'EXD Webster 2009'!L11</f>
        <v>6798690.9038491379</v>
      </c>
      <c r="P1484">
        <f>'EXD Webster 2009'!T11</f>
        <v>15.071854894969301</v>
      </c>
      <c r="R1484" s="328" t="s">
        <v>1395</v>
      </c>
      <c r="S1484" s="328" t="s">
        <v>141</v>
      </c>
      <c r="T1484" t="s">
        <v>145</v>
      </c>
      <c r="U1484" t="s">
        <v>145</v>
      </c>
      <c r="V1484" s="334"/>
      <c r="W1484" s="334"/>
      <c r="X1484" s="334"/>
      <c r="Y1484" s="328"/>
      <c r="Z1484" s="334"/>
    </row>
    <row r="1485" spans="1:51">
      <c r="A1485" s="277" t="s">
        <v>523</v>
      </c>
      <c r="B1485" s="334" t="s">
        <v>1611</v>
      </c>
      <c r="C1485" s="334">
        <f>'EXD Webster 2009'!C12</f>
        <v>54.754601226993763</v>
      </c>
      <c r="D1485" s="301">
        <f>'EXD Webster 2009'!L12</f>
        <v>1793355.8901479279</v>
      </c>
      <c r="P1485">
        <f>'EXD Webster 2009'!T12</f>
        <v>14.277730408495399</v>
      </c>
      <c r="R1485" t="s">
        <v>1395</v>
      </c>
      <c r="S1485" t="s">
        <v>141</v>
      </c>
      <c r="T1485" t="s">
        <v>145</v>
      </c>
      <c r="U1485" t="s">
        <v>145</v>
      </c>
      <c r="V1485" s="334"/>
      <c r="W1485" s="334"/>
      <c r="X1485" s="334"/>
      <c r="Z1485" s="334"/>
      <c r="AD1485" s="328"/>
      <c r="AE1485" s="328"/>
      <c r="AF1485" s="328"/>
      <c r="AG1485" s="328"/>
      <c r="AH1485" s="328"/>
      <c r="AI1485" s="328"/>
      <c r="AJ1485" s="328"/>
      <c r="AK1485" s="328"/>
      <c r="AL1485" s="328"/>
      <c r="AM1485" s="328"/>
      <c r="AN1485" s="328"/>
    </row>
    <row r="1486" spans="1:51">
      <c r="A1486" s="277" t="s">
        <v>523</v>
      </c>
      <c r="B1486" s="334" t="s">
        <v>1611</v>
      </c>
      <c r="C1486" s="334">
        <f>'EXD Webster 2009'!C13</f>
        <v>64.8773006134968</v>
      </c>
      <c r="D1486" s="301">
        <f>'EXD Webster 2009'!L13</f>
        <v>1165386.0046245637</v>
      </c>
      <c r="O1486" s="328"/>
      <c r="P1486" s="328">
        <f>'EXD Webster 2009'!T13</f>
        <v>12.127083171847101</v>
      </c>
      <c r="R1486" s="328" t="s">
        <v>1395</v>
      </c>
      <c r="S1486" s="328" t="s">
        <v>141</v>
      </c>
      <c r="T1486" s="328" t="s">
        <v>145</v>
      </c>
      <c r="U1486" s="328" t="s">
        <v>145</v>
      </c>
      <c r="V1486" s="334"/>
      <c r="W1486" s="334"/>
      <c r="X1486" s="334"/>
      <c r="Y1486" s="328"/>
      <c r="Z1486" s="334"/>
      <c r="AA1486" s="328"/>
      <c r="AD1486" s="328"/>
      <c r="AE1486" s="328"/>
      <c r="AF1486" s="328"/>
      <c r="AG1486" s="328"/>
      <c r="AH1486" s="328"/>
      <c r="AI1486" s="328"/>
      <c r="AJ1486" s="328"/>
      <c r="AK1486" s="328"/>
      <c r="AL1486" s="328"/>
      <c r="AM1486" s="328"/>
      <c r="AN1486" s="328"/>
      <c r="AO1486" s="328"/>
      <c r="AP1486" s="328"/>
      <c r="AQ1486" s="328"/>
      <c r="AR1486" s="328"/>
      <c r="AS1486" s="328"/>
      <c r="AT1486" s="328"/>
      <c r="AU1486" s="328"/>
      <c r="AV1486" s="328"/>
    </row>
    <row r="1487" spans="1:51">
      <c r="A1487" s="277" t="s">
        <v>523</v>
      </c>
      <c r="B1487" s="334" t="s">
        <v>1611</v>
      </c>
      <c r="C1487" s="334">
        <f>'EXD Webster 2009'!C14</f>
        <v>76.073619631901693</v>
      </c>
      <c r="D1487" s="301">
        <f>'EXD Webster 2009'!L14</f>
        <v>1267905.6659191523</v>
      </c>
      <c r="O1487" s="328"/>
      <c r="P1487" s="328">
        <f>'EXD Webster 2009'!T14</f>
        <v>11.8926827377722</v>
      </c>
      <c r="R1487" s="328" t="s">
        <v>1395</v>
      </c>
      <c r="S1487" s="328" t="s">
        <v>141</v>
      </c>
      <c r="T1487" s="328" t="s">
        <v>145</v>
      </c>
      <c r="U1487" s="328" t="s">
        <v>145</v>
      </c>
      <c r="V1487" s="334"/>
      <c r="W1487" s="334"/>
      <c r="X1487" s="334"/>
      <c r="Y1487" s="328"/>
      <c r="Z1487" s="334"/>
      <c r="AA1487" s="328"/>
      <c r="AD1487" s="328"/>
      <c r="AE1487" s="328"/>
      <c r="AF1487" s="328"/>
      <c r="AG1487" s="328"/>
      <c r="AH1487" s="328"/>
      <c r="AI1487" s="328"/>
      <c r="AJ1487" s="328"/>
      <c r="AK1487" s="328"/>
      <c r="AL1487" s="328"/>
      <c r="AM1487" s="328"/>
      <c r="AN1487" s="328"/>
      <c r="AO1487" s="328"/>
      <c r="AP1487" s="328"/>
      <c r="AQ1487" s="328"/>
      <c r="AR1487" s="328"/>
      <c r="AS1487" s="328"/>
      <c r="AT1487" s="328"/>
      <c r="AU1487" s="328"/>
      <c r="AV1487" s="328"/>
    </row>
    <row r="1488" spans="1:51">
      <c r="A1488" s="277" t="s">
        <v>523</v>
      </c>
      <c r="B1488" s="334" t="s">
        <v>1611</v>
      </c>
      <c r="C1488" s="334">
        <f>'EXD Webster 2009'!C15</f>
        <v>77.300613496932399</v>
      </c>
      <c r="D1488" s="301">
        <f>'EXD Webster 2009'!L15</f>
        <v>307141.84956923377</v>
      </c>
      <c r="O1488" s="328"/>
      <c r="P1488" s="328">
        <f>'EXD Webster 2009'!T15</f>
        <v>11.102511433222199</v>
      </c>
      <c r="R1488" s="328" t="s">
        <v>1395</v>
      </c>
      <c r="S1488" s="328" t="s">
        <v>141</v>
      </c>
      <c r="T1488" s="328" t="s">
        <v>145</v>
      </c>
      <c r="U1488" s="328" t="s">
        <v>145</v>
      </c>
      <c r="V1488" s="334"/>
      <c r="W1488" s="334"/>
      <c r="X1488" s="334"/>
      <c r="Y1488" s="328"/>
      <c r="Z1488" s="334"/>
      <c r="AA1488" s="328"/>
      <c r="AD1488" s="328"/>
      <c r="AE1488" s="328"/>
      <c r="AF1488" s="328"/>
      <c r="AG1488" s="328"/>
      <c r="AH1488" s="328"/>
      <c r="AI1488" s="328"/>
      <c r="AJ1488" s="328"/>
      <c r="AK1488" s="328"/>
      <c r="AL1488" s="328"/>
      <c r="AM1488" s="328"/>
      <c r="AN1488" s="328"/>
      <c r="AO1488" s="328"/>
      <c r="AP1488" s="328"/>
      <c r="AQ1488" s="328"/>
      <c r="AR1488" s="328"/>
      <c r="AS1488" s="328"/>
      <c r="AT1488" s="328"/>
      <c r="AU1488" s="328"/>
      <c r="AV1488" s="328"/>
    </row>
    <row r="1489" spans="1:51">
      <c r="A1489" s="277" t="s">
        <v>523</v>
      </c>
      <c r="B1489" s="334" t="s">
        <v>1611</v>
      </c>
      <c r="C1489" s="334">
        <f>'EXD Webster 2009'!C16</f>
        <v>79.754601226993699</v>
      </c>
      <c r="D1489" s="301">
        <f>'EXD Webster 2009'!L16</f>
        <v>503197.67156004795</v>
      </c>
      <c r="O1489" s="328"/>
      <c r="P1489" s="328">
        <f>'EXD Webster 2009'!T16</f>
        <v>8.6760716223548506</v>
      </c>
      <c r="R1489" s="328" t="s">
        <v>1395</v>
      </c>
      <c r="S1489" s="328" t="s">
        <v>141</v>
      </c>
      <c r="T1489" s="328" t="s">
        <v>145</v>
      </c>
      <c r="U1489" s="328" t="s">
        <v>145</v>
      </c>
      <c r="V1489" s="334"/>
      <c r="W1489" s="334"/>
      <c r="X1489" s="334"/>
      <c r="Y1489" s="328"/>
      <c r="Z1489" s="334"/>
      <c r="AA1489" s="328"/>
      <c r="AD1489" s="328"/>
      <c r="AE1489" s="328"/>
      <c r="AF1489" s="328"/>
      <c r="AG1489" s="328"/>
      <c r="AH1489" s="328"/>
      <c r="AI1489" s="328"/>
      <c r="AJ1489" s="328"/>
      <c r="AK1489" s="328"/>
      <c r="AL1489" s="328"/>
      <c r="AM1489" s="328"/>
      <c r="AN1489" s="328"/>
      <c r="AO1489" s="328"/>
      <c r="AP1489" s="328"/>
      <c r="AQ1489" s="328"/>
      <c r="AR1489" s="328"/>
      <c r="AS1489" s="328"/>
      <c r="AT1489" s="328"/>
      <c r="AU1489" s="328"/>
      <c r="AV1489" s="328"/>
    </row>
    <row r="1490" spans="1:51">
      <c r="A1490" s="277" t="s">
        <v>523</v>
      </c>
      <c r="B1490" s="334" t="s">
        <v>1611</v>
      </c>
      <c r="C1490" s="334">
        <f>'EXD Webster 2009'!C17</f>
        <v>83.282208588956905</v>
      </c>
      <c r="D1490" s="301">
        <f>'EXD Webster 2009'!L17</f>
        <v>2311174.1805198584</v>
      </c>
      <c r="O1490" s="328"/>
      <c r="P1490" s="328">
        <f>'EXD Webster 2009'!T17</f>
        <v>8.89884505077125</v>
      </c>
      <c r="R1490" s="328" t="s">
        <v>1395</v>
      </c>
      <c r="S1490" s="328" t="s">
        <v>141</v>
      </c>
      <c r="T1490" s="328" t="s">
        <v>145</v>
      </c>
      <c r="U1490" s="328" t="s">
        <v>145</v>
      </c>
      <c r="V1490" s="334"/>
      <c r="W1490" s="334"/>
      <c r="X1490" s="334"/>
      <c r="Y1490" s="328"/>
      <c r="Z1490" s="334"/>
      <c r="AA1490" s="328"/>
      <c r="AD1490" s="328"/>
      <c r="AE1490" s="328"/>
      <c r="AF1490" s="328"/>
      <c r="AG1490" s="328"/>
      <c r="AH1490" s="328"/>
      <c r="AI1490" s="328"/>
      <c r="AJ1490" s="328"/>
      <c r="AK1490" s="328"/>
      <c r="AL1490" s="328"/>
      <c r="AM1490" s="328"/>
      <c r="AN1490" s="328"/>
      <c r="AO1490" s="328"/>
      <c r="AP1490" s="328"/>
      <c r="AQ1490" s="328"/>
      <c r="AR1490" s="328"/>
      <c r="AS1490" s="328"/>
      <c r="AT1490" s="328"/>
      <c r="AU1490" s="328"/>
      <c r="AV1490" s="328"/>
    </row>
    <row r="1491" spans="1:51">
      <c r="A1491" s="277" t="s">
        <v>523</v>
      </c>
      <c r="B1491" s="334" t="s">
        <v>1611</v>
      </c>
      <c r="C1491" s="334">
        <f>'EXD Webster 2009'!C18</f>
        <v>84.355828220858797</v>
      </c>
      <c r="D1491" s="301">
        <f>'EXD Webster 2009'!L18</f>
        <v>1747822.2070512569</v>
      </c>
      <c r="E1491" s="301">
        <f>'EXD Webster 2009'!M18</f>
        <v>1187345.9276358916</v>
      </c>
      <c r="G1491" s="301">
        <f>E1491+F1491</f>
        <v>1187345.9276358916</v>
      </c>
      <c r="H1491" s="27">
        <f>G1491/D1491</f>
        <v>0.6793287800359612</v>
      </c>
      <c r="I1491" s="301">
        <f>'EXD Webster 2009'!N18</f>
        <v>692755.06561292731</v>
      </c>
      <c r="J1491" s="301">
        <f>'EXD Webster 2009'!O18</f>
        <v>1</v>
      </c>
      <c r="K1491" s="301">
        <f>I1491+J1491</f>
        <v>692756.06561292731</v>
      </c>
      <c r="L1491" s="301">
        <f>'EXD Webster 2009'!P18</f>
        <v>664904.52169709082</v>
      </c>
      <c r="M1491" s="27">
        <v>0</v>
      </c>
      <c r="N1491" s="27">
        <f>J1491/K1491</f>
        <v>1.4435095550050992E-6</v>
      </c>
      <c r="O1491" s="328" t="s">
        <v>440</v>
      </c>
      <c r="P1491" s="328">
        <f>'EXD Webster 2009'!T18</f>
        <v>9.8565615068599293</v>
      </c>
      <c r="Q1491" s="301" t="b">
        <v>1</v>
      </c>
      <c r="R1491" s="328" t="s">
        <v>1395</v>
      </c>
      <c r="S1491" s="328" t="s">
        <v>141</v>
      </c>
      <c r="T1491" s="328" t="s">
        <v>145</v>
      </c>
      <c r="U1491" s="328" t="s">
        <v>145</v>
      </c>
      <c r="V1491" s="313">
        <v>0.55000000000000004</v>
      </c>
      <c r="W1491" s="313">
        <v>0.55000000000000004</v>
      </c>
      <c r="X1491" s="306" t="s">
        <v>248</v>
      </c>
      <c r="Y1491" s="328" t="s">
        <v>96</v>
      </c>
      <c r="Z1491" s="314" t="s">
        <v>100</v>
      </c>
      <c r="AA1491" s="328" t="s">
        <v>1495</v>
      </c>
      <c r="AB1491" s="334" t="s">
        <v>1739</v>
      </c>
      <c r="AC1491" s="334" t="s">
        <v>1702</v>
      </c>
      <c r="AD1491" s="328" t="s">
        <v>1717</v>
      </c>
      <c r="AE1491" s="328" t="s">
        <v>1725</v>
      </c>
      <c r="AF1491" s="328" t="s">
        <v>1735</v>
      </c>
      <c r="AG1491" s="328" t="s">
        <v>1707</v>
      </c>
      <c r="AH1491" s="328" t="s">
        <v>1714</v>
      </c>
      <c r="AI1491" s="328" t="s">
        <v>1496</v>
      </c>
      <c r="AJ1491" s="328" t="s">
        <v>1487</v>
      </c>
      <c r="AK1491" s="328" t="s">
        <v>1488</v>
      </c>
      <c r="AL1491" s="328" t="s">
        <v>1497</v>
      </c>
      <c r="AM1491" s="328"/>
      <c r="AN1491" s="328"/>
      <c r="AO1491" s="328"/>
      <c r="AP1491" s="328"/>
      <c r="AQ1491" s="328">
        <v>965</v>
      </c>
      <c r="AR1491" s="328" t="s">
        <v>1463</v>
      </c>
      <c r="AS1491" s="328"/>
      <c r="AT1491" s="328"/>
      <c r="AU1491" s="328"/>
      <c r="AV1491" s="328" t="b">
        <v>1</v>
      </c>
      <c r="AW1491" t="b">
        <v>1</v>
      </c>
      <c r="AX1491" t="b">
        <v>1</v>
      </c>
      <c r="AY1491" t="b">
        <v>1</v>
      </c>
    </row>
    <row r="1492" spans="1:51">
      <c r="A1492" s="277" t="s">
        <v>523</v>
      </c>
      <c r="B1492" s="334" t="s">
        <v>1611</v>
      </c>
      <c r="C1492" s="334">
        <f>'EXD Webster 2009'!C19</f>
        <v>89.417177914110297</v>
      </c>
      <c r="D1492" s="301">
        <f>'EXD Webster 2009'!L19</f>
        <v>2924577.1969571048</v>
      </c>
      <c r="O1492" s="328"/>
      <c r="P1492" s="328">
        <f>'EXD Webster 2009'!T19</f>
        <v>6.4132237811022401</v>
      </c>
      <c r="R1492" s="328" t="s">
        <v>1395</v>
      </c>
      <c r="S1492" s="328" t="s">
        <v>141</v>
      </c>
      <c r="T1492" s="328" t="s">
        <v>145</v>
      </c>
      <c r="U1492" s="328" t="s">
        <v>145</v>
      </c>
      <c r="V1492" s="334"/>
      <c r="W1492" s="334"/>
      <c r="X1492" s="334"/>
      <c r="Y1492" s="328"/>
      <c r="Z1492" s="334"/>
      <c r="AA1492" s="328"/>
      <c r="AD1492" s="328"/>
      <c r="AE1492" s="328"/>
      <c r="AF1492" s="328"/>
      <c r="AG1492" s="328"/>
      <c r="AH1492" s="328"/>
      <c r="AI1492" s="328"/>
      <c r="AJ1492" s="328"/>
      <c r="AK1492" s="328"/>
      <c r="AL1492" s="328"/>
      <c r="AM1492" s="328"/>
      <c r="AN1492" s="328"/>
      <c r="AO1492" s="328"/>
      <c r="AP1492" s="328"/>
      <c r="AQ1492" s="328"/>
      <c r="AR1492" s="328"/>
      <c r="AS1492" s="328"/>
      <c r="AT1492" s="328"/>
      <c r="AU1492" s="328"/>
      <c r="AV1492" s="328"/>
    </row>
    <row r="1493" spans="1:51">
      <c r="A1493" s="277" t="s">
        <v>523</v>
      </c>
      <c r="B1493" s="334" t="s">
        <v>1611</v>
      </c>
      <c r="C1493" s="334">
        <f>'EXD Webster 2009'!C20</f>
        <v>92.944785276073503</v>
      </c>
      <c r="D1493" s="301">
        <f>'EXD Webster 2009'!L20</f>
        <v>4396251.3720214954</v>
      </c>
      <c r="O1493" s="328"/>
      <c r="P1493" s="328">
        <f>'EXD Webster 2009'!T20</f>
        <v>7.2562979613983298</v>
      </c>
      <c r="R1493" s="328" t="s">
        <v>1395</v>
      </c>
      <c r="S1493" s="328" t="s">
        <v>141</v>
      </c>
      <c r="T1493" s="328" t="s">
        <v>145</v>
      </c>
      <c r="U1493" s="328" t="s">
        <v>145</v>
      </c>
      <c r="V1493" s="334"/>
      <c r="W1493" s="334"/>
      <c r="X1493" s="334"/>
      <c r="Y1493" s="328"/>
      <c r="Z1493" s="334"/>
      <c r="AA1493" s="328"/>
      <c r="AD1493" s="328"/>
      <c r="AE1493" s="328"/>
      <c r="AF1493" s="328"/>
      <c r="AG1493" s="328"/>
      <c r="AH1493" s="328"/>
      <c r="AI1493" s="328"/>
      <c r="AJ1493" s="328"/>
      <c r="AK1493" s="328"/>
      <c r="AL1493" s="328"/>
      <c r="AM1493" s="328"/>
      <c r="AN1493" s="328"/>
      <c r="AO1493" s="328"/>
      <c r="AP1493" s="328"/>
      <c r="AQ1493" s="328"/>
      <c r="AR1493" s="328"/>
      <c r="AS1493" s="328"/>
      <c r="AT1493" s="328"/>
      <c r="AU1493" s="328"/>
      <c r="AV1493" s="328"/>
    </row>
    <row r="1494" spans="1:51">
      <c r="A1494" s="277" t="s">
        <v>523</v>
      </c>
      <c r="B1494" s="334" t="s">
        <v>1611</v>
      </c>
      <c r="C1494" s="334">
        <f>'EXD Webster 2009'!C22</f>
        <v>101.8404907975459</v>
      </c>
      <c r="D1494" s="301">
        <f>'EXD Webster 2009'!L22</f>
        <v>3541976.8573209452</v>
      </c>
      <c r="H1494" s="336"/>
      <c r="O1494" s="328"/>
      <c r="P1494" s="328">
        <f>'EXD Webster 2009'!T22</f>
        <v>5.6704906596387801</v>
      </c>
      <c r="R1494" s="328" t="s">
        <v>1395</v>
      </c>
      <c r="S1494" s="328" t="s">
        <v>141</v>
      </c>
      <c r="T1494" s="328" t="s">
        <v>145</v>
      </c>
      <c r="U1494" s="328" t="s">
        <v>145</v>
      </c>
      <c r="V1494" s="334"/>
      <c r="W1494" s="334"/>
      <c r="X1494" s="334"/>
      <c r="Y1494" s="328"/>
      <c r="Z1494" s="334"/>
      <c r="AA1494" s="328"/>
      <c r="AD1494" s="328"/>
      <c r="AE1494" s="328"/>
      <c r="AF1494" s="328"/>
      <c r="AG1494" s="328"/>
      <c r="AH1494" s="328"/>
      <c r="AI1494" s="328"/>
      <c r="AJ1494" s="328"/>
      <c r="AK1494" s="328"/>
      <c r="AL1494" s="328"/>
      <c r="AM1494" s="328"/>
      <c r="AN1494" s="328"/>
      <c r="AO1494" s="328"/>
      <c r="AP1494" s="328"/>
      <c r="AQ1494" s="328"/>
      <c r="AR1494" s="328"/>
      <c r="AS1494" s="328"/>
      <c r="AT1494" s="328"/>
      <c r="AU1494" s="328"/>
      <c r="AV1494" s="328"/>
    </row>
    <row r="1495" spans="1:51">
      <c r="A1495" s="277" t="s">
        <v>523</v>
      </c>
      <c r="B1495" s="334" t="s">
        <v>1611</v>
      </c>
      <c r="C1495" s="334">
        <f>'EXD Webster 2009'!C21</f>
        <v>101.9938650306747</v>
      </c>
      <c r="D1495" s="301">
        <f>'EXD Webster 2009'!L21</f>
        <v>1706365.2649164759</v>
      </c>
      <c r="E1495" s="301">
        <f>'EXD Webster 2009'!M21</f>
        <v>6325601.8484774642</v>
      </c>
      <c r="G1495" s="301">
        <f>E1495+F1495</f>
        <v>6325601.8484774642</v>
      </c>
      <c r="H1495" s="336">
        <f>G1495/D1495</f>
        <v>3.7070620098370868</v>
      </c>
      <c r="I1495" s="301">
        <f>'EXD Webster 2009'!N21</f>
        <v>4341913.4227214577</v>
      </c>
      <c r="J1495" s="301">
        <f>'EXD Webster 2009'!O21</f>
        <v>4489.2512582185245</v>
      </c>
      <c r="K1495" s="301">
        <f>I1495+J1495</f>
        <v>4346402.6739796763</v>
      </c>
      <c r="L1495" s="301">
        <f>'EXD Webster 2009'!P21</f>
        <v>19329233.49645669</v>
      </c>
      <c r="M1495" s="27">
        <v>0</v>
      </c>
      <c r="N1495" s="27">
        <f>J1495/K1495</f>
        <v>1.0328659341882957E-3</v>
      </c>
      <c r="O1495" s="328" t="s">
        <v>440</v>
      </c>
      <c r="P1495" s="328">
        <f>'EXD Webster 2009'!T21</f>
        <v>5.6704906596387801</v>
      </c>
      <c r="Q1495" s="301" t="b">
        <v>1</v>
      </c>
      <c r="R1495" s="328" t="s">
        <v>1395</v>
      </c>
      <c r="S1495" s="328" t="s">
        <v>141</v>
      </c>
      <c r="T1495" s="328" t="s">
        <v>145</v>
      </c>
      <c r="U1495" s="328" t="s">
        <v>145</v>
      </c>
      <c r="V1495" s="313">
        <v>0.55000000000000004</v>
      </c>
      <c r="W1495" s="313">
        <v>0.55000000000000004</v>
      </c>
      <c r="X1495" s="306" t="s">
        <v>248</v>
      </c>
      <c r="Y1495" s="328" t="s">
        <v>96</v>
      </c>
      <c r="Z1495" s="314" t="s">
        <v>100</v>
      </c>
      <c r="AA1495" s="328" t="s">
        <v>1495</v>
      </c>
      <c r="AB1495" s="334" t="s">
        <v>1739</v>
      </c>
      <c r="AC1495" s="334" t="s">
        <v>1702</v>
      </c>
      <c r="AD1495" s="328" t="s">
        <v>1717</v>
      </c>
      <c r="AE1495" s="328" t="s">
        <v>1725</v>
      </c>
      <c r="AF1495" s="328" t="s">
        <v>1735</v>
      </c>
      <c r="AG1495" s="328" t="s">
        <v>1707</v>
      </c>
      <c r="AH1495" s="328" t="s">
        <v>1714</v>
      </c>
      <c r="AI1495" s="328" t="s">
        <v>1496</v>
      </c>
      <c r="AJ1495" s="328" t="s">
        <v>1487</v>
      </c>
      <c r="AK1495" s="328" t="s">
        <v>1488</v>
      </c>
      <c r="AL1495" s="328" t="s">
        <v>1497</v>
      </c>
      <c r="AM1495" s="328"/>
      <c r="AN1495" s="328"/>
      <c r="AO1495" s="328"/>
      <c r="AP1495" s="328"/>
      <c r="AQ1495" s="328">
        <v>965</v>
      </c>
      <c r="AR1495" s="328" t="s">
        <v>1463</v>
      </c>
      <c r="AS1495" s="328"/>
      <c r="AT1495" s="328"/>
      <c r="AU1495" s="328"/>
      <c r="AV1495" s="328" t="b">
        <v>1</v>
      </c>
      <c r="AW1495" t="b">
        <v>1</v>
      </c>
      <c r="AX1495" t="b">
        <v>1</v>
      </c>
      <c r="AY1495" t="b">
        <v>1</v>
      </c>
    </row>
    <row r="1496" spans="1:51">
      <c r="A1496" s="277" t="s">
        <v>523</v>
      </c>
      <c r="B1496" s="334" t="s">
        <v>1611</v>
      </c>
      <c r="C1496" s="334">
        <f>'EXD Webster 2009'!C23</f>
        <v>107.3619631901839</v>
      </c>
      <c r="D1496" s="301">
        <f>'EXD Webster 2009'!L23</f>
        <v>2159484.5701902714</v>
      </c>
      <c r="H1496" s="336"/>
      <c r="O1496" s="328"/>
      <c r="P1496" s="328">
        <f>'EXD Webster 2009'!T23</f>
        <v>7.7530036431284399</v>
      </c>
      <c r="R1496" s="328" t="s">
        <v>1395</v>
      </c>
      <c r="S1496" s="328" t="s">
        <v>141</v>
      </c>
      <c r="T1496" s="328" t="s">
        <v>145</v>
      </c>
      <c r="U1496" s="328" t="s">
        <v>145</v>
      </c>
      <c r="V1496" s="334"/>
      <c r="W1496" s="334"/>
      <c r="X1496" s="334"/>
      <c r="Y1496" s="328"/>
      <c r="Z1496" s="334"/>
      <c r="AA1496" s="328"/>
      <c r="AD1496" s="328"/>
      <c r="AE1496" s="328"/>
      <c r="AF1496" s="328"/>
      <c r="AG1496" s="328"/>
      <c r="AH1496" s="328"/>
      <c r="AI1496" s="328"/>
      <c r="AJ1496" s="328"/>
      <c r="AK1496" s="328"/>
      <c r="AL1496" s="328"/>
      <c r="AM1496" s="328"/>
      <c r="AN1496" s="328"/>
      <c r="AO1496" s="328"/>
      <c r="AP1496" s="328"/>
      <c r="AQ1496" s="328"/>
      <c r="AR1496" s="328"/>
      <c r="AS1496" s="328"/>
      <c r="AT1496" s="328"/>
      <c r="AU1496" s="328"/>
      <c r="AV1496" s="328"/>
    </row>
    <row r="1497" spans="1:51">
      <c r="A1497" s="277" t="s">
        <v>523</v>
      </c>
      <c r="B1497" s="334" t="s">
        <v>1611</v>
      </c>
      <c r="C1497" s="334">
        <f>'EXD Webster 2009'!C24</f>
        <v>111.9631901840489</v>
      </c>
      <c r="D1497" s="301">
        <f>'EXD Webster 2009'!L24</f>
        <v>3854159.0341979209</v>
      </c>
      <c r="O1497" s="328"/>
      <c r="P1497" s="328">
        <f>'EXD Webster 2009'!T24</f>
        <v>6.3398573753972496</v>
      </c>
      <c r="R1497" s="328" t="s">
        <v>1395</v>
      </c>
      <c r="S1497" s="328" t="s">
        <v>141</v>
      </c>
      <c r="T1497" s="328" t="s">
        <v>145</v>
      </c>
      <c r="U1497" s="328" t="s">
        <v>145</v>
      </c>
      <c r="V1497" s="334"/>
      <c r="W1497" s="334"/>
      <c r="X1497" s="334"/>
      <c r="Y1497" s="328"/>
      <c r="Z1497" s="334"/>
      <c r="AA1497" s="328"/>
      <c r="AD1497" s="328"/>
      <c r="AE1497" s="328"/>
      <c r="AF1497" s="328"/>
      <c r="AG1497" s="328"/>
      <c r="AH1497" s="328"/>
      <c r="AI1497" s="328"/>
      <c r="AJ1497" s="328"/>
      <c r="AK1497" s="328"/>
      <c r="AL1497" s="328"/>
      <c r="AM1497" s="328"/>
      <c r="AN1497" s="328"/>
      <c r="AO1497" s="328"/>
      <c r="AP1497" s="328"/>
      <c r="AQ1497" s="328"/>
      <c r="AR1497" s="328"/>
      <c r="AS1497" s="328"/>
      <c r="AT1497" s="328"/>
      <c r="AU1497" s="328"/>
      <c r="AV1497" s="328"/>
    </row>
    <row r="1498" spans="1:51">
      <c r="A1498" s="277" t="s">
        <v>523</v>
      </c>
      <c r="B1498" s="334" t="s">
        <v>1611</v>
      </c>
      <c r="C1498" s="334">
        <f>'EXD Webster 2009'!C25</f>
        <v>115.1840490797545</v>
      </c>
      <c r="D1498" s="301">
        <f>'EXD Webster 2009'!L25</f>
        <v>3460091.1349060284</v>
      </c>
      <c r="O1498" s="328"/>
      <c r="P1498" s="328">
        <f>'EXD Webster 2009'!T25</f>
        <v>4.08154406635144</v>
      </c>
      <c r="R1498" s="328" t="s">
        <v>1395</v>
      </c>
      <c r="S1498" s="328" t="s">
        <v>141</v>
      </c>
      <c r="T1498" s="328" t="s">
        <v>145</v>
      </c>
      <c r="U1498" s="328" t="s">
        <v>145</v>
      </c>
      <c r="V1498" s="334"/>
      <c r="W1498" s="334"/>
      <c r="X1498" s="334"/>
      <c r="Y1498" s="328"/>
      <c r="Z1498" s="334"/>
      <c r="AA1498" s="328"/>
      <c r="AD1498" s="328"/>
      <c r="AE1498" s="328"/>
      <c r="AF1498" s="328"/>
      <c r="AG1498" s="328"/>
      <c r="AH1498" s="328"/>
      <c r="AI1498" s="328"/>
      <c r="AJ1498" s="328"/>
      <c r="AK1498" s="328"/>
      <c r="AL1498" s="328"/>
      <c r="AM1498" s="328"/>
      <c r="AN1498" s="328"/>
      <c r="AO1498" s="328"/>
      <c r="AP1498" s="328"/>
      <c r="AQ1498" s="328"/>
      <c r="AR1498" s="328"/>
      <c r="AS1498" s="328"/>
      <c r="AT1498" s="328"/>
      <c r="AU1498" s="328"/>
      <c r="AV1498" s="328"/>
    </row>
    <row r="1499" spans="1:51">
      <c r="A1499" s="277" t="s">
        <v>523</v>
      </c>
      <c r="B1499" s="334" t="s">
        <v>1611</v>
      </c>
      <c r="C1499" s="334">
        <f>'EXD Webster 2009'!C26</f>
        <v>118.0981595092023</v>
      </c>
      <c r="D1499" s="301">
        <f>'EXD Webster 2009'!L26</f>
        <v>3688853.3193313321</v>
      </c>
      <c r="O1499" s="328"/>
      <c r="P1499" s="334">
        <f>'EXD Webster 2009'!T26</f>
        <v>4.3050151151073504</v>
      </c>
      <c r="R1499" s="328" t="s">
        <v>1395</v>
      </c>
      <c r="S1499" s="328" t="s">
        <v>141</v>
      </c>
      <c r="T1499" s="328" t="s">
        <v>145</v>
      </c>
      <c r="U1499" s="328" t="s">
        <v>145</v>
      </c>
      <c r="V1499" s="334"/>
      <c r="W1499" s="334"/>
      <c r="X1499" s="334"/>
      <c r="Y1499" s="328"/>
      <c r="Z1499" s="334"/>
      <c r="AA1499" s="328"/>
      <c r="AD1499" s="328"/>
      <c r="AE1499" s="328"/>
      <c r="AF1499" s="328"/>
      <c r="AG1499" s="328"/>
      <c r="AH1499" s="328"/>
      <c r="AI1499" s="328"/>
      <c r="AJ1499" s="328"/>
      <c r="AK1499" s="328"/>
      <c r="AL1499" s="328"/>
      <c r="AM1499" s="328"/>
      <c r="AN1499" s="328"/>
      <c r="AO1499" s="328"/>
      <c r="AP1499" s="328"/>
      <c r="AQ1499" s="328"/>
      <c r="AR1499" s="328"/>
      <c r="AS1499" s="328"/>
      <c r="AT1499" s="328"/>
      <c r="AU1499" s="328"/>
      <c r="AV1499" s="328"/>
    </row>
    <row r="1500" spans="1:51">
      <c r="A1500" s="277" t="s">
        <v>523</v>
      </c>
      <c r="B1500" s="334" t="s">
        <v>1611</v>
      </c>
      <c r="C1500" s="334">
        <f>'EXD Webster 2009'!C27</f>
        <v>124.6932515337422</v>
      </c>
      <c r="D1500" s="301">
        <f>'EXD Webster 2009'!L27</f>
        <v>3037568.0785517329</v>
      </c>
      <c r="E1500" s="301">
        <f>'EXD Webster 2009'!M27</f>
        <v>4568407.3982558213</v>
      </c>
      <c r="G1500" s="301">
        <f>E1500+F1500</f>
        <v>4568407.3982558213</v>
      </c>
      <c r="H1500" s="27">
        <f>G1500/D1500</f>
        <v>1.5039687276520135</v>
      </c>
      <c r="I1500" s="301">
        <f>'EXD Webster 2009'!N27</f>
        <v>332459.7932270923</v>
      </c>
      <c r="J1500" s="301">
        <f>'EXD Webster 2009'!O27</f>
        <v>0.93543688990261642</v>
      </c>
      <c r="K1500" s="301">
        <f>I1500+J1500</f>
        <v>332460.72866398218</v>
      </c>
      <c r="L1500" s="301">
        <f>'EXD Webster 2009'!P27</f>
        <v>449107.006578192</v>
      </c>
      <c r="M1500" s="27">
        <v>0</v>
      </c>
      <c r="N1500" s="27">
        <f>J1500/K1500</f>
        <v>2.8136763510738191E-6</v>
      </c>
      <c r="O1500" s="328" t="s">
        <v>440</v>
      </c>
      <c r="P1500" s="334">
        <f>'EXD Webster 2009'!T27</f>
        <v>7.0070149600806104</v>
      </c>
      <c r="Q1500" s="301" t="b">
        <v>1</v>
      </c>
      <c r="R1500" s="328" t="s">
        <v>1395</v>
      </c>
      <c r="S1500" s="328" t="s">
        <v>141</v>
      </c>
      <c r="T1500" s="328" t="s">
        <v>145</v>
      </c>
      <c r="U1500" s="328" t="s">
        <v>145</v>
      </c>
      <c r="V1500" s="313">
        <v>0.55000000000000004</v>
      </c>
      <c r="W1500" s="313">
        <v>0.55000000000000004</v>
      </c>
      <c r="X1500" s="306" t="s">
        <v>248</v>
      </c>
      <c r="Y1500" s="328" t="s">
        <v>96</v>
      </c>
      <c r="Z1500" s="314" t="s">
        <v>100</v>
      </c>
      <c r="AA1500" s="328" t="s">
        <v>1495</v>
      </c>
      <c r="AB1500" s="334" t="s">
        <v>1739</v>
      </c>
      <c r="AC1500" s="334" t="s">
        <v>1702</v>
      </c>
      <c r="AD1500" s="328" t="s">
        <v>1717</v>
      </c>
      <c r="AE1500" s="328" t="s">
        <v>1725</v>
      </c>
      <c r="AF1500" s="328" t="s">
        <v>1735</v>
      </c>
      <c r="AG1500" s="328" t="s">
        <v>1707</v>
      </c>
      <c r="AH1500" s="328" t="s">
        <v>1714</v>
      </c>
      <c r="AI1500" s="328" t="s">
        <v>1496</v>
      </c>
      <c r="AJ1500" s="328" t="s">
        <v>1487</v>
      </c>
      <c r="AK1500" s="328" t="s">
        <v>1488</v>
      </c>
      <c r="AL1500" s="328" t="s">
        <v>1497</v>
      </c>
      <c r="AM1500" s="328"/>
      <c r="AN1500" s="328"/>
      <c r="AO1500" s="328"/>
      <c r="AP1500" s="328"/>
      <c r="AQ1500" s="328">
        <v>965</v>
      </c>
      <c r="AR1500" s="328" t="s">
        <v>1463</v>
      </c>
      <c r="AS1500" s="328"/>
      <c r="AT1500" s="328"/>
      <c r="AU1500" s="328"/>
      <c r="AV1500" s="328" t="b">
        <v>1</v>
      </c>
      <c r="AW1500" t="b">
        <v>1</v>
      </c>
      <c r="AX1500" t="b">
        <v>1</v>
      </c>
      <c r="AY1500" t="b">
        <v>1</v>
      </c>
    </row>
    <row r="1501" spans="1:51">
      <c r="A1501" s="277" t="s">
        <v>523</v>
      </c>
      <c r="B1501" s="334" t="s">
        <v>1611</v>
      </c>
      <c r="C1501" s="334">
        <f>'EXD Webster 2009'!C28</f>
        <v>128.68098159509191</v>
      </c>
      <c r="D1501" s="301">
        <f>'EXD Webster 2009'!L28</f>
        <v>2668749.9104046999</v>
      </c>
      <c r="O1501" s="328"/>
      <c r="P1501" s="334">
        <f>'EXD Webster 2009'!T28</f>
        <v>6.0454615921246404</v>
      </c>
      <c r="R1501" s="328" t="s">
        <v>1395</v>
      </c>
      <c r="S1501" s="328" t="s">
        <v>141</v>
      </c>
      <c r="T1501" s="328" t="s">
        <v>145</v>
      </c>
      <c r="U1501" s="328" t="s">
        <v>145</v>
      </c>
      <c r="V1501" s="334"/>
      <c r="W1501" s="334"/>
      <c r="X1501" s="334"/>
      <c r="Y1501" s="328"/>
      <c r="Z1501" s="334"/>
      <c r="AA1501" s="328"/>
      <c r="AD1501" s="328"/>
      <c r="AE1501" s="328"/>
      <c r="AF1501" s="328"/>
      <c r="AG1501" s="328"/>
      <c r="AH1501" s="328"/>
      <c r="AI1501" s="328"/>
      <c r="AJ1501" s="328"/>
      <c r="AK1501" s="328"/>
      <c r="AL1501" s="328"/>
      <c r="AM1501" s="328"/>
      <c r="AN1501" s="328"/>
      <c r="AO1501" s="328"/>
      <c r="AP1501" s="328"/>
      <c r="AQ1501" s="328"/>
      <c r="AR1501" s="328"/>
      <c r="AS1501" s="328"/>
      <c r="AT1501" s="328"/>
      <c r="AU1501" s="328"/>
      <c r="AV1501" s="328"/>
    </row>
    <row r="1502" spans="1:51">
      <c r="A1502" s="277" t="s">
        <v>523</v>
      </c>
      <c r="B1502" s="328" t="s">
        <v>1611</v>
      </c>
      <c r="C1502" s="334">
        <f>'EXD Webster 2009'!C29</f>
        <v>139.723926380368</v>
      </c>
      <c r="D1502" s="301">
        <f>'EXD Webster 2009'!L29</f>
        <v>3522814.5727208881</v>
      </c>
      <c r="E1502" s="301">
        <f>'EXD Webster 2009'!M29</f>
        <v>2393254.4474386042</v>
      </c>
      <c r="G1502" s="301">
        <f>E1502+F1502</f>
        <v>2393254.4474386042</v>
      </c>
      <c r="H1502" s="27">
        <f>G1502/D1502</f>
        <v>0.67935862022682203</v>
      </c>
      <c r="I1502" s="301">
        <f>'EXD Webster 2009'!N29</f>
        <v>96717.986429754121</v>
      </c>
      <c r="J1502" s="301">
        <f>'EXD Webster 2009'!O29</f>
        <v>1</v>
      </c>
      <c r="K1502" s="301">
        <f>I1502+J1502</f>
        <v>96718.986429754121</v>
      </c>
      <c r="L1502" s="301">
        <f>'EXD Webster 2009'!P29</f>
        <v>240382.16220669809</v>
      </c>
      <c r="M1502" s="27">
        <v>0</v>
      </c>
      <c r="N1502" s="27">
        <f>J1502/K1502</f>
        <v>1.0339231591578851E-5</v>
      </c>
      <c r="O1502" s="328" t="s">
        <v>440</v>
      </c>
      <c r="P1502" s="334">
        <f>'EXD Webster 2009'!T29</f>
        <v>6.9388807069219398</v>
      </c>
      <c r="Q1502" s="301" t="b">
        <v>1</v>
      </c>
      <c r="R1502" s="328" t="s">
        <v>1395</v>
      </c>
      <c r="S1502" s="328" t="s">
        <v>141</v>
      </c>
      <c r="T1502" s="328" t="s">
        <v>145</v>
      </c>
      <c r="U1502" s="328" t="s">
        <v>145</v>
      </c>
      <c r="V1502" s="313">
        <v>0.55000000000000004</v>
      </c>
      <c r="W1502" s="313">
        <v>0.55000000000000004</v>
      </c>
      <c r="X1502" s="306" t="s">
        <v>248</v>
      </c>
      <c r="Y1502" s="328" t="s">
        <v>96</v>
      </c>
      <c r="Z1502" s="314" t="s">
        <v>100</v>
      </c>
      <c r="AA1502" s="328" t="s">
        <v>1495</v>
      </c>
      <c r="AB1502" s="334" t="s">
        <v>1739</v>
      </c>
      <c r="AC1502" s="334" t="s">
        <v>1702</v>
      </c>
      <c r="AD1502" s="328" t="s">
        <v>1717</v>
      </c>
      <c r="AE1502" s="328" t="s">
        <v>1725</v>
      </c>
      <c r="AF1502" s="328" t="s">
        <v>1735</v>
      </c>
      <c r="AG1502" s="328" t="s">
        <v>1707</v>
      </c>
      <c r="AH1502" s="328" t="s">
        <v>1714</v>
      </c>
      <c r="AI1502" s="328" t="s">
        <v>1496</v>
      </c>
      <c r="AJ1502" s="328" t="s">
        <v>1487</v>
      </c>
      <c r="AK1502" s="328" t="s">
        <v>1488</v>
      </c>
      <c r="AL1502" s="328" t="s">
        <v>1497</v>
      </c>
      <c r="AM1502" s="328"/>
      <c r="AN1502" s="328"/>
      <c r="AO1502" s="328"/>
      <c r="AP1502" s="328"/>
      <c r="AQ1502" s="328">
        <v>965</v>
      </c>
      <c r="AR1502" s="328" t="s">
        <v>1463</v>
      </c>
      <c r="AS1502" s="328"/>
      <c r="AT1502" s="328"/>
      <c r="AU1502" s="328"/>
      <c r="AV1502" s="328" t="b">
        <v>1</v>
      </c>
      <c r="AW1502" t="b">
        <v>1</v>
      </c>
      <c r="AX1502" t="b">
        <v>1</v>
      </c>
      <c r="AY1502" t="b">
        <v>1</v>
      </c>
    </row>
    <row r="1503" spans="1:51">
      <c r="A1503" s="277" t="s">
        <v>523</v>
      </c>
      <c r="B1503" s="328" t="s">
        <v>1613</v>
      </c>
      <c r="C1503" s="334">
        <f>'EXD Webster 2009'!C30</f>
        <v>0</v>
      </c>
      <c r="D1503" s="301">
        <f>'EXD Webster 2009'!L30</f>
        <v>14826977.604563309</v>
      </c>
      <c r="O1503" s="328"/>
      <c r="P1503" s="334"/>
      <c r="R1503" s="328" t="s">
        <v>1395</v>
      </c>
      <c r="S1503" s="328" t="s">
        <v>141</v>
      </c>
      <c r="T1503" s="328" t="s">
        <v>145</v>
      </c>
      <c r="U1503" s="328" t="s">
        <v>145</v>
      </c>
      <c r="V1503" s="334"/>
      <c r="W1503" s="334"/>
      <c r="X1503" s="334"/>
      <c r="Y1503" s="328"/>
      <c r="Z1503" s="334"/>
      <c r="AA1503" s="328"/>
      <c r="AD1503" s="328"/>
      <c r="AE1503" s="328"/>
      <c r="AF1503" s="328"/>
      <c r="AG1503" s="328"/>
      <c r="AH1503" s="328"/>
      <c r="AI1503" s="328"/>
      <c r="AJ1503" s="328"/>
      <c r="AK1503" s="328"/>
      <c r="AL1503" s="328"/>
      <c r="AM1503" s="328"/>
      <c r="AN1503" s="328"/>
      <c r="AO1503" s="328"/>
      <c r="AP1503" s="328"/>
      <c r="AQ1503" s="328"/>
      <c r="AR1503" s="328"/>
      <c r="AS1503" s="328"/>
      <c r="AT1503" s="328"/>
      <c r="AU1503" s="328"/>
      <c r="AV1503" s="328"/>
    </row>
    <row r="1504" spans="1:51">
      <c r="A1504" s="277" t="s">
        <v>523</v>
      </c>
      <c r="B1504" s="328" t="s">
        <v>1613</v>
      </c>
      <c r="C1504" s="334">
        <f>'EXD Webster 2009'!C31</f>
        <v>7.0811380400419921</v>
      </c>
      <c r="D1504" s="301">
        <f>'EXD Webster 2009'!L31</f>
        <v>14826977.604563309</v>
      </c>
      <c r="O1504" s="328"/>
      <c r="P1504" s="334"/>
      <c r="R1504" s="328" t="s">
        <v>1395</v>
      </c>
      <c r="S1504" s="328" t="s">
        <v>141</v>
      </c>
      <c r="T1504" s="328" t="s">
        <v>145</v>
      </c>
      <c r="U1504" s="328" t="s">
        <v>145</v>
      </c>
      <c r="V1504" s="334"/>
      <c r="W1504" s="334"/>
      <c r="X1504" s="334"/>
      <c r="Y1504" s="328"/>
      <c r="Z1504" s="334"/>
      <c r="AA1504" s="328"/>
      <c r="AD1504" s="328"/>
      <c r="AE1504" s="328"/>
      <c r="AF1504" s="328"/>
      <c r="AG1504" s="328"/>
      <c r="AH1504" s="328"/>
      <c r="AI1504" s="328"/>
      <c r="AJ1504" s="328"/>
      <c r="AK1504" s="328"/>
      <c r="AL1504" s="328"/>
      <c r="AM1504" s="328"/>
      <c r="AN1504" s="328"/>
      <c r="AO1504" s="328"/>
      <c r="AP1504" s="328"/>
      <c r="AQ1504" s="328"/>
      <c r="AR1504" s="328"/>
      <c r="AS1504" s="328"/>
      <c r="AT1504" s="328"/>
      <c r="AU1504" s="328"/>
      <c r="AV1504" s="328"/>
    </row>
    <row r="1505" spans="1:51">
      <c r="A1505" s="277" t="s">
        <v>523</v>
      </c>
      <c r="B1505" s="328" t="s">
        <v>1613</v>
      </c>
      <c r="C1505" s="334">
        <f>'EXD Webster 2009'!C32</f>
        <v>9.4415173867230067</v>
      </c>
      <c r="D1505" s="301">
        <f>'EXD Webster 2009'!L32</f>
        <v>6744462.8748357268</v>
      </c>
      <c r="O1505" s="328"/>
      <c r="P1505" s="334"/>
      <c r="R1505" s="328" t="s">
        <v>1395</v>
      </c>
      <c r="S1505" s="328" t="s">
        <v>141</v>
      </c>
      <c r="T1505" s="328" t="s">
        <v>145</v>
      </c>
      <c r="U1505" s="328" t="s">
        <v>145</v>
      </c>
      <c r="V1505" s="334"/>
      <c r="W1505" s="334"/>
      <c r="X1505" s="334"/>
      <c r="Y1505" s="328"/>
      <c r="Z1505" s="334"/>
      <c r="AA1505" s="328"/>
      <c r="AD1505" s="328"/>
      <c r="AE1505" s="328"/>
      <c r="AF1505" s="328"/>
      <c r="AG1505" s="328"/>
      <c r="AH1505" s="328"/>
      <c r="AI1505" s="328"/>
      <c r="AJ1505" s="328"/>
      <c r="AK1505" s="328"/>
      <c r="AL1505" s="328"/>
      <c r="AM1505" s="328"/>
      <c r="AN1505" s="328"/>
      <c r="AO1505" s="328"/>
      <c r="AP1505" s="328"/>
      <c r="AQ1505" s="328"/>
      <c r="AR1505" s="328"/>
      <c r="AS1505" s="328"/>
      <c r="AT1505" s="328"/>
      <c r="AU1505" s="328"/>
      <c r="AV1505" s="328"/>
    </row>
    <row r="1506" spans="1:51">
      <c r="A1506" s="277" t="s">
        <v>523</v>
      </c>
      <c r="B1506" s="328" t="s">
        <v>1613</v>
      </c>
      <c r="C1506" s="334">
        <f>'EXD Webster 2009'!C33</f>
        <v>13.86722866174901</v>
      </c>
      <c r="D1506" s="301">
        <f>'EXD Webster 2009'!L33</f>
        <v>4832930.2385716531</v>
      </c>
      <c r="O1506" s="328"/>
      <c r="P1506" s="334"/>
      <c r="R1506" s="328" t="s">
        <v>1395</v>
      </c>
      <c r="S1506" s="328" t="s">
        <v>141</v>
      </c>
      <c r="T1506" s="328" t="s">
        <v>145</v>
      </c>
      <c r="U1506" s="328" t="s">
        <v>145</v>
      </c>
      <c r="V1506" s="334"/>
      <c r="W1506" s="334"/>
      <c r="X1506" s="334"/>
      <c r="Y1506" s="328"/>
      <c r="Z1506" s="334"/>
      <c r="AA1506" s="328"/>
      <c r="AD1506" s="328"/>
      <c r="AE1506" s="328"/>
      <c r="AF1506" s="328"/>
      <c r="AG1506" s="328"/>
      <c r="AH1506" s="328"/>
      <c r="AI1506" s="328"/>
      <c r="AJ1506" s="328"/>
      <c r="AK1506" s="328"/>
      <c r="AL1506" s="328"/>
      <c r="AM1506" s="328"/>
      <c r="AN1506" s="328"/>
      <c r="AO1506" s="328"/>
      <c r="AP1506" s="328"/>
      <c r="AQ1506" s="328"/>
      <c r="AR1506" s="328"/>
      <c r="AS1506" s="328"/>
      <c r="AT1506" s="328"/>
      <c r="AU1506" s="328"/>
      <c r="AV1506" s="328"/>
    </row>
    <row r="1507" spans="1:51">
      <c r="A1507" s="277" t="s">
        <v>523</v>
      </c>
      <c r="B1507" s="328" t="s">
        <v>1613</v>
      </c>
      <c r="C1507" s="334">
        <f>'EXD Webster 2009'!C34</f>
        <v>19.473129610116004</v>
      </c>
      <c r="D1507" s="301">
        <f>'EXD Webster 2009'!L34</f>
        <v>4029611.3202003464</v>
      </c>
      <c r="E1507" s="301">
        <f>'EXD Webster 2009'!M34</f>
        <v>2976351.4416312799</v>
      </c>
      <c r="G1507" s="301">
        <f>E1507+F1507</f>
        <v>2976351.4416312799</v>
      </c>
      <c r="H1507" s="27">
        <f>G1507/D1507</f>
        <v>0.73861998220793668</v>
      </c>
      <c r="I1507" s="301">
        <f>'EXD Webster 2009'!N34</f>
        <v>1412228.993138138</v>
      </c>
      <c r="J1507" s="301">
        <f>'EXD Webster 2009'!O34</f>
        <v>325337.38071044331</v>
      </c>
      <c r="K1507" s="301">
        <f>I1507+J1507</f>
        <v>1737566.3738485812</v>
      </c>
      <c r="L1507" s="301">
        <f>'EXD Webster 2009'!P34</f>
        <v>1673725.4139191408</v>
      </c>
      <c r="M1507" s="27">
        <v>0</v>
      </c>
      <c r="N1507" s="27">
        <f>J1507/K1507</f>
        <v>0.18723738304732787</v>
      </c>
      <c r="O1507" s="328" t="s">
        <v>440</v>
      </c>
      <c r="P1507" s="334">
        <f>'EXD Webster 2009'!T34</f>
        <v>27.226304417429599</v>
      </c>
      <c r="Q1507" s="301" t="b">
        <v>1</v>
      </c>
      <c r="R1507" s="328" t="s">
        <v>1395</v>
      </c>
      <c r="S1507" s="328" t="s">
        <v>141</v>
      </c>
      <c r="T1507" s="328" t="s">
        <v>145</v>
      </c>
      <c r="U1507" s="328" t="s">
        <v>145</v>
      </c>
      <c r="V1507" s="313">
        <v>0.55000000000000004</v>
      </c>
      <c r="W1507" s="313">
        <v>0.55000000000000004</v>
      </c>
      <c r="X1507" s="306" t="s">
        <v>248</v>
      </c>
      <c r="Y1507" s="328" t="s">
        <v>96</v>
      </c>
      <c r="Z1507" s="314" t="s">
        <v>100</v>
      </c>
      <c r="AA1507" s="328" t="s">
        <v>1495</v>
      </c>
      <c r="AB1507" s="334" t="s">
        <v>1739</v>
      </c>
      <c r="AC1507" s="334" t="s">
        <v>1702</v>
      </c>
      <c r="AD1507" s="328" t="s">
        <v>1717</v>
      </c>
      <c r="AE1507" s="328" t="s">
        <v>1725</v>
      </c>
      <c r="AF1507" s="328" t="s">
        <v>1735</v>
      </c>
      <c r="AG1507" s="328" t="s">
        <v>1707</v>
      </c>
      <c r="AH1507" s="328" t="s">
        <v>1714</v>
      </c>
      <c r="AI1507" s="328" t="s">
        <v>1496</v>
      </c>
      <c r="AJ1507" s="328" t="s">
        <v>1487</v>
      </c>
      <c r="AK1507" s="328" t="s">
        <v>1488</v>
      </c>
      <c r="AL1507" s="328" t="s">
        <v>1497</v>
      </c>
      <c r="AM1507" s="328"/>
      <c r="AN1507" s="328"/>
      <c r="AO1507" s="328"/>
      <c r="AP1507" s="328"/>
      <c r="AQ1507" s="328">
        <v>800</v>
      </c>
      <c r="AR1507" s="328" t="s">
        <v>1463</v>
      </c>
      <c r="AS1507" s="328"/>
      <c r="AT1507" s="328"/>
      <c r="AU1507" s="328"/>
      <c r="AV1507" s="328" t="b">
        <v>1</v>
      </c>
      <c r="AW1507" t="b">
        <v>1</v>
      </c>
      <c r="AX1507" t="b">
        <v>1</v>
      </c>
      <c r="AY1507" t="b">
        <v>1</v>
      </c>
    </row>
    <row r="1508" spans="1:51">
      <c r="A1508" s="277" t="s">
        <v>523</v>
      </c>
      <c r="B1508" s="328" t="s">
        <v>1613</v>
      </c>
      <c r="C1508" s="334">
        <f>'EXD Webster 2009'!C35</f>
        <v>22.718651211801998</v>
      </c>
      <c r="D1508" s="301">
        <f>'EXD Webster 2009'!L35</f>
        <v>2976351.4416312799</v>
      </c>
      <c r="H1508" s="336"/>
      <c r="O1508" s="328"/>
      <c r="P1508" s="334">
        <f>'EXD Webster 2009'!T35</f>
        <v>25.955867990600101</v>
      </c>
      <c r="R1508" s="328" t="s">
        <v>1395</v>
      </c>
      <c r="S1508" s="328" t="s">
        <v>141</v>
      </c>
      <c r="T1508" s="328" t="s">
        <v>145</v>
      </c>
      <c r="U1508" s="328" t="s">
        <v>145</v>
      </c>
      <c r="V1508" s="334"/>
      <c r="W1508" s="334"/>
      <c r="X1508" s="334"/>
      <c r="Y1508" s="328"/>
      <c r="Z1508" s="334"/>
      <c r="AA1508" s="328"/>
      <c r="AD1508" s="328"/>
      <c r="AE1508" s="328"/>
      <c r="AF1508" s="328"/>
      <c r="AG1508" s="328"/>
      <c r="AH1508" s="328"/>
      <c r="AI1508" s="328"/>
      <c r="AJ1508" s="328"/>
      <c r="AK1508" s="328"/>
      <c r="AL1508" s="328"/>
      <c r="AM1508" s="328"/>
      <c r="AN1508" s="328"/>
      <c r="AO1508" s="328"/>
      <c r="AP1508" s="328"/>
      <c r="AQ1508" s="328"/>
      <c r="AR1508" s="328"/>
      <c r="AS1508" s="328"/>
      <c r="AT1508" s="328"/>
      <c r="AU1508" s="328"/>
      <c r="AV1508" s="328"/>
    </row>
    <row r="1509" spans="1:51">
      <c r="A1509" s="277" t="s">
        <v>523</v>
      </c>
      <c r="B1509" s="328" t="s">
        <v>1613</v>
      </c>
      <c r="C1509" s="334">
        <f>'EXD Webster 2009'!C36</f>
        <v>28.619599578502999</v>
      </c>
      <c r="D1509" s="301">
        <f>'EXD Webster 2009'!L36</f>
        <v>8594300.3334064651</v>
      </c>
      <c r="E1509" s="301">
        <f>'EXD Webster 2009'!M36</f>
        <v>2407570.1346762404</v>
      </c>
      <c r="G1509" s="301">
        <f>E1509+F1509</f>
        <v>2407570.1346762404</v>
      </c>
      <c r="H1509" s="336">
        <f>G1509/D1509</f>
        <v>0.28013567611989282</v>
      </c>
      <c r="I1509" s="301">
        <f>'EXD Webster 2009'!N36</f>
        <v>920336.97223303292</v>
      </c>
      <c r="J1509" s="301">
        <f>'EXD Webster 2009'!O36</f>
        <v>1035.5719195780416</v>
      </c>
      <c r="K1509" s="301">
        <f>I1509+J1509</f>
        <v>921372.54415261094</v>
      </c>
      <c r="L1509" s="301">
        <f>'EXD Webster 2009'!P36</f>
        <v>513483.29074375163</v>
      </c>
      <c r="M1509" s="27">
        <v>0</v>
      </c>
      <c r="N1509" s="27">
        <f>J1509/K1509</f>
        <v>1.1239448431041108E-3</v>
      </c>
      <c r="O1509" s="328" t="s">
        <v>440</v>
      </c>
      <c r="P1509" s="334">
        <f>'EXD Webster 2009'!T36</f>
        <v>25.147452381288002</v>
      </c>
      <c r="Q1509" s="301" t="b">
        <v>1</v>
      </c>
      <c r="R1509" s="328" t="s">
        <v>1395</v>
      </c>
      <c r="S1509" s="328" t="s">
        <v>141</v>
      </c>
      <c r="T1509" s="328" t="s">
        <v>145</v>
      </c>
      <c r="U1509" s="328" t="s">
        <v>145</v>
      </c>
      <c r="V1509" s="313">
        <v>0.55000000000000004</v>
      </c>
      <c r="W1509" s="313">
        <v>0.55000000000000004</v>
      </c>
      <c r="X1509" s="306" t="s">
        <v>248</v>
      </c>
      <c r="Y1509" s="328" t="s">
        <v>96</v>
      </c>
      <c r="Z1509" s="314" t="s">
        <v>100</v>
      </c>
      <c r="AA1509" s="328" t="s">
        <v>1495</v>
      </c>
      <c r="AB1509" s="334" t="s">
        <v>1739</v>
      </c>
      <c r="AC1509" s="334" t="s">
        <v>1702</v>
      </c>
      <c r="AD1509" s="328" t="s">
        <v>1717</v>
      </c>
      <c r="AE1509" s="328" t="s">
        <v>1725</v>
      </c>
      <c r="AF1509" s="328" t="s">
        <v>1735</v>
      </c>
      <c r="AG1509" s="328" t="s">
        <v>1707</v>
      </c>
      <c r="AH1509" s="328" t="s">
        <v>1714</v>
      </c>
      <c r="AI1509" s="328" t="s">
        <v>1496</v>
      </c>
      <c r="AJ1509" s="328" t="s">
        <v>1487</v>
      </c>
      <c r="AK1509" s="328" t="s">
        <v>1488</v>
      </c>
      <c r="AL1509" s="328" t="s">
        <v>1497</v>
      </c>
      <c r="AM1509" s="328"/>
      <c r="AN1509" s="328"/>
      <c r="AO1509" s="328"/>
      <c r="AP1509" s="328"/>
      <c r="AQ1509" s="328">
        <v>800</v>
      </c>
      <c r="AR1509" s="328" t="s">
        <v>1463</v>
      </c>
      <c r="AS1509" s="328"/>
      <c r="AT1509" s="328"/>
      <c r="AU1509" s="328"/>
      <c r="AV1509" s="328" t="b">
        <v>1</v>
      </c>
      <c r="AW1509" t="b">
        <v>1</v>
      </c>
      <c r="AX1509" t="b">
        <v>1</v>
      </c>
      <c r="AY1509" t="b">
        <v>1</v>
      </c>
    </row>
    <row r="1510" spans="1:51">
      <c r="A1510" s="277" t="s">
        <v>523</v>
      </c>
      <c r="B1510" s="328" t="s">
        <v>1613</v>
      </c>
      <c r="C1510" s="334">
        <f>'EXD Webster 2009'!C37</f>
        <v>34.225500526870007</v>
      </c>
      <c r="D1510" s="301">
        <f>'EXD Webster 2009'!L37</f>
        <v>2481628.9228368113</v>
      </c>
      <c r="E1510" s="301">
        <f>'EXD Webster 2009'!M37</f>
        <v>695192.79617755406</v>
      </c>
      <c r="G1510" s="301">
        <f>E1510+F1510</f>
        <v>695192.79617755406</v>
      </c>
      <c r="H1510" s="336">
        <f>G1510/D1510</f>
        <v>0.28013567611988582</v>
      </c>
      <c r="I1510" s="301">
        <f>'EXD Webster 2009'!N37</f>
        <v>2449031.1404810669</v>
      </c>
      <c r="J1510" s="301">
        <f>'EXD Webster 2009'!O37</f>
        <v>1008776.7551778578</v>
      </c>
      <c r="K1510" s="301">
        <f>I1510+J1510</f>
        <v>3457807.8956589247</v>
      </c>
      <c r="L1510" s="301">
        <f>'EXD Webster 2009'!P37</f>
        <v>6543189.1297129681</v>
      </c>
      <c r="M1510" s="27">
        <v>0</v>
      </c>
      <c r="N1510" s="27">
        <f>J1510/K1510</f>
        <v>0.29173880840642358</v>
      </c>
      <c r="O1510" s="328" t="s">
        <v>440</v>
      </c>
      <c r="P1510" s="334">
        <f>'EXD Webster 2009'!T37</f>
        <v>23.588494586196902</v>
      </c>
      <c r="Q1510" s="301" t="b">
        <v>1</v>
      </c>
      <c r="R1510" s="328" t="s">
        <v>1395</v>
      </c>
      <c r="S1510" s="328" t="s">
        <v>141</v>
      </c>
      <c r="T1510" s="328" t="s">
        <v>145</v>
      </c>
      <c r="U1510" s="328" t="s">
        <v>145</v>
      </c>
      <c r="V1510" s="313">
        <v>0.55000000000000004</v>
      </c>
      <c r="W1510" s="313">
        <v>0.55000000000000004</v>
      </c>
      <c r="X1510" s="306" t="s">
        <v>248</v>
      </c>
      <c r="Y1510" s="328" t="s">
        <v>96</v>
      </c>
      <c r="Z1510" s="314" t="s">
        <v>100</v>
      </c>
      <c r="AA1510" s="328" t="s">
        <v>1495</v>
      </c>
      <c r="AB1510" s="334" t="s">
        <v>1739</v>
      </c>
      <c r="AC1510" s="334" t="s">
        <v>1702</v>
      </c>
      <c r="AD1510" s="328" t="s">
        <v>1717</v>
      </c>
      <c r="AE1510" s="328" t="s">
        <v>1725</v>
      </c>
      <c r="AF1510" s="328" t="s">
        <v>1735</v>
      </c>
      <c r="AG1510" s="328" t="s">
        <v>1707</v>
      </c>
      <c r="AH1510" s="328" t="s">
        <v>1714</v>
      </c>
      <c r="AI1510" s="328" t="s">
        <v>1496</v>
      </c>
      <c r="AJ1510" s="328" t="s">
        <v>1487</v>
      </c>
      <c r="AK1510" s="328" t="s">
        <v>1488</v>
      </c>
      <c r="AL1510" s="328" t="s">
        <v>1497</v>
      </c>
      <c r="AM1510" s="328"/>
      <c r="AN1510" s="328"/>
      <c r="AO1510" s="328"/>
      <c r="AP1510" s="328"/>
      <c r="AQ1510" s="328">
        <v>800</v>
      </c>
      <c r="AR1510" s="328" t="s">
        <v>1463</v>
      </c>
      <c r="AS1510" s="328"/>
      <c r="AT1510" s="328"/>
      <c r="AU1510" s="328"/>
      <c r="AV1510" s="328" t="b">
        <v>1</v>
      </c>
      <c r="AW1510" t="b">
        <v>1</v>
      </c>
      <c r="AX1510" t="b">
        <v>1</v>
      </c>
      <c r="AY1510" t="b">
        <v>1</v>
      </c>
    </row>
    <row r="1511" spans="1:51">
      <c r="A1511" s="277" t="s">
        <v>523</v>
      </c>
      <c r="B1511" s="328" t="s">
        <v>1613</v>
      </c>
      <c r="C1511" s="334">
        <f>'EXD Webster 2009'!C38</f>
        <v>41.896733403582004</v>
      </c>
      <c r="D1511" s="301">
        <f>'EXD Webster 2009'!L38</f>
        <v>3792690.1907322365</v>
      </c>
      <c r="O1511" s="328"/>
      <c r="P1511" s="334">
        <f>'EXD Webster 2009'!T38</f>
        <v>21.740411316126998</v>
      </c>
      <c r="R1511" s="328" t="s">
        <v>1395</v>
      </c>
      <c r="S1511" s="328" t="s">
        <v>141</v>
      </c>
      <c r="T1511" s="328" t="s">
        <v>145</v>
      </c>
      <c r="U1511" s="328" t="s">
        <v>145</v>
      </c>
      <c r="V1511" s="334"/>
      <c r="W1511" s="334"/>
      <c r="X1511" s="334"/>
      <c r="Y1511" s="328"/>
      <c r="Z1511" s="334"/>
      <c r="AA1511" s="328"/>
      <c r="AD1511" s="328"/>
      <c r="AE1511" s="328"/>
      <c r="AF1511" s="328"/>
      <c r="AG1511" s="328"/>
      <c r="AH1511" s="328"/>
      <c r="AI1511" s="328"/>
      <c r="AJ1511" s="328"/>
      <c r="AK1511" s="328"/>
      <c r="AL1511" s="328"/>
      <c r="AM1511" s="328"/>
      <c r="AN1511" s="328"/>
      <c r="AO1511" s="328"/>
      <c r="AP1511" s="328"/>
      <c r="AQ1511" s="328"/>
      <c r="AR1511" s="328"/>
      <c r="AS1511" s="328"/>
      <c r="AT1511" s="328"/>
      <c r="AU1511" s="328"/>
      <c r="AV1511" s="328"/>
    </row>
    <row r="1512" spans="1:51">
      <c r="A1512" s="277" t="s">
        <v>523</v>
      </c>
      <c r="B1512" s="328" t="s">
        <v>1613</v>
      </c>
      <c r="C1512" s="334">
        <f>'EXD Webster 2009'!C39</f>
        <v>51.928345626975101</v>
      </c>
      <c r="D1512" s="301">
        <f>'EXD Webster 2009'!L39</f>
        <v>4153565.3960687481</v>
      </c>
      <c r="I1512" s="301">
        <f>'EXD Webster 2009'!N39</f>
        <v>356600.67687472812</v>
      </c>
      <c r="J1512" s="301">
        <f>'EXD Webster 2009'!O39</f>
        <v>786.38581975996863</v>
      </c>
      <c r="K1512" s="301">
        <f>I1512+J1512</f>
        <v>357387.06269448809</v>
      </c>
      <c r="L1512" s="301">
        <f>'EXD Webster 2009'!P39</f>
        <v>56234.132519033657</v>
      </c>
      <c r="N1512" s="27">
        <f>J1512/K1512</f>
        <v>2.2003757322133668E-3</v>
      </c>
      <c r="O1512" s="328"/>
      <c r="P1512" s="334">
        <f>'EXD Webster 2009'!T39</f>
        <v>20.873095301862001</v>
      </c>
      <c r="R1512" s="328" t="s">
        <v>1395</v>
      </c>
      <c r="S1512" s="328" t="s">
        <v>141</v>
      </c>
      <c r="T1512" s="328" t="s">
        <v>145</v>
      </c>
      <c r="U1512" s="328" t="s">
        <v>145</v>
      </c>
      <c r="V1512" s="334"/>
      <c r="W1512" s="334"/>
      <c r="X1512" s="334"/>
      <c r="Y1512" s="328"/>
      <c r="Z1512" s="334"/>
      <c r="AA1512" s="328" t="s">
        <v>1495</v>
      </c>
      <c r="AD1512" s="328" t="s">
        <v>1717</v>
      </c>
      <c r="AE1512" s="328" t="s">
        <v>1725</v>
      </c>
      <c r="AF1512" s="328" t="s">
        <v>1735</v>
      </c>
      <c r="AG1512" s="328" t="s">
        <v>1707</v>
      </c>
      <c r="AH1512" s="328" t="s">
        <v>1714</v>
      </c>
      <c r="AI1512" s="328" t="s">
        <v>1496</v>
      </c>
      <c r="AJ1512" s="328" t="s">
        <v>1487</v>
      </c>
      <c r="AK1512" s="328" t="s">
        <v>1488</v>
      </c>
      <c r="AL1512" s="328" t="s">
        <v>1497</v>
      </c>
      <c r="AM1512" s="328"/>
      <c r="AN1512" s="328"/>
      <c r="AO1512" s="328"/>
      <c r="AP1512" s="328"/>
      <c r="AQ1512" s="328"/>
      <c r="AR1512" s="328"/>
      <c r="AS1512" s="328"/>
      <c r="AT1512" s="328"/>
      <c r="AU1512" s="328"/>
      <c r="AV1512" s="328" t="b">
        <v>1</v>
      </c>
      <c r="AW1512" t="b">
        <v>1</v>
      </c>
      <c r="AX1512" t="b">
        <v>1</v>
      </c>
      <c r="AY1512" t="b">
        <v>1</v>
      </c>
    </row>
    <row r="1513" spans="1:51">
      <c r="A1513" s="277" t="s">
        <v>523</v>
      </c>
      <c r="B1513" s="328" t="s">
        <v>1613</v>
      </c>
      <c r="C1513" s="334">
        <f>'EXD Webster 2009'!C40</f>
        <v>60.484720758692603</v>
      </c>
      <c r="D1513" s="301">
        <f>'EXD Webster 2009'!L40</f>
        <v>3463168.9912697081</v>
      </c>
      <c r="O1513" s="328"/>
      <c r="P1513" s="334">
        <f>'EXD Webster 2009'!T40</f>
        <v>20.0056584662535</v>
      </c>
      <c r="R1513" s="328" t="s">
        <v>1395</v>
      </c>
      <c r="S1513" s="328" t="s">
        <v>141</v>
      </c>
      <c r="T1513" s="328" t="s">
        <v>145</v>
      </c>
      <c r="U1513" s="328" t="s">
        <v>145</v>
      </c>
      <c r="V1513" s="334"/>
      <c r="W1513" s="334"/>
      <c r="X1513" s="334"/>
      <c r="Y1513" s="328"/>
      <c r="Z1513" s="334"/>
      <c r="AA1513" s="328"/>
      <c r="AD1513" s="328"/>
      <c r="AE1513" s="328"/>
      <c r="AF1513" s="328"/>
      <c r="AG1513" s="328"/>
      <c r="AH1513" s="328"/>
      <c r="AI1513" s="328"/>
      <c r="AJ1513" s="328"/>
      <c r="AK1513" s="328"/>
      <c r="AL1513" s="328"/>
      <c r="AM1513" s="328"/>
      <c r="AN1513" s="328"/>
      <c r="AO1513" s="328"/>
      <c r="AP1513" s="328"/>
      <c r="AQ1513" s="328"/>
      <c r="AR1513" s="328"/>
      <c r="AS1513" s="328"/>
      <c r="AT1513" s="328"/>
      <c r="AU1513" s="328"/>
      <c r="AV1513" s="328"/>
    </row>
    <row r="1514" spans="1:51">
      <c r="A1514" s="277" t="s">
        <v>523</v>
      </c>
      <c r="B1514" s="328" t="s">
        <v>1613</v>
      </c>
      <c r="C1514" s="334">
        <f>'EXD Webster 2009'!C41</f>
        <v>70.5163329820857</v>
      </c>
      <c r="D1514" s="301">
        <f>'EXD Webster 2009'!L41</f>
        <v>1832980.7108324296</v>
      </c>
      <c r="E1514" s="301">
        <f>'EXD Webster 2009'!M41</f>
        <v>194748.3039908731</v>
      </c>
      <c r="G1514" s="301">
        <f>E1514+F1514</f>
        <v>194748.3039908731</v>
      </c>
      <c r="H1514" s="27">
        <f>G1514/D1514</f>
        <v>0.10624678308940312</v>
      </c>
      <c r="I1514" s="301">
        <f>'EXD Webster 2009'!N41</f>
        <v>4927.1935265041539</v>
      </c>
      <c r="J1514" s="301">
        <f>'EXD Webster 2009'!O41</f>
        <v>1</v>
      </c>
      <c r="K1514" s="301">
        <f>I1514+J1514</f>
        <v>4928.1935265041539</v>
      </c>
      <c r="L1514" s="301">
        <f>'EXD Webster 2009'!P41</f>
        <v>3463.1689912697025</v>
      </c>
      <c r="M1514" s="27">
        <v>0</v>
      </c>
      <c r="N1514" s="27">
        <f>J1514/K1514</f>
        <v>2.0291410932260132E-4</v>
      </c>
      <c r="O1514" s="328" t="s">
        <v>440</v>
      </c>
      <c r="P1514" s="334">
        <f>'EXD Webster 2009'!T41</f>
        <v>19.196034643506501</v>
      </c>
      <c r="Q1514" s="301" t="b">
        <v>1</v>
      </c>
      <c r="R1514" s="328" t="s">
        <v>1395</v>
      </c>
      <c r="S1514" s="328" t="s">
        <v>141</v>
      </c>
      <c r="T1514" s="328" t="s">
        <v>145</v>
      </c>
      <c r="U1514" s="328" t="s">
        <v>145</v>
      </c>
      <c r="V1514" s="313">
        <v>0.55000000000000004</v>
      </c>
      <c r="W1514" s="313">
        <v>0.55000000000000004</v>
      </c>
      <c r="X1514" s="306" t="s">
        <v>248</v>
      </c>
      <c r="Y1514" s="328" t="s">
        <v>96</v>
      </c>
      <c r="Z1514" s="314" t="s">
        <v>100</v>
      </c>
      <c r="AA1514" s="328" t="s">
        <v>1495</v>
      </c>
      <c r="AB1514" s="334" t="s">
        <v>1739</v>
      </c>
      <c r="AC1514" s="334" t="s">
        <v>1702</v>
      </c>
      <c r="AD1514" s="328" t="s">
        <v>1717</v>
      </c>
      <c r="AE1514" s="328" t="s">
        <v>1725</v>
      </c>
      <c r="AF1514" s="328" t="s">
        <v>1735</v>
      </c>
      <c r="AG1514" s="328" t="s">
        <v>1707</v>
      </c>
      <c r="AH1514" s="328" t="s">
        <v>1714</v>
      </c>
      <c r="AI1514" s="328" t="s">
        <v>1496</v>
      </c>
      <c r="AJ1514" s="328" t="s">
        <v>1487</v>
      </c>
      <c r="AK1514" s="328" t="s">
        <v>1488</v>
      </c>
      <c r="AL1514" s="328" t="s">
        <v>1497</v>
      </c>
      <c r="AM1514" s="328"/>
      <c r="AN1514" s="328"/>
      <c r="AO1514" s="328"/>
      <c r="AP1514" s="328"/>
      <c r="AQ1514" s="328">
        <v>800</v>
      </c>
      <c r="AR1514" s="328" t="s">
        <v>1463</v>
      </c>
      <c r="AS1514" s="328"/>
      <c r="AT1514" s="328"/>
      <c r="AU1514" s="328"/>
      <c r="AV1514" s="328" t="b">
        <v>1</v>
      </c>
      <c r="AW1514" t="b">
        <v>1</v>
      </c>
      <c r="AX1514" t="b">
        <v>1</v>
      </c>
      <c r="AY1514" t="b">
        <v>1</v>
      </c>
    </row>
    <row r="1515" spans="1:51">
      <c r="A1515" s="277" t="s">
        <v>523</v>
      </c>
      <c r="B1515" s="328" t="s">
        <v>1613</v>
      </c>
      <c r="C1515" s="334">
        <f>'EXD Webster 2009'!C42</f>
        <v>79.957850368808508</v>
      </c>
      <c r="D1515" s="301">
        <f>'EXD Webster 2009'!L42</f>
        <v>2198392.6488622702</v>
      </c>
      <c r="O1515" s="328"/>
      <c r="P1515" s="334">
        <f>'EXD Webster 2009'!T42</f>
        <v>16.655645075221301</v>
      </c>
      <c r="R1515" s="328" t="s">
        <v>1395</v>
      </c>
      <c r="S1515" s="328" t="s">
        <v>141</v>
      </c>
      <c r="T1515" s="328" t="s">
        <v>145</v>
      </c>
      <c r="U1515" s="328" t="s">
        <v>145</v>
      </c>
      <c r="V1515" s="334"/>
      <c r="W1515" s="334"/>
      <c r="X1515" s="334"/>
      <c r="Y1515" s="328"/>
      <c r="Z1515" s="334"/>
      <c r="AA1515" s="328"/>
      <c r="AD1515" s="328"/>
      <c r="AE1515" s="328"/>
      <c r="AF1515" s="328"/>
      <c r="AG1515" s="328"/>
      <c r="AH1515" s="328"/>
      <c r="AI1515" s="328"/>
      <c r="AJ1515" s="328"/>
      <c r="AK1515" s="328"/>
      <c r="AL1515" s="328"/>
      <c r="AM1515" s="328"/>
      <c r="AN1515" s="328"/>
      <c r="AO1515" s="328"/>
      <c r="AP1515" s="328"/>
      <c r="AQ1515" s="328"/>
      <c r="AR1515" s="328"/>
      <c r="AS1515" s="328"/>
      <c r="AT1515" s="328"/>
      <c r="AU1515" s="328"/>
      <c r="AV1515" s="328"/>
    </row>
    <row r="1516" spans="1:51">
      <c r="A1516" s="277" t="s">
        <v>523</v>
      </c>
      <c r="B1516" s="328" t="s">
        <v>1613</v>
      </c>
      <c r="C1516" s="334">
        <f>'EXD Webster 2009'!C43</f>
        <v>89.694415173866503</v>
      </c>
      <c r="D1516" s="301">
        <f>'EXD Webster 2009'!L43</f>
        <v>4281332.3987193918</v>
      </c>
      <c r="I1516" s="301">
        <f>'EXD Webster 2009'!N43</f>
        <v>5080.2180469129471</v>
      </c>
      <c r="J1516" s="301">
        <f>'EXD Webster 2009'!O43</f>
        <v>0.94066402507174862</v>
      </c>
      <c r="K1516" s="301">
        <f>I1516+J1516</f>
        <v>5081.1587109380189</v>
      </c>
      <c r="L1516" s="301">
        <f>'EXD Webster 2009'!P43</f>
        <v>7847.5997035145592</v>
      </c>
      <c r="N1516" s="27">
        <f>J1516/K1516</f>
        <v>1.8512785736190775E-4</v>
      </c>
      <c r="O1516" s="328"/>
      <c r="P1516" s="334">
        <f>'EXD Webster 2009'!T43</f>
        <v>14.1728872877823</v>
      </c>
      <c r="R1516" s="328" t="s">
        <v>1395</v>
      </c>
      <c r="S1516" s="328" t="s">
        <v>141</v>
      </c>
      <c r="T1516" s="328" t="s">
        <v>145</v>
      </c>
      <c r="U1516" s="328" t="s">
        <v>145</v>
      </c>
      <c r="V1516" s="334"/>
      <c r="W1516" s="334"/>
      <c r="X1516" s="334"/>
      <c r="Y1516" s="328"/>
      <c r="Z1516" s="334"/>
      <c r="AA1516" s="328" t="s">
        <v>1495</v>
      </c>
      <c r="AD1516" s="328" t="s">
        <v>1717</v>
      </c>
      <c r="AE1516" s="328" t="s">
        <v>1725</v>
      </c>
      <c r="AF1516" s="328" t="s">
        <v>1735</v>
      </c>
      <c r="AG1516" s="328" t="s">
        <v>1707</v>
      </c>
      <c r="AH1516" s="328" t="s">
        <v>1714</v>
      </c>
      <c r="AI1516" s="328" t="s">
        <v>1496</v>
      </c>
      <c r="AJ1516" s="328" t="s">
        <v>1487</v>
      </c>
      <c r="AK1516" s="328" t="s">
        <v>1488</v>
      </c>
      <c r="AL1516" s="328" t="s">
        <v>1497</v>
      </c>
      <c r="AM1516" s="328"/>
      <c r="AN1516" s="328"/>
      <c r="AO1516" s="328"/>
      <c r="AP1516" s="328"/>
      <c r="AQ1516" s="328"/>
      <c r="AR1516" s="328"/>
      <c r="AS1516" s="328"/>
      <c r="AT1516" s="328"/>
      <c r="AU1516" s="328"/>
      <c r="AV1516" s="328" t="b">
        <v>1</v>
      </c>
      <c r="AW1516" t="b">
        <v>1</v>
      </c>
      <c r="AX1516" t="b">
        <v>1</v>
      </c>
      <c r="AY1516" t="b">
        <v>1</v>
      </c>
    </row>
    <row r="1517" spans="1:51">
      <c r="A1517" s="277" t="s">
        <v>523</v>
      </c>
      <c r="B1517" s="328" t="s">
        <v>1613</v>
      </c>
      <c r="C1517" s="334">
        <f>'EXD Webster 2009'!C44</f>
        <v>99.135932560589396</v>
      </c>
      <c r="D1517" s="301">
        <f>'EXD Webster 2009'!L44</f>
        <v>3569698.8468259997</v>
      </c>
      <c r="O1517" s="328"/>
      <c r="P1517" s="334">
        <f>'EXD Webster 2009'!T44</f>
        <v>12.7864019605276</v>
      </c>
      <c r="R1517" s="328" t="s">
        <v>1395</v>
      </c>
      <c r="S1517" s="328" t="s">
        <v>141</v>
      </c>
      <c r="T1517" s="328" t="s">
        <v>145</v>
      </c>
      <c r="U1517" s="328" t="s">
        <v>145</v>
      </c>
      <c r="V1517" s="334"/>
      <c r="W1517" s="334"/>
      <c r="X1517" s="334"/>
      <c r="Y1517" s="328"/>
      <c r="Z1517" s="334"/>
      <c r="AA1517" s="328"/>
      <c r="AD1517" s="328"/>
      <c r="AE1517" s="328"/>
      <c r="AF1517" s="328"/>
      <c r="AG1517" s="328"/>
      <c r="AH1517" s="328"/>
      <c r="AI1517" s="328"/>
      <c r="AJ1517" s="328"/>
      <c r="AK1517" s="328"/>
      <c r="AL1517" s="328"/>
      <c r="AM1517" s="328"/>
      <c r="AN1517" s="328"/>
      <c r="AO1517" s="328"/>
      <c r="AP1517" s="328"/>
      <c r="AQ1517" s="328"/>
      <c r="AR1517" s="328"/>
      <c r="AS1517" s="328"/>
      <c r="AT1517" s="328"/>
      <c r="AU1517" s="328"/>
      <c r="AV1517" s="328"/>
    </row>
    <row r="1518" spans="1:51">
      <c r="A1518" s="277" t="s">
        <v>523</v>
      </c>
      <c r="B1518" s="328" t="s">
        <v>1613</v>
      </c>
      <c r="C1518" s="334">
        <f>'EXD Webster 2009'!C45</f>
        <v>108.2824025289772</v>
      </c>
      <c r="D1518" s="301">
        <f>'EXD Webster 2009'!L45</f>
        <v>3359818.2862837487</v>
      </c>
      <c r="O1518" s="328"/>
      <c r="P1518" s="334">
        <f>'EXD Webster 2009'!T45</f>
        <v>11.919025535590899</v>
      </c>
      <c r="R1518" s="328" t="s">
        <v>1395</v>
      </c>
      <c r="S1518" s="328" t="s">
        <v>141</v>
      </c>
      <c r="T1518" s="328" t="s">
        <v>145</v>
      </c>
      <c r="U1518" s="328" t="s">
        <v>145</v>
      </c>
      <c r="V1518" s="334"/>
      <c r="W1518" s="334"/>
      <c r="X1518" s="334"/>
      <c r="Y1518" s="328"/>
      <c r="Z1518" s="334"/>
      <c r="AA1518" s="328"/>
      <c r="AD1518" s="328"/>
      <c r="AE1518" s="328"/>
      <c r="AF1518" s="328"/>
      <c r="AG1518" s="328"/>
      <c r="AH1518" s="328"/>
      <c r="AI1518" s="328"/>
      <c r="AJ1518" s="328"/>
      <c r="AK1518" s="328"/>
      <c r="AL1518" s="328"/>
      <c r="AM1518" s="328"/>
      <c r="AN1518" s="328"/>
      <c r="AO1518" s="328"/>
      <c r="AP1518" s="328"/>
      <c r="AQ1518" s="328"/>
      <c r="AR1518" s="328"/>
      <c r="AS1518" s="328"/>
      <c r="AT1518" s="328"/>
      <c r="AU1518" s="328"/>
      <c r="AV1518" s="328"/>
    </row>
    <row r="1519" spans="1:51">
      <c r="A1519" s="277" t="s">
        <v>523</v>
      </c>
      <c r="B1519" s="328" t="s">
        <v>1613</v>
      </c>
      <c r="C1519" s="334">
        <f>'EXD Webster 2009'!C46</f>
        <v>117.72391991570001</v>
      </c>
      <c r="D1519" s="301">
        <f>'EXD Webster 2009'!L46</f>
        <v>5134832.9074375127</v>
      </c>
      <c r="E1519" s="301">
        <f>'EXD Webster 2009'!M46</f>
        <v>379269.01907322323</v>
      </c>
      <c r="G1519" s="301">
        <f>E1519+F1519</f>
        <v>379269.01907322323</v>
      </c>
      <c r="H1519" s="27">
        <f>G1519/D1519</f>
        <v>7.386199822079384E-2</v>
      </c>
      <c r="I1519" s="301">
        <f>'EXD Webster 2009'!N46</f>
        <v>441734.47031400725</v>
      </c>
      <c r="J1519" s="301">
        <f>'EXD Webster 2009'!O46</f>
        <v>218604.17096320743</v>
      </c>
      <c r="K1519" s="301">
        <f>I1519+J1519</f>
        <v>660338.64127721475</v>
      </c>
      <c r="L1519" s="301">
        <f>'EXD Webster 2009'!P46</f>
        <v>1062467.830894032</v>
      </c>
      <c r="M1519" s="27">
        <v>0</v>
      </c>
      <c r="N1519" s="27">
        <f>J1519/K1519</f>
        <v>0.3310485821947165</v>
      </c>
      <c r="O1519" s="328" t="s">
        <v>440</v>
      </c>
      <c r="P1519" s="334">
        <f>'EXD Webster 2009'!T46</f>
        <v>11.4555548619515</v>
      </c>
      <c r="Q1519" s="301" t="b">
        <v>1</v>
      </c>
      <c r="R1519" s="328" t="s">
        <v>1395</v>
      </c>
      <c r="S1519" s="328" t="s">
        <v>141</v>
      </c>
      <c r="T1519" s="328" t="s">
        <v>145</v>
      </c>
      <c r="U1519" s="328" t="s">
        <v>145</v>
      </c>
      <c r="V1519" s="313">
        <v>0.55000000000000004</v>
      </c>
      <c r="W1519" s="313">
        <v>0.55000000000000004</v>
      </c>
      <c r="X1519" s="306" t="s">
        <v>248</v>
      </c>
      <c r="Y1519" s="328" t="s">
        <v>96</v>
      </c>
      <c r="Z1519" s="314" t="s">
        <v>100</v>
      </c>
      <c r="AA1519" s="328" t="s">
        <v>1495</v>
      </c>
      <c r="AB1519" s="334" t="s">
        <v>1739</v>
      </c>
      <c r="AC1519" s="334" t="s">
        <v>1702</v>
      </c>
      <c r="AD1519" s="328" t="s">
        <v>1717</v>
      </c>
      <c r="AE1519" s="328" t="s">
        <v>1725</v>
      </c>
      <c r="AF1519" s="328" t="s">
        <v>1735</v>
      </c>
      <c r="AG1519" s="328" t="s">
        <v>1707</v>
      </c>
      <c r="AH1519" s="328" t="s">
        <v>1714</v>
      </c>
      <c r="AI1519" s="328" t="s">
        <v>1496</v>
      </c>
      <c r="AJ1519" s="328" t="s">
        <v>1487</v>
      </c>
      <c r="AK1519" s="328" t="s">
        <v>1488</v>
      </c>
      <c r="AL1519" s="328" t="s">
        <v>1497</v>
      </c>
      <c r="AM1519" s="328"/>
      <c r="AN1519" s="328"/>
      <c r="AO1519" s="328"/>
      <c r="AP1519" s="328"/>
      <c r="AQ1519" s="328">
        <v>800</v>
      </c>
      <c r="AR1519" s="328" t="s">
        <v>1463</v>
      </c>
      <c r="AS1519" s="328"/>
      <c r="AT1519" s="328"/>
      <c r="AU1519" s="328"/>
      <c r="AV1519" s="328" t="b">
        <v>1</v>
      </c>
      <c r="AW1519" t="b">
        <v>1</v>
      </c>
      <c r="AX1519" t="b">
        <v>1</v>
      </c>
      <c r="AY1519" t="b">
        <v>1</v>
      </c>
    </row>
    <row r="1520" spans="1:51">
      <c r="A1520" s="277" t="s">
        <v>523</v>
      </c>
      <c r="B1520" s="328" t="s">
        <v>1613</v>
      </c>
      <c r="C1520" s="334">
        <f>'EXD Webster 2009'!C47</f>
        <v>128.05057955742819</v>
      </c>
      <c r="D1520" s="301">
        <f>'EXD Webster 2009'!L47</f>
        <v>6951927.9617755488</v>
      </c>
      <c r="E1520" s="301">
        <f>'EXD Webster 2009'!M47</f>
        <v>833782.22347177542</v>
      </c>
      <c r="G1520" s="301">
        <f>E1520+F1520</f>
        <v>833782.22347177542</v>
      </c>
      <c r="H1520" s="27">
        <f>G1520/D1520</f>
        <v>0.11993539462092244</v>
      </c>
      <c r="I1520" s="301">
        <f>'EXD Webster 2009'!N47</f>
        <v>79676.137652241945</v>
      </c>
      <c r="J1520" s="301">
        <f>'EXD Webster 2009'!O47</f>
        <v>107.71050560367473</v>
      </c>
      <c r="K1520" s="301">
        <f>I1520+J1520</f>
        <v>79783.848157845627</v>
      </c>
      <c r="L1520" s="301">
        <f>'EXD Webster 2009'!P47</f>
        <v>67444.628748357238</v>
      </c>
      <c r="M1520" s="27">
        <v>0</v>
      </c>
      <c r="N1520" s="27">
        <f>J1520/K1520</f>
        <v>1.3500289606309609E-3</v>
      </c>
      <c r="O1520" s="328" t="s">
        <v>440</v>
      </c>
      <c r="P1520" s="334">
        <f>'EXD Webster 2009'!T47</f>
        <v>8.6279125495115707</v>
      </c>
      <c r="Q1520" s="301" t="b">
        <v>1</v>
      </c>
      <c r="R1520" s="328" t="s">
        <v>1395</v>
      </c>
      <c r="S1520" s="328" t="s">
        <v>141</v>
      </c>
      <c r="T1520" s="328" t="s">
        <v>145</v>
      </c>
      <c r="U1520" s="328" t="s">
        <v>145</v>
      </c>
      <c r="V1520" s="313">
        <v>0.55000000000000004</v>
      </c>
      <c r="W1520" s="313">
        <v>0.55000000000000004</v>
      </c>
      <c r="X1520" s="306" t="s">
        <v>248</v>
      </c>
      <c r="Y1520" s="328" t="s">
        <v>96</v>
      </c>
      <c r="Z1520" s="314" t="s">
        <v>100</v>
      </c>
      <c r="AA1520" s="328" t="s">
        <v>1495</v>
      </c>
      <c r="AB1520" s="334" t="s">
        <v>1739</v>
      </c>
      <c r="AC1520" s="334" t="s">
        <v>1702</v>
      </c>
      <c r="AD1520" s="328" t="s">
        <v>1717</v>
      </c>
      <c r="AE1520" s="328" t="s">
        <v>1725</v>
      </c>
      <c r="AF1520" s="328" t="s">
        <v>1735</v>
      </c>
      <c r="AG1520" s="328" t="s">
        <v>1707</v>
      </c>
      <c r="AH1520" s="328" t="s">
        <v>1714</v>
      </c>
      <c r="AI1520" s="328" t="s">
        <v>1496</v>
      </c>
      <c r="AJ1520" s="328" t="s">
        <v>1487</v>
      </c>
      <c r="AK1520" s="328" t="s">
        <v>1488</v>
      </c>
      <c r="AL1520" s="328" t="s">
        <v>1497</v>
      </c>
      <c r="AM1520" s="328"/>
      <c r="AN1520" s="328"/>
      <c r="AO1520" s="328"/>
      <c r="AP1520" s="328"/>
      <c r="AQ1520" s="328">
        <v>800</v>
      </c>
      <c r="AR1520" s="328" t="s">
        <v>1463</v>
      </c>
      <c r="AS1520" s="328"/>
      <c r="AT1520" s="328"/>
      <c r="AU1520" s="328"/>
      <c r="AV1520" s="328" t="b">
        <v>1</v>
      </c>
      <c r="AW1520" t="b">
        <v>1</v>
      </c>
      <c r="AX1520" t="b">
        <v>1</v>
      </c>
      <c r="AY1520" t="b">
        <v>1</v>
      </c>
    </row>
    <row r="1521" spans="1:51">
      <c r="A1521" s="277" t="s">
        <v>523</v>
      </c>
      <c r="B1521" s="328" t="s">
        <v>1613</v>
      </c>
      <c r="C1521" s="334">
        <f>'EXD Webster 2009'!C48</f>
        <v>129.23076923076852</v>
      </c>
      <c r="D1521" s="301">
        <f>'EXD Webster 2009'!L48</f>
        <v>3463168.9912697081</v>
      </c>
      <c r="O1521" s="328"/>
      <c r="P1521" s="334">
        <f>'EXD Webster 2009'!T48</f>
        <v>8.1074142017434507</v>
      </c>
      <c r="R1521" s="328" t="s">
        <v>1395</v>
      </c>
      <c r="S1521" s="328" t="s">
        <v>141</v>
      </c>
      <c r="T1521" s="328" t="s">
        <v>145</v>
      </c>
      <c r="U1521" s="328" t="s">
        <v>145</v>
      </c>
      <c r="V1521" s="334"/>
      <c r="W1521" s="334"/>
      <c r="X1521" s="334"/>
      <c r="Y1521" s="328"/>
      <c r="Z1521" s="334"/>
      <c r="AA1521" s="328"/>
      <c r="AD1521" s="328"/>
      <c r="AE1521" s="328"/>
      <c r="AF1521" s="328"/>
      <c r="AG1521" s="328"/>
      <c r="AH1521" s="328"/>
      <c r="AI1521" s="328"/>
      <c r="AJ1521" s="328"/>
      <c r="AK1521" s="328"/>
      <c r="AL1521" s="328"/>
      <c r="AM1521" s="328"/>
      <c r="AN1521" s="328"/>
      <c r="AO1521" s="328"/>
      <c r="AP1521" s="328"/>
      <c r="AQ1521" s="328"/>
      <c r="AR1521" s="328"/>
      <c r="AS1521" s="328"/>
      <c r="AT1521" s="328"/>
      <c r="AU1521" s="328"/>
      <c r="AV1521" s="328"/>
    </row>
    <row r="1522" spans="1:51">
      <c r="A1522" s="277" t="s">
        <v>523</v>
      </c>
      <c r="B1522" s="328" t="s">
        <v>1613</v>
      </c>
      <c r="C1522" s="334">
        <f>'EXD Webster 2009'!C49</f>
        <v>135.1317175974703</v>
      </c>
      <c r="D1522" s="301">
        <f>'EXD Webster 2009'!L49</f>
        <v>6158482.1106601842</v>
      </c>
      <c r="O1522" s="328"/>
      <c r="P1522" s="334">
        <f>'EXD Webster 2009'!T49</f>
        <v>5.3363162780582396</v>
      </c>
      <c r="R1522" s="328" t="s">
        <v>1395</v>
      </c>
      <c r="S1522" s="328" t="s">
        <v>141</v>
      </c>
      <c r="T1522" s="328" t="s">
        <v>145</v>
      </c>
      <c r="U1522" s="328" t="s">
        <v>145</v>
      </c>
      <c r="V1522" s="334"/>
      <c r="W1522" s="334"/>
      <c r="X1522" s="334"/>
      <c r="Y1522" s="328"/>
      <c r="Z1522" s="334"/>
      <c r="AA1522" s="328"/>
      <c r="AD1522" s="328"/>
      <c r="AE1522" s="328"/>
      <c r="AF1522" s="328"/>
      <c r="AG1522" s="328"/>
      <c r="AH1522" s="328"/>
      <c r="AI1522" s="328"/>
      <c r="AJ1522" s="328"/>
      <c r="AK1522" s="328"/>
      <c r="AL1522" s="328"/>
      <c r="AM1522" s="328"/>
      <c r="AN1522" s="328"/>
      <c r="AO1522" s="328"/>
      <c r="AP1522" s="328"/>
      <c r="AQ1522" s="328"/>
      <c r="AR1522" s="328"/>
      <c r="AS1522" s="328"/>
      <c r="AT1522" s="328"/>
      <c r="AU1522" s="328"/>
      <c r="AV1522" s="328"/>
    </row>
    <row r="1523" spans="1:51">
      <c r="A1523" s="277" t="s">
        <v>523</v>
      </c>
      <c r="B1523" s="328" t="s">
        <v>1613</v>
      </c>
      <c r="C1523" s="334">
        <f>'EXD Webster 2009'!C50</f>
        <v>135.42676501580542</v>
      </c>
      <c r="D1523" s="301">
        <f>'EXD Webster 2009'!L50</f>
        <v>4981595.0486132624</v>
      </c>
      <c r="O1523" s="328"/>
      <c r="P1523" s="334">
        <f>'EXD Webster 2009'!T50</f>
        <v>8.6247107839090091</v>
      </c>
      <c r="R1523" s="328" t="s">
        <v>1395</v>
      </c>
      <c r="S1523" s="328" t="s">
        <v>141</v>
      </c>
      <c r="T1523" s="328" t="s">
        <v>145</v>
      </c>
      <c r="U1523" s="328" t="s">
        <v>145</v>
      </c>
      <c r="V1523" s="334"/>
      <c r="W1523" s="334"/>
      <c r="X1523" s="334"/>
      <c r="Y1523" s="328"/>
      <c r="Z1523" s="334"/>
      <c r="AA1523" s="328"/>
      <c r="AD1523" s="328"/>
      <c r="AE1523" s="328"/>
      <c r="AF1523" s="328"/>
      <c r="AG1523" s="328"/>
      <c r="AH1523" s="328"/>
      <c r="AI1523" s="328"/>
      <c r="AJ1523" s="328"/>
      <c r="AK1523" s="328"/>
      <c r="AL1523" s="328"/>
      <c r="AM1523" s="328"/>
      <c r="AN1523" s="328"/>
      <c r="AO1523" s="328"/>
      <c r="AP1523" s="328"/>
      <c r="AQ1523" s="328"/>
      <c r="AR1523" s="328"/>
      <c r="AS1523" s="328"/>
      <c r="AT1523" s="328"/>
      <c r="AU1523" s="328"/>
      <c r="AV1523" s="328"/>
    </row>
    <row r="1524" spans="1:51">
      <c r="A1524" s="277" t="s">
        <v>523</v>
      </c>
      <c r="B1524" s="328" t="s">
        <v>1613</v>
      </c>
      <c r="C1524" s="334">
        <f>'EXD Webster 2009'!C51</f>
        <v>138.67228661749132</v>
      </c>
      <c r="D1524" s="301">
        <f>'EXD Webster 2009'!L51</f>
        <v>6158482.1106601842</v>
      </c>
      <c r="O1524" s="328"/>
      <c r="P1524" s="334">
        <f>'EXD Webster 2009'!T51</f>
        <v>8.6247107839090091</v>
      </c>
      <c r="R1524" s="328" t="s">
        <v>1395</v>
      </c>
      <c r="S1524" s="328" t="s">
        <v>141</v>
      </c>
      <c r="T1524" s="328" t="s">
        <v>145</v>
      </c>
      <c r="U1524" s="328" t="s">
        <v>145</v>
      </c>
      <c r="V1524" s="334"/>
      <c r="W1524" s="334"/>
      <c r="X1524" s="334"/>
      <c r="Y1524" s="328"/>
      <c r="Z1524" s="334"/>
      <c r="AA1524" s="328"/>
      <c r="AD1524" s="328"/>
      <c r="AE1524" s="328"/>
      <c r="AF1524" s="328"/>
      <c r="AG1524" s="328"/>
      <c r="AH1524" s="328"/>
      <c r="AI1524" s="328"/>
      <c r="AJ1524" s="328"/>
      <c r="AK1524" s="328"/>
      <c r="AL1524" s="328"/>
      <c r="AM1524" s="328"/>
      <c r="AN1524" s="328"/>
      <c r="AO1524" s="328"/>
      <c r="AP1524" s="328"/>
      <c r="AQ1524" s="328"/>
      <c r="AR1524" s="328"/>
      <c r="AS1524" s="328"/>
      <c r="AT1524" s="328"/>
      <c r="AU1524" s="328"/>
      <c r="AV1524" s="328"/>
    </row>
    <row r="1525" spans="1:51">
      <c r="A1525" s="277" t="s">
        <v>523</v>
      </c>
      <c r="B1525" s="328" t="s">
        <v>1613</v>
      </c>
      <c r="C1525" s="334">
        <f>'EXD Webster 2009'!C52</f>
        <v>147.8187565858791</v>
      </c>
      <c r="D1525" s="301">
        <f>'EXD Webster 2009'!L52</f>
        <v>3569698.8468259997</v>
      </c>
      <c r="I1525" s="301">
        <f>'EXD Webster 2009'!N52</f>
        <v>225393.3904734751</v>
      </c>
      <c r="J1525" s="301">
        <f>'EXD Webster 2009'!O52</f>
        <v>1</v>
      </c>
      <c r="K1525" s="301">
        <f>I1525+J1525</f>
        <v>225394.3904734751</v>
      </c>
      <c r="L1525" s="301">
        <f>'EXD Webster 2009'!P52</f>
        <v>97015.718688676163</v>
      </c>
      <c r="N1525" s="27">
        <f>J1525/K1525</f>
        <v>4.4366676468715494E-6</v>
      </c>
      <c r="O1525" s="328"/>
      <c r="P1525" s="334">
        <f>'EXD Webster 2009'!T52</f>
        <v>3.8342653357524399</v>
      </c>
      <c r="R1525" s="328" t="s">
        <v>1395</v>
      </c>
      <c r="S1525" s="328" t="s">
        <v>141</v>
      </c>
      <c r="T1525" s="328" t="s">
        <v>145</v>
      </c>
      <c r="U1525" s="328" t="s">
        <v>145</v>
      </c>
      <c r="V1525" s="334"/>
      <c r="W1525" s="334"/>
      <c r="X1525" s="334"/>
      <c r="Y1525" s="328"/>
      <c r="Z1525" s="334"/>
      <c r="AA1525" s="328" t="s">
        <v>1495</v>
      </c>
      <c r="AD1525" s="328" t="s">
        <v>1717</v>
      </c>
      <c r="AE1525" s="328" t="s">
        <v>1725</v>
      </c>
      <c r="AF1525" s="328" t="s">
        <v>1735</v>
      </c>
      <c r="AG1525" s="328" t="s">
        <v>1707</v>
      </c>
      <c r="AH1525" s="328" t="s">
        <v>1714</v>
      </c>
      <c r="AI1525" s="328" t="s">
        <v>1496</v>
      </c>
      <c r="AJ1525" s="328" t="s">
        <v>1487</v>
      </c>
      <c r="AK1525" s="328" t="s">
        <v>1488</v>
      </c>
      <c r="AL1525" s="328" t="s">
        <v>1497</v>
      </c>
      <c r="AM1525" s="328"/>
      <c r="AN1525" s="328"/>
      <c r="AO1525" s="328"/>
      <c r="AP1525" s="328"/>
      <c r="AQ1525" s="328"/>
      <c r="AR1525" s="328"/>
      <c r="AS1525" s="328"/>
      <c r="AT1525" s="328"/>
      <c r="AU1525" s="328"/>
      <c r="AV1525" s="328" t="b">
        <v>1</v>
      </c>
      <c r="AW1525" t="b">
        <v>1</v>
      </c>
      <c r="AX1525" t="b">
        <v>1</v>
      </c>
      <c r="AY1525" t="b">
        <v>1</v>
      </c>
    </row>
    <row r="1526" spans="1:51">
      <c r="A1526" s="277" t="s">
        <v>523</v>
      </c>
      <c r="B1526" s="328" t="s">
        <v>1613</v>
      </c>
      <c r="C1526" s="334">
        <f>'EXD Webster 2009'!C53</f>
        <v>151.94942044257036</v>
      </c>
      <c r="D1526" s="301">
        <f>'EXD Webster 2009'!L53</f>
        <v>5134832.9074375127</v>
      </c>
      <c r="O1526" s="328"/>
      <c r="P1526" s="334">
        <f>'EXD Webster 2009'!T53</f>
        <v>6.0831734128606199</v>
      </c>
      <c r="R1526" s="328" t="s">
        <v>1395</v>
      </c>
      <c r="S1526" s="328" t="s">
        <v>141</v>
      </c>
      <c r="T1526" s="328" t="s">
        <v>145</v>
      </c>
      <c r="U1526" s="328" t="s">
        <v>145</v>
      </c>
      <c r="V1526" s="334"/>
      <c r="W1526" s="334"/>
      <c r="X1526" s="334"/>
      <c r="Y1526" s="328"/>
      <c r="Z1526" s="334"/>
      <c r="AA1526" s="328"/>
      <c r="AD1526" s="328"/>
      <c r="AE1526" s="328"/>
      <c r="AF1526" s="328"/>
      <c r="AG1526" s="328"/>
      <c r="AH1526" s="328"/>
      <c r="AI1526" s="328"/>
      <c r="AJ1526" s="328"/>
      <c r="AK1526" s="328"/>
      <c r="AL1526" s="328"/>
      <c r="AM1526" s="328"/>
      <c r="AN1526" s="328"/>
      <c r="AO1526" s="328"/>
      <c r="AP1526" s="328"/>
      <c r="AQ1526" s="328"/>
      <c r="AR1526" s="328"/>
      <c r="AS1526" s="328"/>
      <c r="AT1526" s="328"/>
      <c r="AU1526" s="328"/>
      <c r="AV1526" s="328"/>
    </row>
    <row r="1527" spans="1:51">
      <c r="A1527" s="277" t="s">
        <v>523</v>
      </c>
      <c r="B1527" s="328" t="s">
        <v>1613</v>
      </c>
      <c r="C1527" s="334">
        <f>'EXD Webster 2009'!C54</f>
        <v>158.1454162276072</v>
      </c>
      <c r="D1527" s="301">
        <f>'EXD Webster 2009'!L54</f>
        <v>4832930.2385716531</v>
      </c>
      <c r="E1527" s="301">
        <f>'EXD Webster 2009'!M54</f>
        <v>597469.56799706491</v>
      </c>
      <c r="G1527" s="301">
        <f>E1527+F1527</f>
        <v>597469.56799706491</v>
      </c>
      <c r="H1527" s="27">
        <f>G1527/D1527</f>
        <v>0.12362470354499548</v>
      </c>
      <c r="I1527" s="301">
        <f>'EXD Webster 2009'!N54</f>
        <v>27316.977036018197</v>
      </c>
      <c r="J1527" s="301">
        <f>'EXD Webster 2009'!O54</f>
        <v>1</v>
      </c>
      <c r="K1527" s="301">
        <f>I1527+J1527</f>
        <v>27317.977036018197</v>
      </c>
      <c r="L1527" s="301">
        <f>'EXD Webster 2009'!P54</f>
        <v>17782.794100388852</v>
      </c>
      <c r="M1527" s="27">
        <v>0</v>
      </c>
      <c r="N1527" s="27">
        <f>J1527/K1527</f>
        <v>3.6605931642797718E-5</v>
      </c>
      <c r="O1527" s="328" t="s">
        <v>440</v>
      </c>
      <c r="P1527" s="334">
        <f>'EXD Webster 2009'!T54</f>
        <v>2.9088342552672999</v>
      </c>
      <c r="Q1527" s="301" t="b">
        <v>1</v>
      </c>
      <c r="R1527" s="328" t="s">
        <v>1395</v>
      </c>
      <c r="S1527" s="328" t="s">
        <v>141</v>
      </c>
      <c r="T1527" s="328" t="s">
        <v>145</v>
      </c>
      <c r="U1527" s="328" t="s">
        <v>145</v>
      </c>
      <c r="V1527" s="313">
        <v>0.55000000000000004</v>
      </c>
      <c r="W1527" s="313">
        <v>0.55000000000000004</v>
      </c>
      <c r="X1527" s="306" t="s">
        <v>248</v>
      </c>
      <c r="Y1527" s="328" t="s">
        <v>96</v>
      </c>
      <c r="Z1527" s="314" t="s">
        <v>100</v>
      </c>
      <c r="AA1527" s="328" t="s">
        <v>1495</v>
      </c>
      <c r="AB1527" s="334" t="s">
        <v>1739</v>
      </c>
      <c r="AC1527" s="334" t="s">
        <v>1702</v>
      </c>
      <c r="AD1527" s="328" t="s">
        <v>1717</v>
      </c>
      <c r="AE1527" s="328" t="s">
        <v>1725</v>
      </c>
      <c r="AF1527" s="328" t="s">
        <v>1735</v>
      </c>
      <c r="AG1527" s="328" t="s">
        <v>1707</v>
      </c>
      <c r="AH1527" s="328" t="s">
        <v>1714</v>
      </c>
      <c r="AI1527" s="328" t="s">
        <v>1496</v>
      </c>
      <c r="AJ1527" s="328" t="s">
        <v>1487</v>
      </c>
      <c r="AK1527" s="328" t="s">
        <v>1488</v>
      </c>
      <c r="AL1527" s="328" t="s">
        <v>1497</v>
      </c>
      <c r="AM1527" s="328"/>
      <c r="AN1527" s="328"/>
      <c r="AO1527" s="328"/>
      <c r="AP1527" s="328"/>
      <c r="AQ1527" s="328">
        <v>800</v>
      </c>
      <c r="AR1527" s="328" t="s">
        <v>1463</v>
      </c>
      <c r="AS1527" s="328"/>
      <c r="AT1527" s="328"/>
      <c r="AU1527" s="328"/>
      <c r="AV1527" s="328" t="b">
        <v>1</v>
      </c>
      <c r="AW1527" t="b">
        <v>1</v>
      </c>
      <c r="AX1527" t="b">
        <v>1</v>
      </c>
      <c r="AY1527" t="b">
        <v>1</v>
      </c>
    </row>
    <row r="1528" spans="1:51">
      <c r="A1528" s="277" t="s">
        <v>523</v>
      </c>
      <c r="B1528" s="334" t="s">
        <v>1613</v>
      </c>
      <c r="C1528" s="334">
        <f>'EXD Webster 2009'!C55</f>
        <v>167.88198103266521</v>
      </c>
      <c r="D1528" s="301">
        <f>'EXD Webster 2009'!L55</f>
        <v>3067906.3989438107</v>
      </c>
      <c r="E1528" s="301">
        <f>'EXD Webster 2009'!M55</f>
        <v>85943.003334064604</v>
      </c>
      <c r="G1528" s="301">
        <f>E1528+F1528</f>
        <v>85943.003334064604</v>
      </c>
      <c r="H1528" s="27">
        <f>G1528/D1528</f>
        <v>2.8013567611988498E-2</v>
      </c>
      <c r="I1528" s="301">
        <f>'EXD Webster 2009'!N55</f>
        <v>306033.17004538287</v>
      </c>
      <c r="J1528" s="301">
        <f>'EXD Webster 2009'!O55</f>
        <v>0.94066402507174918</v>
      </c>
      <c r="K1528" s="301">
        <f>I1528+J1528</f>
        <v>306034.11070940795</v>
      </c>
      <c r="L1528" s="301">
        <f>'EXD Webster 2009'!P55</f>
        <v>157531.86734235132</v>
      </c>
      <c r="M1528" s="27">
        <v>0</v>
      </c>
      <c r="N1528" s="27">
        <f>J1528/K1528</f>
        <v>3.0737228045959512E-6</v>
      </c>
      <c r="O1528" s="328" t="s">
        <v>440</v>
      </c>
      <c r="P1528" s="334">
        <f>'EXD Webster 2009'!T55</f>
        <v>1.69530468122295</v>
      </c>
      <c r="Q1528" s="301" t="b">
        <v>1</v>
      </c>
      <c r="R1528" s="328" t="s">
        <v>1395</v>
      </c>
      <c r="S1528" s="328" t="s">
        <v>141</v>
      </c>
      <c r="T1528" s="328" t="s">
        <v>145</v>
      </c>
      <c r="U1528" s="328" t="s">
        <v>145</v>
      </c>
      <c r="V1528" s="313">
        <v>0.55000000000000004</v>
      </c>
      <c r="W1528" s="313">
        <v>0.55000000000000004</v>
      </c>
      <c r="X1528" s="306" t="s">
        <v>248</v>
      </c>
      <c r="Y1528" s="328" t="s">
        <v>96</v>
      </c>
      <c r="Z1528" s="314" t="s">
        <v>100</v>
      </c>
      <c r="AA1528" s="328" t="s">
        <v>1495</v>
      </c>
      <c r="AB1528" s="334" t="s">
        <v>1739</v>
      </c>
      <c r="AC1528" s="334" t="s">
        <v>1702</v>
      </c>
      <c r="AD1528" s="328" t="s">
        <v>1717</v>
      </c>
      <c r="AE1528" s="328" t="s">
        <v>1725</v>
      </c>
      <c r="AF1528" s="328" t="s">
        <v>1735</v>
      </c>
      <c r="AG1528" s="328" t="s">
        <v>1707</v>
      </c>
      <c r="AH1528" s="328" t="s">
        <v>1714</v>
      </c>
      <c r="AI1528" s="328" t="s">
        <v>1496</v>
      </c>
      <c r="AJ1528" s="328" t="s">
        <v>1487</v>
      </c>
      <c r="AK1528" s="328" t="s">
        <v>1488</v>
      </c>
      <c r="AL1528" s="328" t="s">
        <v>1497</v>
      </c>
      <c r="AM1528" s="328"/>
      <c r="AN1528" s="328"/>
      <c r="AO1528" s="328"/>
      <c r="AP1528" s="328"/>
      <c r="AQ1528" s="328">
        <v>800</v>
      </c>
      <c r="AR1528" s="328" t="s">
        <v>1463</v>
      </c>
      <c r="AS1528" s="328"/>
      <c r="AT1528" s="328"/>
      <c r="AU1528" s="328"/>
      <c r="AV1528" s="328" t="b">
        <v>1</v>
      </c>
      <c r="AW1528" t="b">
        <v>1</v>
      </c>
      <c r="AX1528" t="b">
        <v>1</v>
      </c>
      <c r="AY1528" t="b">
        <v>1</v>
      </c>
    </row>
    <row r="1529" spans="1:51">
      <c r="A1529" s="277" t="s">
        <v>523</v>
      </c>
      <c r="B1529" s="334" t="s">
        <v>1613</v>
      </c>
      <c r="C1529" s="334">
        <f>'EXD Webster 2009'!C56</f>
        <v>175.84826132771261</v>
      </c>
      <c r="D1529" s="301">
        <f>'EXD Webster 2009'!L56</f>
        <v>4153565.3960687481</v>
      </c>
      <c r="O1529" s="328"/>
      <c r="P1529" s="334">
        <f>'EXD Webster 2009'!T56</f>
        <v>1.92450276982929</v>
      </c>
      <c r="R1529" s="328" t="s">
        <v>1395</v>
      </c>
      <c r="S1529" s="328" t="s">
        <v>141</v>
      </c>
      <c r="T1529" s="328" t="s">
        <v>145</v>
      </c>
      <c r="U1529" s="328" t="s">
        <v>145</v>
      </c>
      <c r="V1529" s="334"/>
      <c r="W1529" s="334"/>
      <c r="X1529" s="334"/>
      <c r="Y1529" s="334"/>
      <c r="Z1529" s="334"/>
      <c r="AA1529" s="328"/>
      <c r="AD1529" s="328"/>
      <c r="AE1529" s="328"/>
      <c r="AF1529" s="328"/>
      <c r="AG1529" s="328"/>
      <c r="AH1529" s="328"/>
      <c r="AI1529" s="328"/>
      <c r="AJ1529" s="328"/>
      <c r="AK1529" s="328"/>
      <c r="AL1529" s="328"/>
      <c r="AM1529" s="328"/>
      <c r="AN1529" s="328"/>
      <c r="AO1529" s="328"/>
      <c r="AP1529" s="328"/>
      <c r="AQ1529" s="328"/>
      <c r="AR1529" s="328"/>
      <c r="AS1529" s="328"/>
      <c r="AT1529" s="328"/>
      <c r="AU1529" s="328"/>
      <c r="AV1529" s="328"/>
    </row>
    <row r="1530" spans="1:51">
      <c r="A1530" s="277" t="s">
        <v>523</v>
      </c>
      <c r="B1530" s="328" t="s">
        <v>1613</v>
      </c>
      <c r="C1530" s="334">
        <f>'EXD Webster 2009'!C57</f>
        <v>185.87987355110562</v>
      </c>
      <c r="D1530" s="301">
        <f>'EXD Webster 2009'!L57</f>
        <v>3067906.3989438107</v>
      </c>
      <c r="E1530" s="301">
        <f>'EXD Webster 2009'!M57</f>
        <v>498159.50486132567</v>
      </c>
      <c r="G1530" s="301">
        <f>E1530+F1530</f>
        <v>498159.50486132567</v>
      </c>
      <c r="H1530" s="27">
        <f>G1530/D1530</f>
        <v>0.1623776739188742</v>
      </c>
      <c r="I1530" s="301">
        <f>'EXD Webster 2009'!N57</f>
        <v>356600.67687472812</v>
      </c>
      <c r="J1530" s="301">
        <f>'EXD Webster 2009'!O57</f>
        <v>0.96987835581156578</v>
      </c>
      <c r="K1530" s="301">
        <f>I1530+J1530</f>
        <v>356601.64675308391</v>
      </c>
      <c r="L1530" s="301">
        <f>'EXD Webster 2009'!P57</f>
        <v>356969.88468260021</v>
      </c>
      <c r="M1530" s="27">
        <v>0</v>
      </c>
      <c r="N1530" s="27">
        <f>J1530/K1530</f>
        <v>2.7197809226134151E-6</v>
      </c>
      <c r="O1530" s="328" t="s">
        <v>440</v>
      </c>
      <c r="P1530" s="334">
        <f>'EXD Webster 2009'!T57</f>
        <v>0.88362689563653596</v>
      </c>
      <c r="Q1530" s="301" t="b">
        <v>1</v>
      </c>
      <c r="R1530" s="328" t="s">
        <v>1395</v>
      </c>
      <c r="S1530" s="328" t="s">
        <v>141</v>
      </c>
      <c r="T1530" s="328" t="s">
        <v>145</v>
      </c>
      <c r="U1530" s="328" t="s">
        <v>145</v>
      </c>
      <c r="V1530" s="313">
        <v>0.55000000000000004</v>
      </c>
      <c r="W1530" s="313">
        <v>0.55000000000000004</v>
      </c>
      <c r="X1530" s="306" t="s">
        <v>248</v>
      </c>
      <c r="Y1530" s="334" t="s">
        <v>96</v>
      </c>
      <c r="Z1530" s="314" t="s">
        <v>100</v>
      </c>
      <c r="AA1530" s="328" t="s">
        <v>1495</v>
      </c>
      <c r="AB1530" s="334" t="s">
        <v>1739</v>
      </c>
      <c r="AC1530" s="334" t="s">
        <v>1702</v>
      </c>
      <c r="AD1530" s="328" t="s">
        <v>1717</v>
      </c>
      <c r="AE1530" s="328" t="s">
        <v>1725</v>
      </c>
      <c r="AF1530" s="328" t="s">
        <v>1735</v>
      </c>
      <c r="AG1530" s="328" t="s">
        <v>1707</v>
      </c>
      <c r="AH1530" s="328" t="s">
        <v>1714</v>
      </c>
      <c r="AI1530" s="328" t="s">
        <v>1496</v>
      </c>
      <c r="AJ1530" s="328" t="s">
        <v>1487</v>
      </c>
      <c r="AK1530" s="328" t="s">
        <v>1488</v>
      </c>
      <c r="AL1530" s="328" t="s">
        <v>1497</v>
      </c>
      <c r="AM1530" s="328"/>
      <c r="AN1530" s="328"/>
      <c r="AO1530" s="328"/>
      <c r="AP1530" s="328"/>
      <c r="AQ1530" s="328">
        <v>800</v>
      </c>
      <c r="AR1530" s="328" t="s">
        <v>1463</v>
      </c>
      <c r="AS1530" s="328"/>
      <c r="AT1530" s="328"/>
      <c r="AU1530" s="328"/>
      <c r="AV1530" s="328" t="b">
        <v>1</v>
      </c>
      <c r="AW1530" t="b">
        <v>1</v>
      </c>
      <c r="AX1530" t="b">
        <v>1</v>
      </c>
      <c r="AY1530" t="b">
        <v>1</v>
      </c>
    </row>
    <row r="1531" spans="1:51">
      <c r="A1531" s="277" t="s">
        <v>523</v>
      </c>
      <c r="B1531" s="328" t="s">
        <v>1613</v>
      </c>
      <c r="C1531" s="334">
        <f>'EXD Webster 2009'!C58</f>
        <v>196.79662802950389</v>
      </c>
      <c r="D1531" s="301">
        <f>'EXD Webster 2009'!L58</f>
        <v>3679505.646173873</v>
      </c>
      <c r="O1531" s="328"/>
      <c r="P1531" s="334">
        <f>'EXD Webster 2009'!T58</f>
        <v>0.59323279655095396</v>
      </c>
      <c r="R1531" s="328" t="s">
        <v>1395</v>
      </c>
      <c r="S1531" s="328" t="s">
        <v>141</v>
      </c>
      <c r="T1531" s="328" t="s">
        <v>145</v>
      </c>
      <c r="U1531" s="328" t="s">
        <v>145</v>
      </c>
      <c r="V1531" s="334"/>
      <c r="W1531" s="334"/>
      <c r="X1531" s="334"/>
      <c r="Y1531" s="334"/>
      <c r="Z1531" s="334"/>
      <c r="AA1531" s="328"/>
      <c r="AD1531" s="328"/>
      <c r="AE1531" s="328"/>
      <c r="AF1531" s="328"/>
      <c r="AG1531" s="328"/>
      <c r="AH1531" s="328"/>
      <c r="AI1531" s="328"/>
      <c r="AJ1531" s="328"/>
      <c r="AK1531" s="328"/>
      <c r="AL1531" s="328"/>
      <c r="AM1531" s="328"/>
      <c r="AN1531" s="328"/>
      <c r="AO1531" s="328"/>
      <c r="AP1531" s="328"/>
      <c r="AQ1531" s="328"/>
      <c r="AR1531" s="328"/>
      <c r="AS1531" s="328"/>
      <c r="AT1531" s="328"/>
      <c r="AU1531" s="328"/>
      <c r="AV1531" s="328"/>
    </row>
    <row r="1532" spans="1:51">
      <c r="A1532" s="277" t="s">
        <v>523</v>
      </c>
      <c r="B1532" s="328" t="s">
        <v>1613</v>
      </c>
      <c r="C1532" s="334">
        <f>'EXD Webster 2009'!C59</f>
        <v>207.41833508956722</v>
      </c>
      <c r="D1532" s="301">
        <f>'EXD Webster 2009'!L59</f>
        <v>4029611.3202003464</v>
      </c>
      <c r="E1532" s="301">
        <f>'EXD Webster 2009'!M59</f>
        <v>1000000</v>
      </c>
      <c r="G1532" s="301">
        <f>E1532+F1532</f>
        <v>1000000</v>
      </c>
      <c r="H1532" s="27">
        <f>G1532/D1532</f>
        <v>0.24816289228368593</v>
      </c>
      <c r="I1532" s="301">
        <f>'EXD Webster 2009'!N59</f>
        <v>14817.604154205483</v>
      </c>
      <c r="J1532" s="301">
        <f>'EXD Webster 2009'!O59</f>
        <v>0.96987835581156667</v>
      </c>
      <c r="K1532" s="301">
        <f>I1532+J1532</f>
        <v>14818.574032561295</v>
      </c>
      <c r="L1532" s="301">
        <f>'EXD Webster 2009'!P59</f>
        <v>695.19279617755308</v>
      </c>
      <c r="M1532" s="27">
        <v>0</v>
      </c>
      <c r="N1532" s="27">
        <f>J1532/K1532</f>
        <v>6.545018121719566E-5</v>
      </c>
      <c r="O1532" s="328" t="s">
        <v>440</v>
      </c>
      <c r="P1532" s="334">
        <f>'EXD Webster 2009'!T59</f>
        <v>0.36028924629632197</v>
      </c>
      <c r="Q1532" s="301" t="b">
        <v>1</v>
      </c>
      <c r="R1532" s="328" t="s">
        <v>1395</v>
      </c>
      <c r="S1532" s="328" t="s">
        <v>141</v>
      </c>
      <c r="T1532" s="328" t="s">
        <v>145</v>
      </c>
      <c r="U1532" s="328" t="s">
        <v>145</v>
      </c>
      <c r="V1532" s="313">
        <v>0.55000000000000004</v>
      </c>
      <c r="W1532" s="313">
        <v>0.55000000000000004</v>
      </c>
      <c r="X1532" s="306" t="s">
        <v>248</v>
      </c>
      <c r="Y1532" s="334" t="s">
        <v>96</v>
      </c>
      <c r="Z1532" s="314" t="s">
        <v>100</v>
      </c>
      <c r="AA1532" s="328" t="s">
        <v>1495</v>
      </c>
      <c r="AB1532" s="334" t="s">
        <v>1739</v>
      </c>
      <c r="AC1532" s="334" t="s">
        <v>1702</v>
      </c>
      <c r="AD1532" s="328" t="s">
        <v>1717</v>
      </c>
      <c r="AE1532" s="328" t="s">
        <v>1725</v>
      </c>
      <c r="AF1532" s="328" t="s">
        <v>1735</v>
      </c>
      <c r="AG1532" s="328" t="s">
        <v>1707</v>
      </c>
      <c r="AH1532" s="328" t="s">
        <v>1714</v>
      </c>
      <c r="AI1532" s="328" t="s">
        <v>1496</v>
      </c>
      <c r="AJ1532" s="328" t="s">
        <v>1487</v>
      </c>
      <c r="AK1532" s="328" t="s">
        <v>1488</v>
      </c>
      <c r="AL1532" s="328" t="s">
        <v>1497</v>
      </c>
      <c r="AM1532" s="328"/>
      <c r="AN1532" s="328"/>
      <c r="AO1532" s="328"/>
      <c r="AP1532" s="328"/>
      <c r="AQ1532" s="328">
        <v>800</v>
      </c>
      <c r="AR1532" s="328" t="s">
        <v>1463</v>
      </c>
      <c r="AS1532" s="328"/>
      <c r="AT1532" s="328"/>
      <c r="AU1532" s="328"/>
      <c r="AV1532" s="328" t="b">
        <v>1</v>
      </c>
      <c r="AW1532" t="b">
        <v>1</v>
      </c>
      <c r="AX1532" t="b">
        <v>1</v>
      </c>
      <c r="AY1532" t="b">
        <v>1</v>
      </c>
    </row>
    <row r="1533" spans="1:51">
      <c r="A1533" s="277" t="s">
        <v>523</v>
      </c>
      <c r="B1533" s="328" t="s">
        <v>1613</v>
      </c>
      <c r="C1533" s="334">
        <f>'EXD Webster 2009'!C60</f>
        <v>220.10537407797602</v>
      </c>
      <c r="D1533" s="301">
        <f>'EXD Webster 2009'!L60</f>
        <v>2887528.7417994258</v>
      </c>
      <c r="O1533" s="328"/>
      <c r="P1533" s="334">
        <f>'EXD Webster 2009'!T60</f>
        <v>1.22162460405838</v>
      </c>
      <c r="R1533" s="328" t="s">
        <v>1395</v>
      </c>
      <c r="S1533" s="328" t="s">
        <v>141</v>
      </c>
      <c r="T1533" s="328" t="s">
        <v>145</v>
      </c>
      <c r="U1533" s="328" t="s">
        <v>145</v>
      </c>
      <c r="V1533" s="334"/>
      <c r="W1533" s="334"/>
      <c r="X1533" s="334"/>
      <c r="Y1533" s="334"/>
      <c r="Z1533" s="334"/>
      <c r="AA1533" s="328"/>
      <c r="AD1533" s="328"/>
      <c r="AE1533" s="328"/>
      <c r="AF1533" s="328"/>
      <c r="AG1533" s="328"/>
      <c r="AH1533" s="328"/>
      <c r="AI1533" s="328"/>
      <c r="AJ1533" s="328"/>
      <c r="AK1533" s="328"/>
      <c r="AL1533" s="328"/>
      <c r="AM1533" s="328"/>
      <c r="AN1533" s="328"/>
      <c r="AO1533" s="328"/>
      <c r="AP1533" s="328"/>
      <c r="AQ1533" s="328"/>
      <c r="AR1533" s="328"/>
      <c r="AS1533" s="328"/>
      <c r="AT1533" s="328"/>
      <c r="AU1533" s="328"/>
      <c r="AV1533" s="328"/>
    </row>
    <row r="1534" spans="1:51">
      <c r="A1534" s="277" t="s">
        <v>523</v>
      </c>
      <c r="B1534" s="328" t="s">
        <v>1613</v>
      </c>
      <c r="C1534" s="334">
        <f>'EXD Webster 2009'!C61</f>
        <v>227.18651211801819</v>
      </c>
      <c r="D1534" s="301">
        <f>'EXD Webster 2009'!L61</f>
        <v>2801356.7611988601</v>
      </c>
      <c r="E1534" s="301">
        <f>'EXD Webster 2009'!M61</f>
        <v>157531.86734235132</v>
      </c>
      <c r="G1534" s="301">
        <f>E1534+F1534</f>
        <v>157531.86734235132</v>
      </c>
      <c r="H1534" s="27">
        <f>G1534/D1534</f>
        <v>5.6234132519034981E-2</v>
      </c>
      <c r="I1534" s="301">
        <f>'EXD Webster 2009'!N61</f>
        <v>367675.67266344087</v>
      </c>
      <c r="J1534" s="301">
        <f>'EXD Webster 2009'!O61</f>
        <v>0.96987835581156667</v>
      </c>
      <c r="K1534" s="301">
        <f>I1534+J1534</f>
        <v>367676.64254179667</v>
      </c>
      <c r="L1534" s="301">
        <f>'EXD Webster 2009'!P61</f>
        <v>695192.79617755406</v>
      </c>
      <c r="M1534" s="27">
        <v>0</v>
      </c>
      <c r="N1534" s="27">
        <f>J1534/K1534</f>
        <v>2.6378568654964616E-6</v>
      </c>
      <c r="O1534" s="328" t="s">
        <v>440</v>
      </c>
      <c r="P1534" s="334">
        <f>'EXD Webster 2009'!T61</f>
        <v>1.22162460405838</v>
      </c>
      <c r="Q1534" s="301" t="b">
        <v>1</v>
      </c>
      <c r="R1534" s="328" t="s">
        <v>1395</v>
      </c>
      <c r="S1534" s="328" t="s">
        <v>141</v>
      </c>
      <c r="T1534" s="328" t="s">
        <v>145</v>
      </c>
      <c r="U1534" s="328" t="s">
        <v>145</v>
      </c>
      <c r="V1534" s="313">
        <v>0.55000000000000004</v>
      </c>
      <c r="W1534" s="313">
        <v>0.55000000000000004</v>
      </c>
      <c r="X1534" s="306" t="s">
        <v>248</v>
      </c>
      <c r="Y1534" s="334" t="s">
        <v>96</v>
      </c>
      <c r="Z1534" s="314" t="s">
        <v>100</v>
      </c>
      <c r="AA1534" s="328" t="s">
        <v>1495</v>
      </c>
      <c r="AB1534" s="334" t="s">
        <v>1739</v>
      </c>
      <c r="AC1534" s="334" t="s">
        <v>1702</v>
      </c>
      <c r="AD1534" s="328" t="s">
        <v>1717</v>
      </c>
      <c r="AE1534" s="328" t="s">
        <v>1725</v>
      </c>
      <c r="AF1534" s="328" t="s">
        <v>1735</v>
      </c>
      <c r="AG1534" s="328" t="s">
        <v>1707</v>
      </c>
      <c r="AH1534" s="328" t="s">
        <v>1714</v>
      </c>
      <c r="AI1534" s="328" t="s">
        <v>1496</v>
      </c>
      <c r="AJ1534" s="328" t="s">
        <v>1487</v>
      </c>
      <c r="AK1534" s="328" t="s">
        <v>1488</v>
      </c>
      <c r="AL1534" s="328" t="s">
        <v>1497</v>
      </c>
      <c r="AM1534" s="328"/>
      <c r="AN1534" s="328"/>
      <c r="AO1534" s="328"/>
      <c r="AP1534" s="328"/>
      <c r="AQ1534" s="328">
        <v>800</v>
      </c>
      <c r="AR1534" s="328" t="s">
        <v>1463</v>
      </c>
      <c r="AS1534" s="328"/>
      <c r="AT1534" s="328"/>
      <c r="AU1534" s="328"/>
      <c r="AV1534" s="328" t="b">
        <v>1</v>
      </c>
      <c r="AW1534" t="b">
        <v>1</v>
      </c>
      <c r="AX1534" t="b">
        <v>1</v>
      </c>
      <c r="AY1534" t="b">
        <v>1</v>
      </c>
    </row>
    <row r="1535" spans="1:51">
      <c r="A1535" s="277" t="s">
        <v>523</v>
      </c>
      <c r="B1535" s="328" t="s">
        <v>1613</v>
      </c>
      <c r="C1535" s="334">
        <f>'EXD Webster 2009'!C62</f>
        <v>232.79241306638491</v>
      </c>
      <c r="D1535" s="301">
        <f>'EXD Webster 2009'!L62</f>
        <v>3162277.6601683851</v>
      </c>
      <c r="O1535" s="328"/>
      <c r="P1535" s="334">
        <f>'EXD Webster 2009'!T62</f>
        <v>1.22162460405838</v>
      </c>
      <c r="R1535" s="328" t="s">
        <v>1395</v>
      </c>
      <c r="S1535" s="328" t="s">
        <v>141</v>
      </c>
      <c r="T1535" s="328" t="s">
        <v>145</v>
      </c>
      <c r="U1535" s="328" t="s">
        <v>145</v>
      </c>
      <c r="V1535" s="334"/>
      <c r="W1535" s="334"/>
      <c r="X1535" s="334"/>
      <c r="Y1535" s="334"/>
      <c r="Z1535" s="334"/>
      <c r="AA1535" s="328"/>
      <c r="AD1535" s="328"/>
      <c r="AE1535" s="328"/>
      <c r="AF1535" s="328"/>
      <c r="AG1535" s="328"/>
      <c r="AH1535" s="328"/>
      <c r="AI1535" s="328"/>
      <c r="AJ1535" s="328"/>
      <c r="AK1535" s="328"/>
      <c r="AL1535" s="328"/>
      <c r="AM1535" s="328"/>
      <c r="AN1535" s="328"/>
      <c r="AO1535" s="328"/>
      <c r="AP1535" s="328"/>
      <c r="AQ1535" s="328"/>
      <c r="AR1535" s="328"/>
      <c r="AS1535" s="328"/>
      <c r="AT1535" s="328"/>
      <c r="AU1535" s="328"/>
      <c r="AV1535" s="328"/>
    </row>
    <row r="1536" spans="1:51">
      <c r="A1536" s="277" t="s">
        <v>523</v>
      </c>
      <c r="B1536" s="328" t="s">
        <v>1613</v>
      </c>
      <c r="C1536" s="334">
        <f>'EXD Webster 2009'!C63</f>
        <v>246.364594309799</v>
      </c>
      <c r="D1536" s="301">
        <f>'EXD Webster 2009'!L63</f>
        <v>1575318.6734235121</v>
      </c>
      <c r="O1536" s="328"/>
      <c r="P1536" s="334">
        <f>'EXD Webster 2009'!T63</f>
        <v>1.7368672233845599</v>
      </c>
      <c r="R1536" s="328" t="s">
        <v>1395</v>
      </c>
      <c r="S1536" s="328" t="s">
        <v>141</v>
      </c>
      <c r="T1536" s="328" t="s">
        <v>145</v>
      </c>
      <c r="U1536" s="328" t="s">
        <v>145</v>
      </c>
      <c r="V1536" s="334"/>
      <c r="W1536" s="334"/>
      <c r="X1536" s="334"/>
      <c r="Y1536" s="334"/>
      <c r="Z1536" s="334"/>
      <c r="AA1536" s="328"/>
      <c r="AD1536" s="328"/>
      <c r="AE1536" s="328"/>
      <c r="AF1536" s="328"/>
      <c r="AG1536" s="328"/>
      <c r="AH1536" s="328"/>
      <c r="AI1536" s="328"/>
      <c r="AJ1536" s="328"/>
      <c r="AK1536" s="328"/>
      <c r="AL1536" s="328"/>
      <c r="AM1536" s="328"/>
      <c r="AN1536" s="328"/>
      <c r="AO1536" s="328"/>
      <c r="AP1536" s="328"/>
      <c r="AQ1536" s="328"/>
      <c r="AR1536" s="328"/>
      <c r="AS1536" s="328"/>
      <c r="AT1536" s="328"/>
      <c r="AU1536" s="328"/>
      <c r="AV1536" s="328"/>
    </row>
    <row r="1537" spans="1:51">
      <c r="A1537" s="277" t="s">
        <v>523</v>
      </c>
      <c r="B1537" s="328" t="s">
        <v>1613</v>
      </c>
      <c r="C1537" s="334">
        <f>'EXD Webster 2009'!C64</f>
        <v>254.035827186511</v>
      </c>
      <c r="D1537" s="301">
        <f>'EXD Webster 2009'!L64</f>
        <v>1947483.0399087332</v>
      </c>
      <c r="E1537" s="301">
        <f>'EXD Webster 2009'!M64</f>
        <v>885866.79041008116</v>
      </c>
      <c r="G1537" s="301">
        <f>E1537+F1537</f>
        <v>885866.79041008116</v>
      </c>
      <c r="H1537" s="27">
        <f>G1537/D1537</f>
        <v>0.45487779470038231</v>
      </c>
      <c r="I1537" s="301">
        <f>'EXD Webster 2009'!N64</f>
        <v>390868.21953820536</v>
      </c>
      <c r="J1537" s="301">
        <f>'EXD Webster 2009'!O64</f>
        <v>0.94066402507174895</v>
      </c>
      <c r="K1537" s="301">
        <f>I1537+J1537</f>
        <v>390869.16020223044</v>
      </c>
      <c r="L1537" s="301">
        <f>'EXD Webster 2009'!P64</f>
        <v>379269.01907322323</v>
      </c>
      <c r="M1537" s="27">
        <v>0</v>
      </c>
      <c r="N1537" s="27">
        <f>J1537/K1537</f>
        <v>2.4065956612823125E-6</v>
      </c>
      <c r="O1537" s="328" t="s">
        <v>440</v>
      </c>
      <c r="P1537" s="334">
        <f>'EXD Webster 2009'!T64</f>
        <v>0.580788198171167</v>
      </c>
      <c r="Q1537" s="301" t="b">
        <v>1</v>
      </c>
      <c r="R1537" s="328" t="s">
        <v>1395</v>
      </c>
      <c r="S1537" s="328" t="s">
        <v>141</v>
      </c>
      <c r="T1537" s="328" t="s">
        <v>145</v>
      </c>
      <c r="U1537" s="328" t="s">
        <v>145</v>
      </c>
      <c r="V1537" s="313">
        <v>0.55000000000000004</v>
      </c>
      <c r="W1537" s="313">
        <v>0.55000000000000004</v>
      </c>
      <c r="X1537" s="306" t="s">
        <v>248</v>
      </c>
      <c r="Y1537" s="334" t="s">
        <v>96</v>
      </c>
      <c r="Z1537" s="314" t="s">
        <v>100</v>
      </c>
      <c r="AA1537" s="328" t="s">
        <v>1495</v>
      </c>
      <c r="AB1537" s="334" t="s">
        <v>1739</v>
      </c>
      <c r="AC1537" s="334" t="s">
        <v>1702</v>
      </c>
      <c r="AD1537" s="328" t="s">
        <v>1717</v>
      </c>
      <c r="AE1537" s="328" t="s">
        <v>1725</v>
      </c>
      <c r="AF1537" s="328" t="s">
        <v>1735</v>
      </c>
      <c r="AG1537" s="328" t="s">
        <v>1707</v>
      </c>
      <c r="AH1537" s="328" t="s">
        <v>1714</v>
      </c>
      <c r="AI1537" s="328" t="s">
        <v>1496</v>
      </c>
      <c r="AJ1537" s="328" t="s">
        <v>1487</v>
      </c>
      <c r="AK1537" s="328" t="s">
        <v>1488</v>
      </c>
      <c r="AL1537" s="328" t="s">
        <v>1497</v>
      </c>
      <c r="AM1537" s="328"/>
      <c r="AN1537" s="328"/>
      <c r="AO1537" s="328"/>
      <c r="AP1537" s="328"/>
      <c r="AQ1537" s="328">
        <v>800</v>
      </c>
      <c r="AR1537" s="328" t="s">
        <v>1463</v>
      </c>
      <c r="AS1537" s="328"/>
      <c r="AT1537" s="328"/>
      <c r="AU1537" s="328"/>
      <c r="AV1537" s="328" t="b">
        <v>1</v>
      </c>
      <c r="AW1537" t="b">
        <v>1</v>
      </c>
      <c r="AX1537" t="b">
        <v>1</v>
      </c>
      <c r="AY1537" t="b">
        <v>1</v>
      </c>
    </row>
    <row r="1538" spans="1:51">
      <c r="A1538" s="277" t="s">
        <v>523</v>
      </c>
      <c r="B1538" s="328" t="s">
        <v>1613</v>
      </c>
      <c r="C1538" s="334">
        <f>'EXD Webster 2009'!C65</f>
        <v>265.54267650157902</v>
      </c>
      <c r="D1538" s="301">
        <f>'EXD Webster 2009'!L65</f>
        <v>1889364.6675075719</v>
      </c>
      <c r="E1538" s="301">
        <f>'EXD Webster 2009'!M65</f>
        <v>346316.89912697102</v>
      </c>
      <c r="G1538" s="301">
        <f>E1538+F1538</f>
        <v>346316.89912697102</v>
      </c>
      <c r="H1538" s="27">
        <f>G1538/D1538</f>
        <v>0.18329807108324317</v>
      </c>
      <c r="I1538" s="301">
        <f>'EXD Webster 2009'!N65</f>
        <v>262636.35276532912</v>
      </c>
      <c r="J1538" s="301">
        <f>'EXD Webster 2009'!O65</f>
        <v>695.83255529318751</v>
      </c>
      <c r="K1538" s="301">
        <f>I1538+J1538</f>
        <v>263332.18532062229</v>
      </c>
      <c r="L1538" s="301">
        <f>'EXD Webster 2009'!P65</f>
        <v>263665.08987303136</v>
      </c>
      <c r="M1538" s="27">
        <v>0</v>
      </c>
      <c r="N1538" s="27">
        <f>J1538/K1538</f>
        <v>2.6424136284213446E-3</v>
      </c>
      <c r="O1538" s="328" t="s">
        <v>440</v>
      </c>
      <c r="P1538" s="334">
        <f>'EXD Webster 2009'!T65</f>
        <v>1.55986395516722</v>
      </c>
      <c r="Q1538" s="301" t="b">
        <v>1</v>
      </c>
      <c r="R1538" s="328" t="s">
        <v>1395</v>
      </c>
      <c r="S1538" s="328" t="s">
        <v>141</v>
      </c>
      <c r="T1538" s="328" t="s">
        <v>145</v>
      </c>
      <c r="U1538" s="328" t="s">
        <v>145</v>
      </c>
      <c r="V1538" s="313">
        <v>0.55000000000000004</v>
      </c>
      <c r="W1538" s="313">
        <v>0.55000000000000004</v>
      </c>
      <c r="X1538" s="306" t="s">
        <v>248</v>
      </c>
      <c r="Y1538" s="334" t="s">
        <v>96</v>
      </c>
      <c r="Z1538" s="314" t="s">
        <v>100</v>
      </c>
      <c r="AA1538" s="328" t="s">
        <v>1495</v>
      </c>
      <c r="AB1538" s="334" t="s">
        <v>1739</v>
      </c>
      <c r="AC1538" s="334" t="s">
        <v>1702</v>
      </c>
      <c r="AD1538" s="328" t="s">
        <v>1717</v>
      </c>
      <c r="AE1538" s="328" t="s">
        <v>1725</v>
      </c>
      <c r="AF1538" s="328" t="s">
        <v>1735</v>
      </c>
      <c r="AG1538" s="328" t="s">
        <v>1707</v>
      </c>
      <c r="AH1538" s="328" t="s">
        <v>1714</v>
      </c>
      <c r="AI1538" s="328" t="s">
        <v>1496</v>
      </c>
      <c r="AJ1538" s="328" t="s">
        <v>1487</v>
      </c>
      <c r="AK1538" s="328" t="s">
        <v>1488</v>
      </c>
      <c r="AL1538" s="328" t="s">
        <v>1497</v>
      </c>
      <c r="AM1538" s="328"/>
      <c r="AN1538" s="328"/>
      <c r="AO1538" s="328"/>
      <c r="AP1538" s="328"/>
      <c r="AQ1538" s="328">
        <v>800</v>
      </c>
      <c r="AR1538" s="328" t="s">
        <v>1463</v>
      </c>
      <c r="AS1538" s="328"/>
      <c r="AT1538" s="328"/>
      <c r="AU1538" s="328"/>
      <c r="AV1538" s="328" t="b">
        <v>1</v>
      </c>
      <c r="AW1538" t="b">
        <v>1</v>
      </c>
      <c r="AX1538" t="b">
        <v>1</v>
      </c>
      <c r="AY1538" t="b">
        <v>1</v>
      </c>
    </row>
    <row r="1539" spans="1:51">
      <c r="A1539" s="277" t="s">
        <v>523</v>
      </c>
      <c r="B1539" s="328" t="s">
        <v>1675</v>
      </c>
      <c r="C1539" s="334">
        <f>'EXD Webster 2009'!C66</f>
        <v>4.35295309337556</v>
      </c>
      <c r="D1539" s="301">
        <f>'EXD Webster 2009'!L66</f>
        <v>27600570.875262398</v>
      </c>
      <c r="E1539" s="301">
        <f>'EXD Webster 2009'!M66</f>
        <v>173982.80529303511</v>
      </c>
      <c r="G1539" s="301">
        <f>E1539+F1539</f>
        <v>173982.80529303511</v>
      </c>
      <c r="H1539" s="27">
        <f>G1539/D1539</f>
        <v>6.3035944466268605E-3</v>
      </c>
      <c r="I1539" s="301">
        <f>'EXD Webster 2009'!N66</f>
        <v>3054869.7550210431</v>
      </c>
      <c r="J1539" s="301">
        <f>'EXD Webster 2009'!O66</f>
        <v>3618300.5798887969</v>
      </c>
      <c r="K1539" s="301">
        <f>I1539+J1539</f>
        <v>6673170.3349098396</v>
      </c>
      <c r="L1539" s="301">
        <f>'EXD Webster 2009'!P66</f>
        <v>15038869.469553836</v>
      </c>
      <c r="M1539" s="27">
        <v>0</v>
      </c>
      <c r="N1539" s="27">
        <f>J1539/K1539</f>
        <v>0.54221612791151441</v>
      </c>
      <c r="O1539" s="328" t="s">
        <v>440</v>
      </c>
      <c r="P1539" s="334">
        <f>'EXD Webster 2009'!T66</f>
        <v>18.600825772750401</v>
      </c>
      <c r="Q1539" s="301" t="b">
        <v>1</v>
      </c>
      <c r="R1539" s="328" t="s">
        <v>1395</v>
      </c>
      <c r="S1539" s="328" t="s">
        <v>141</v>
      </c>
      <c r="T1539" s="328" t="s">
        <v>145</v>
      </c>
      <c r="U1539" s="328" t="s">
        <v>145</v>
      </c>
      <c r="V1539" s="313">
        <v>0.55000000000000004</v>
      </c>
      <c r="W1539" s="313">
        <v>0.55000000000000004</v>
      </c>
      <c r="X1539" s="306" t="s">
        <v>248</v>
      </c>
      <c r="Y1539" s="334" t="s">
        <v>96</v>
      </c>
      <c r="Z1539" s="314" t="s">
        <v>100</v>
      </c>
      <c r="AA1539" s="328" t="s">
        <v>1495</v>
      </c>
      <c r="AB1539" s="334" t="s">
        <v>1739</v>
      </c>
      <c r="AC1539" s="334" t="s">
        <v>1702</v>
      </c>
      <c r="AD1539" s="328" t="s">
        <v>1717</v>
      </c>
      <c r="AE1539" s="328" t="s">
        <v>1725</v>
      </c>
      <c r="AF1539" s="328" t="s">
        <v>1735</v>
      </c>
      <c r="AG1539" s="328" t="s">
        <v>1707</v>
      </c>
      <c r="AH1539" s="328" t="s">
        <v>1714</v>
      </c>
      <c r="AI1539" s="328" t="s">
        <v>1496</v>
      </c>
      <c r="AJ1539" s="328" t="s">
        <v>1487</v>
      </c>
      <c r="AK1539" s="328" t="s">
        <v>1488</v>
      </c>
      <c r="AL1539" s="328" t="s">
        <v>1497</v>
      </c>
      <c r="AM1539" s="328"/>
      <c r="AN1539" s="328"/>
      <c r="AO1539" s="328"/>
      <c r="AP1539" s="328"/>
      <c r="AQ1539" s="328">
        <v>423</v>
      </c>
      <c r="AR1539" s="328" t="s">
        <v>1463</v>
      </c>
      <c r="AS1539" s="328"/>
      <c r="AT1539" s="328"/>
      <c r="AU1539" s="328"/>
      <c r="AV1539" s="328" t="b">
        <v>1</v>
      </c>
      <c r="AW1539" t="b">
        <v>1</v>
      </c>
      <c r="AX1539" t="b">
        <v>1</v>
      </c>
      <c r="AY1539" t="b">
        <v>1</v>
      </c>
    </row>
    <row r="1540" spans="1:51">
      <c r="A1540" s="277" t="s">
        <v>523</v>
      </c>
      <c r="B1540" s="328" t="s">
        <v>1675</v>
      </c>
      <c r="C1540" s="334">
        <f>'EXD Webster 2009'!C67</f>
        <v>13.1716966311246</v>
      </c>
      <c r="D1540" s="301">
        <f>'EXD Webster 2009'!L67</f>
        <v>11460341.598286109</v>
      </c>
      <c r="E1540" s="301">
        <f>'EXD Webster 2009'!M67</f>
        <v>207231.4645219025</v>
      </c>
      <c r="G1540" s="301">
        <f>E1540+F1540</f>
        <v>207231.4645219025</v>
      </c>
      <c r="H1540" s="27">
        <f>G1540/D1540</f>
        <v>1.8082485826853005E-2</v>
      </c>
      <c r="I1540" s="301">
        <f>'EXD Webster 2009'!N67</f>
        <v>4750255.0748255271</v>
      </c>
      <c r="J1540" s="301">
        <f>'EXD Webster 2009'!O67</f>
        <v>6309573.4448019378</v>
      </c>
      <c r="K1540" s="301">
        <f>I1540+J1540</f>
        <v>11059828.519627465</v>
      </c>
      <c r="L1540" s="301">
        <f>'EXD Webster 2009'!P67</f>
        <v>14606863.203649685</v>
      </c>
      <c r="M1540" s="27">
        <v>0</v>
      </c>
      <c r="N1540" s="27">
        <f>J1540/K1540</f>
        <v>0.5704946901848047</v>
      </c>
      <c r="O1540" s="328" t="s">
        <v>440</v>
      </c>
      <c r="P1540" s="334">
        <f>'EXD Webster 2009'!T67</f>
        <v>11.307747633635699</v>
      </c>
      <c r="Q1540" s="301" t="b">
        <v>1</v>
      </c>
      <c r="R1540" s="328" t="s">
        <v>1395</v>
      </c>
      <c r="S1540" s="328" t="s">
        <v>141</v>
      </c>
      <c r="T1540" s="328" t="s">
        <v>145</v>
      </c>
      <c r="U1540" s="328" t="s">
        <v>145</v>
      </c>
      <c r="V1540" s="313">
        <v>0.55000000000000004</v>
      </c>
      <c r="W1540" s="313">
        <v>0.55000000000000004</v>
      </c>
      <c r="X1540" s="306" t="s">
        <v>248</v>
      </c>
      <c r="Y1540" s="334" t="s">
        <v>96</v>
      </c>
      <c r="Z1540" s="314" t="s">
        <v>100</v>
      </c>
      <c r="AA1540" s="328" t="s">
        <v>1495</v>
      </c>
      <c r="AB1540" s="334" t="s">
        <v>1739</v>
      </c>
      <c r="AC1540" s="334" t="s">
        <v>1702</v>
      </c>
      <c r="AD1540" s="328" t="s">
        <v>1717</v>
      </c>
      <c r="AE1540" s="328" t="s">
        <v>1725</v>
      </c>
      <c r="AF1540" s="328" t="s">
        <v>1735</v>
      </c>
      <c r="AG1540" s="328" t="s">
        <v>1707</v>
      </c>
      <c r="AH1540" s="328" t="s">
        <v>1714</v>
      </c>
      <c r="AI1540" s="328" t="s">
        <v>1496</v>
      </c>
      <c r="AJ1540" s="328" t="s">
        <v>1487</v>
      </c>
      <c r="AK1540" s="328" t="s">
        <v>1488</v>
      </c>
      <c r="AL1540" s="328" t="s">
        <v>1497</v>
      </c>
      <c r="AM1540" s="328"/>
      <c r="AN1540" s="328"/>
      <c r="AO1540" s="328"/>
      <c r="AP1540" s="328"/>
      <c r="AQ1540" s="328">
        <v>423</v>
      </c>
      <c r="AR1540" s="328" t="s">
        <v>1463</v>
      </c>
      <c r="AS1540" s="328"/>
      <c r="AT1540" s="328"/>
      <c r="AU1540" s="328"/>
      <c r="AV1540" s="328" t="b">
        <v>1</v>
      </c>
      <c r="AW1540" t="b">
        <v>1</v>
      </c>
      <c r="AX1540" t="b">
        <v>1</v>
      </c>
      <c r="AY1540" t="b">
        <v>1</v>
      </c>
    </row>
    <row r="1541" spans="1:51">
      <c r="A1541" s="277" t="s">
        <v>523</v>
      </c>
      <c r="B1541" s="334" t="s">
        <v>1674</v>
      </c>
      <c r="C1541" s="334">
        <f>'EXD Webster 2009'!C68</f>
        <v>22.007411640365302</v>
      </c>
      <c r="D1541" s="301">
        <f>'EXD Webster 2009'!L68</f>
        <v>12371704.51432549</v>
      </c>
      <c r="E1541" s="301">
        <f>'EXD Webster 2009'!M68</f>
        <v>591768.57481887285</v>
      </c>
      <c r="G1541" s="301">
        <f>E1541+F1541</f>
        <v>591768.57481887285</v>
      </c>
      <c r="H1541" s="27">
        <f>G1541/D1541</f>
        <v>4.7832420676847717E-2</v>
      </c>
      <c r="I1541" s="301">
        <f>'EXD Webster 2009'!N68</f>
        <v>296095.48014801135</v>
      </c>
      <c r="J1541" s="301">
        <f>'EXD Webster 2009'!O68</f>
        <v>204008.8510550124</v>
      </c>
      <c r="K1541" s="301">
        <f>I1541+J1541</f>
        <v>500104.33120302379</v>
      </c>
      <c r="L1541" s="301">
        <f>'EXD Webster 2009'!P68</f>
        <v>1091376.7146512649</v>
      </c>
      <c r="M1541" s="27">
        <v>0</v>
      </c>
      <c r="N1541" s="27">
        <f>J1541/K1541</f>
        <v>0.40793258191597703</v>
      </c>
      <c r="O1541" t="s">
        <v>440</v>
      </c>
      <c r="P1541" s="334">
        <f>'EXD Webster 2009'!T68</f>
        <v>13.735050665724</v>
      </c>
      <c r="Q1541" s="301" t="b">
        <v>1</v>
      </c>
      <c r="R1541" t="s">
        <v>1395</v>
      </c>
      <c r="S1541" t="s">
        <v>141</v>
      </c>
      <c r="T1541" t="s">
        <v>145</v>
      </c>
      <c r="U1541" t="s">
        <v>145</v>
      </c>
      <c r="V1541" s="313">
        <v>0.55000000000000004</v>
      </c>
      <c r="W1541" s="313">
        <v>0.55000000000000004</v>
      </c>
      <c r="X1541" s="306" t="s">
        <v>248</v>
      </c>
      <c r="Y1541" s="334" t="s">
        <v>96</v>
      </c>
      <c r="Z1541" s="314" t="s">
        <v>100</v>
      </c>
      <c r="AA1541" s="326" t="s">
        <v>1495</v>
      </c>
      <c r="AB1541" s="334" t="s">
        <v>1739</v>
      </c>
      <c r="AC1541" s="334" t="s">
        <v>1702</v>
      </c>
      <c r="AD1541" s="326" t="s">
        <v>1717</v>
      </c>
      <c r="AE1541" s="326" t="s">
        <v>1725</v>
      </c>
      <c r="AF1541" s="326" t="s">
        <v>1735</v>
      </c>
      <c r="AG1541" s="326" t="s">
        <v>1707</v>
      </c>
      <c r="AH1541" s="326" t="s">
        <v>1714</v>
      </c>
      <c r="AI1541" s="326" t="s">
        <v>1496</v>
      </c>
      <c r="AJ1541" s="326" t="s">
        <v>1487</v>
      </c>
      <c r="AK1541" s="326" t="s">
        <v>1488</v>
      </c>
      <c r="AL1541" s="326" t="s">
        <v>1497</v>
      </c>
      <c r="AQ1541">
        <v>423</v>
      </c>
      <c r="AR1541" t="s">
        <v>1463</v>
      </c>
      <c r="AV1541" s="326" t="b">
        <v>1</v>
      </c>
      <c r="AW1541" t="b">
        <v>1</v>
      </c>
      <c r="AX1541" t="b">
        <v>1</v>
      </c>
      <c r="AY1541" t="b">
        <v>1</v>
      </c>
    </row>
    <row r="1542" spans="1:51">
      <c r="A1542" s="277" t="s">
        <v>523</v>
      </c>
      <c r="B1542" s="334" t="s">
        <v>1674</v>
      </c>
      <c r="C1542" s="334">
        <f>'EXD Webster 2009'!C69</f>
        <v>29.8652029409572</v>
      </c>
      <c r="D1542" s="301">
        <f>'EXD Webster 2009'!L69</f>
        <v>16422029.889272939</v>
      </c>
      <c r="O1542" s="334"/>
      <c r="P1542" s="334">
        <f>'EXD Webster 2009'!T69</f>
        <v>14.1962339460351</v>
      </c>
      <c r="R1542" s="334" t="s">
        <v>1395</v>
      </c>
      <c r="S1542" s="334" t="s">
        <v>141</v>
      </c>
      <c r="T1542" s="334" t="s">
        <v>145</v>
      </c>
      <c r="U1542" s="334" t="s">
        <v>145</v>
      </c>
      <c r="V1542" s="334"/>
      <c r="W1542" s="334"/>
      <c r="X1542" s="334"/>
      <c r="Y1542" s="334"/>
      <c r="Z1542" s="334"/>
      <c r="AA1542" s="334"/>
      <c r="AD1542" s="334"/>
      <c r="AE1542" s="334"/>
      <c r="AF1542" s="334"/>
      <c r="AG1542" s="334"/>
      <c r="AH1542" s="334"/>
      <c r="AI1542" s="334"/>
      <c r="AJ1542" s="334"/>
      <c r="AK1542" s="334"/>
      <c r="AL1542" s="334"/>
      <c r="AM1542" s="334"/>
      <c r="AN1542" s="334"/>
      <c r="AO1542" s="334"/>
      <c r="AP1542" s="334"/>
      <c r="AQ1542" s="334"/>
      <c r="AR1542" s="334"/>
    </row>
    <row r="1543" spans="1:51">
      <c r="A1543" s="277" t="s">
        <v>523</v>
      </c>
      <c r="B1543" s="334" t="s">
        <v>1674</v>
      </c>
      <c r="C1543" s="334">
        <f>'EXD Webster 2009'!C70</f>
        <v>40.659976186426199</v>
      </c>
      <c r="D1543" s="301">
        <f>'EXD Webster 2009'!L70</f>
        <v>14048588.444268299</v>
      </c>
      <c r="E1543" s="301">
        <f>'EXD Webster 2009'!M70</f>
        <v>154836.5256585468</v>
      </c>
      <c r="G1543" s="301">
        <f>E1543+F1543</f>
        <v>154836.5256585468</v>
      </c>
      <c r="H1543" s="27">
        <f>G1543/D1543</f>
        <v>1.1021500577997126E-2</v>
      </c>
      <c r="I1543" s="301">
        <f>'EXD Webster 2009'!N70</f>
        <v>97126.316757506313</v>
      </c>
      <c r="J1543" s="301">
        <f>'EXD Webster 2009'!O70</f>
        <v>1039.1799336084046</v>
      </c>
      <c r="K1543" s="301">
        <f>I1543+J1543</f>
        <v>98165.49669111472</v>
      </c>
      <c r="L1543" s="301">
        <f>'EXD Webster 2009'!P70</f>
        <v>792016.40501923661</v>
      </c>
      <c r="M1543" s="27">
        <v>0</v>
      </c>
      <c r="N1543" s="27">
        <f>J1543/K1543</f>
        <v>1.0585999853678366E-2</v>
      </c>
      <c r="O1543" s="334" t="s">
        <v>440</v>
      </c>
      <c r="P1543" s="334">
        <f>'EXD Webster 2009'!T70</f>
        <v>13.325539550685299</v>
      </c>
      <c r="Q1543" s="301" t="b">
        <v>1</v>
      </c>
      <c r="R1543" s="334" t="s">
        <v>1395</v>
      </c>
      <c r="S1543" s="334" t="s">
        <v>141</v>
      </c>
      <c r="T1543" s="334" t="s">
        <v>145</v>
      </c>
      <c r="U1543" s="334" t="s">
        <v>145</v>
      </c>
      <c r="V1543" s="313">
        <v>0.55000000000000004</v>
      </c>
      <c r="W1543" s="313">
        <v>0.55000000000000004</v>
      </c>
      <c r="X1543" s="306" t="s">
        <v>248</v>
      </c>
      <c r="Y1543" s="334" t="s">
        <v>96</v>
      </c>
      <c r="Z1543" s="314" t="s">
        <v>100</v>
      </c>
      <c r="AA1543" s="334" t="s">
        <v>1495</v>
      </c>
      <c r="AB1543" s="334" t="s">
        <v>1739</v>
      </c>
      <c r="AC1543" s="334" t="s">
        <v>1702</v>
      </c>
      <c r="AD1543" s="334" t="s">
        <v>1717</v>
      </c>
      <c r="AE1543" s="334" t="s">
        <v>1725</v>
      </c>
      <c r="AF1543" s="334" t="s">
        <v>1735</v>
      </c>
      <c r="AG1543" s="334" t="s">
        <v>1707</v>
      </c>
      <c r="AH1543" s="334" t="s">
        <v>1714</v>
      </c>
      <c r="AI1543" s="334" t="s">
        <v>1496</v>
      </c>
      <c r="AJ1543" s="334" t="s">
        <v>1487</v>
      </c>
      <c r="AK1543" s="334" t="s">
        <v>1488</v>
      </c>
      <c r="AL1543" s="334" t="s">
        <v>1497</v>
      </c>
      <c r="AM1543" s="334"/>
      <c r="AN1543" s="334"/>
      <c r="AO1543" s="334"/>
      <c r="AP1543" s="334"/>
      <c r="AQ1543" s="334">
        <v>423</v>
      </c>
      <c r="AR1543" s="334" t="s">
        <v>1463</v>
      </c>
      <c r="AV1543" s="326" t="b">
        <v>1</v>
      </c>
      <c r="AW1543" t="b">
        <v>1</v>
      </c>
      <c r="AX1543" t="b">
        <v>1</v>
      </c>
      <c r="AY1543" t="b">
        <v>1</v>
      </c>
    </row>
    <row r="1544" spans="1:51">
      <c r="A1544" s="277" t="s">
        <v>523</v>
      </c>
      <c r="B1544" s="334" t="s">
        <v>1674</v>
      </c>
      <c r="C1544" s="334">
        <f>'EXD Webster 2009'!C71</f>
        <v>49.495232507248197</v>
      </c>
      <c r="D1544" s="301">
        <f>'EXD Webster 2009'!L71</f>
        <v>14779159.428287629</v>
      </c>
      <c r="O1544" s="334"/>
      <c r="P1544" s="334">
        <f>'EXD Webster 2009'!T71</f>
        <v>11.992311770943701</v>
      </c>
      <c r="R1544" s="334" t="s">
        <v>1395</v>
      </c>
      <c r="S1544" s="334" t="s">
        <v>141</v>
      </c>
      <c r="T1544" s="334" t="s">
        <v>145</v>
      </c>
      <c r="U1544" s="334" t="s">
        <v>145</v>
      </c>
      <c r="V1544" s="334"/>
      <c r="W1544" s="334"/>
      <c r="X1544" s="334"/>
      <c r="Y1544" s="334"/>
      <c r="Z1544" s="334"/>
      <c r="AA1544" s="334"/>
      <c r="AD1544" s="334"/>
      <c r="AE1544" s="334"/>
      <c r="AF1544" s="334"/>
      <c r="AG1544" s="334"/>
      <c r="AH1544" s="334"/>
      <c r="AI1544" s="334"/>
      <c r="AJ1544" s="334"/>
      <c r="AK1544" s="334"/>
      <c r="AL1544" s="334"/>
      <c r="AM1544" s="334"/>
      <c r="AN1544" s="334"/>
      <c r="AO1544" s="334"/>
      <c r="AP1544" s="334"/>
      <c r="AQ1544" s="334"/>
      <c r="AR1544" s="334"/>
    </row>
    <row r="1545" spans="1:51">
      <c r="A1545" s="277" t="s">
        <v>523</v>
      </c>
      <c r="B1545" s="334" t="s">
        <v>1674</v>
      </c>
      <c r="C1545" s="334">
        <f>'EXD Webster 2009'!C72</f>
        <v>59.310705978812301</v>
      </c>
      <c r="D1545" s="301">
        <f>'EXD Webster 2009'!L72</f>
        <v>14387194.465005619</v>
      </c>
      <c r="E1545" s="301">
        <f>'EXD Webster 2009'!M72</f>
        <v>112365.48001387389</v>
      </c>
      <c r="G1545" s="301">
        <f>E1545+F1545</f>
        <v>112365.48001387389</v>
      </c>
      <c r="H1545" s="27">
        <f>G1545/D1545</f>
        <v>7.8101036506584816E-3</v>
      </c>
      <c r="I1545" s="301">
        <f>'EXD Webster 2009'!N72</f>
        <v>97379.330912859456</v>
      </c>
      <c r="J1545" s="301">
        <f>'EXD Webster 2009'!O72</f>
        <v>3185.1773171241239</v>
      </c>
      <c r="K1545" s="301">
        <f>I1545+J1545</f>
        <v>100564.50822998358</v>
      </c>
      <c r="L1545" s="301">
        <f>'EXD Webster 2009'!P72</f>
        <v>219670.70907932142</v>
      </c>
      <c r="M1545" s="27">
        <v>0</v>
      </c>
      <c r="N1545" s="27">
        <f>J1545/K1545</f>
        <v>3.167297661158805E-2</v>
      </c>
      <c r="O1545" s="334" t="s">
        <v>440</v>
      </c>
      <c r="P1545" s="334">
        <f>'EXD Webster 2009'!T72</f>
        <v>11.1218628490632</v>
      </c>
      <c r="Q1545" s="301" t="b">
        <v>1</v>
      </c>
      <c r="R1545" s="334" t="s">
        <v>1395</v>
      </c>
      <c r="S1545" s="334" t="s">
        <v>141</v>
      </c>
      <c r="T1545" s="334" t="s">
        <v>145</v>
      </c>
      <c r="U1545" s="334" t="s">
        <v>145</v>
      </c>
      <c r="V1545" s="313">
        <v>0.55000000000000004</v>
      </c>
      <c r="W1545" s="313">
        <v>0.55000000000000004</v>
      </c>
      <c r="X1545" s="306" t="s">
        <v>248</v>
      </c>
      <c r="Y1545" s="334" t="s">
        <v>96</v>
      </c>
      <c r="Z1545" s="314" t="s">
        <v>100</v>
      </c>
      <c r="AA1545" s="334" t="s">
        <v>1495</v>
      </c>
      <c r="AB1545" s="334" t="s">
        <v>1739</v>
      </c>
      <c r="AC1545" s="334" t="s">
        <v>1702</v>
      </c>
      <c r="AD1545" s="334" t="s">
        <v>1717</v>
      </c>
      <c r="AE1545" s="334" t="s">
        <v>1725</v>
      </c>
      <c r="AF1545" s="334" t="s">
        <v>1735</v>
      </c>
      <c r="AG1545" s="334" t="s">
        <v>1707</v>
      </c>
      <c r="AH1545" s="334" t="s">
        <v>1714</v>
      </c>
      <c r="AI1545" s="334" t="s">
        <v>1496</v>
      </c>
      <c r="AJ1545" s="334" t="s">
        <v>1487</v>
      </c>
      <c r="AK1545" s="334" t="s">
        <v>1488</v>
      </c>
      <c r="AL1545" s="334" t="s">
        <v>1497</v>
      </c>
      <c r="AM1545" s="334"/>
      <c r="AN1545" s="334"/>
      <c r="AO1545" s="334"/>
      <c r="AP1545" s="334"/>
      <c r="AQ1545" s="334">
        <v>423</v>
      </c>
      <c r="AR1545" s="334" t="s">
        <v>1463</v>
      </c>
      <c r="AV1545" s="326" t="b">
        <v>1</v>
      </c>
      <c r="AW1545" t="b">
        <v>1</v>
      </c>
      <c r="AX1545" t="b">
        <v>1</v>
      </c>
      <c r="AY1545" t="b">
        <v>1</v>
      </c>
    </row>
    <row r="1546" spans="1:51">
      <c r="A1546" s="277" t="s">
        <v>523</v>
      </c>
      <c r="B1546" s="334" t="s">
        <v>1674</v>
      </c>
      <c r="C1546" s="334">
        <f>'EXD Webster 2009'!C73</f>
        <v>67.1602408878679</v>
      </c>
      <c r="D1546" s="301">
        <f>'EXD Webster 2009'!L73</f>
        <v>11997883.489064801</v>
      </c>
      <c r="O1546" s="334"/>
      <c r="P1546" s="334">
        <f>'EXD Webster 2009'!T73</f>
        <v>10.5409498841365</v>
      </c>
      <c r="R1546" s="334" t="s">
        <v>1395</v>
      </c>
      <c r="S1546" s="334" t="s">
        <v>141</v>
      </c>
      <c r="T1546" s="334" t="s">
        <v>145</v>
      </c>
      <c r="U1546" s="334" t="s">
        <v>145</v>
      </c>
      <c r="V1546" s="334"/>
      <c r="W1546" s="334"/>
      <c r="X1546" s="334"/>
      <c r="Y1546" s="334"/>
      <c r="Z1546" s="334"/>
      <c r="AA1546" s="334"/>
      <c r="AD1546" s="334"/>
      <c r="AE1546" s="334"/>
      <c r="AF1546" s="334"/>
      <c r="AG1546" s="334"/>
      <c r="AH1546" s="334"/>
      <c r="AI1546" s="334"/>
      <c r="AJ1546" s="334"/>
      <c r="AK1546" s="334"/>
      <c r="AL1546" s="334"/>
      <c r="AM1546" s="334"/>
      <c r="AN1546" s="334"/>
      <c r="AO1546" s="334"/>
      <c r="AP1546" s="334"/>
      <c r="AQ1546" s="334"/>
      <c r="AR1546" s="334"/>
    </row>
    <row r="1547" spans="1:51">
      <c r="A1547" s="277" t="s">
        <v>523</v>
      </c>
      <c r="B1547" s="334" t="s">
        <v>1674</v>
      </c>
      <c r="C1547" s="334">
        <f>'EXD Webster 2009'!C74</f>
        <v>85.299074404994997</v>
      </c>
      <c r="D1547" s="301">
        <f>'EXD Webster 2009'!L74</f>
        <v>3746141.1235801629</v>
      </c>
      <c r="E1547" s="301">
        <f>'EXD Webster 2009'!M74</f>
        <v>246834.04670686607</v>
      </c>
      <c r="G1547" s="301">
        <f>E1547+F1547</f>
        <v>246834.04670686607</v>
      </c>
      <c r="H1547" s="27">
        <f>G1547/D1547</f>
        <v>6.5890215708416341E-2</v>
      </c>
      <c r="I1547" s="301">
        <f>'EXD Webster 2009'!N74</f>
        <v>5874829.2842262937</v>
      </c>
      <c r="J1547" s="301">
        <f>'EXD Webster 2009'!O74</f>
        <v>58747.610523122261</v>
      </c>
      <c r="K1547" s="301">
        <f>I1547+J1547</f>
        <v>5933576.894749416</v>
      </c>
      <c r="L1547" s="301">
        <f>'EXD Webster 2009'!P74</f>
        <v>6092704.6613685656</v>
      </c>
      <c r="M1547" s="27">
        <v>0</v>
      </c>
      <c r="N1547" s="27">
        <f>J1547/K1547</f>
        <v>9.9008762446657836E-3</v>
      </c>
      <c r="O1547" s="334" t="s">
        <v>440</v>
      </c>
      <c r="P1547" s="334">
        <f>'EXD Webster 2009'!T74</f>
        <v>11.290871332626301</v>
      </c>
      <c r="Q1547" s="301" t="b">
        <v>1</v>
      </c>
      <c r="R1547" s="334" t="s">
        <v>1395</v>
      </c>
      <c r="S1547" s="334" t="s">
        <v>141</v>
      </c>
      <c r="T1547" s="334" t="s">
        <v>145</v>
      </c>
      <c r="U1547" s="334" t="s">
        <v>145</v>
      </c>
      <c r="V1547" s="313">
        <v>0.55000000000000004</v>
      </c>
      <c r="W1547" s="313">
        <v>0.55000000000000004</v>
      </c>
      <c r="X1547" s="306" t="s">
        <v>248</v>
      </c>
      <c r="Y1547" s="334" t="s">
        <v>96</v>
      </c>
      <c r="Z1547" s="314" t="s">
        <v>100</v>
      </c>
      <c r="AA1547" s="334" t="s">
        <v>1495</v>
      </c>
      <c r="AB1547" s="334" t="s">
        <v>1739</v>
      </c>
      <c r="AC1547" s="334" t="s">
        <v>1702</v>
      </c>
      <c r="AD1547" s="334" t="s">
        <v>1717</v>
      </c>
      <c r="AE1547" s="334" t="s">
        <v>1725</v>
      </c>
      <c r="AF1547" s="334" t="s">
        <v>1735</v>
      </c>
      <c r="AG1547" s="334" t="s">
        <v>1707</v>
      </c>
      <c r="AH1547" s="334" t="s">
        <v>1714</v>
      </c>
      <c r="AI1547" s="334" t="s">
        <v>1496</v>
      </c>
      <c r="AJ1547" s="334" t="s">
        <v>1487</v>
      </c>
      <c r="AK1547" s="334" t="s">
        <v>1488</v>
      </c>
      <c r="AL1547" s="334" t="s">
        <v>1497</v>
      </c>
      <c r="AM1547" s="334"/>
      <c r="AN1547" s="334"/>
      <c r="AO1547" s="334"/>
      <c r="AP1547" s="334"/>
      <c r="AQ1547" s="334">
        <v>423</v>
      </c>
      <c r="AR1547" s="334" t="s">
        <v>1463</v>
      </c>
      <c r="AV1547" s="326" t="b">
        <v>1</v>
      </c>
      <c r="AW1547" t="b">
        <v>1</v>
      </c>
      <c r="AX1547" t="b">
        <v>1</v>
      </c>
      <c r="AY1547" t="b">
        <v>1</v>
      </c>
    </row>
    <row r="1548" spans="1:51">
      <c r="A1548" s="277" t="s">
        <v>523</v>
      </c>
      <c r="B1548" s="334" t="s">
        <v>1674</v>
      </c>
      <c r="C1548" s="334">
        <f>'EXD Webster 2009'!C75</f>
        <v>95.604885796139698</v>
      </c>
      <c r="D1548" s="301">
        <f>'EXD Webster 2009'!L75</f>
        <v>3553633.5994080971</v>
      </c>
      <c r="O1548" s="334"/>
      <c r="P1548" s="334">
        <f>'EXD Webster 2009'!T75</f>
        <v>13.0223798161894</v>
      </c>
      <c r="R1548" s="334" t="s">
        <v>1395</v>
      </c>
      <c r="S1548" s="334" t="s">
        <v>141</v>
      </c>
      <c r="T1548" s="334" t="s">
        <v>145</v>
      </c>
      <c r="U1548" s="334" t="s">
        <v>145</v>
      </c>
      <c r="V1548" s="334"/>
      <c r="W1548" s="334"/>
      <c r="X1548" s="334"/>
      <c r="Y1548" s="334"/>
      <c r="Z1548" s="334"/>
      <c r="AA1548" s="334"/>
      <c r="AD1548" s="334"/>
      <c r="AE1548" s="334"/>
      <c r="AF1548" s="334"/>
      <c r="AG1548" s="334"/>
      <c r="AH1548" s="334"/>
      <c r="AI1548" s="334"/>
      <c r="AJ1548" s="334"/>
      <c r="AK1548" s="334"/>
      <c r="AL1548" s="334"/>
      <c r="AM1548" s="334"/>
      <c r="AN1548" s="334"/>
      <c r="AO1548" s="334"/>
      <c r="AP1548" s="334"/>
      <c r="AQ1548" s="334"/>
      <c r="AR1548" s="334"/>
    </row>
    <row r="1549" spans="1:51">
      <c r="A1549" s="277" t="s">
        <v>523</v>
      </c>
      <c r="B1549" s="334" t="s">
        <v>1674</v>
      </c>
      <c r="C1549" s="334">
        <f>'EXD Webster 2009'!C76</f>
        <v>104.185570044588</v>
      </c>
      <c r="D1549" s="301">
        <f>'EXD Webster 2009'!L76</f>
        <v>2230501.5122411274</v>
      </c>
      <c r="O1549" s="334"/>
      <c r="P1549" s="334">
        <f>'EXD Webster 2009'!T76</f>
        <v>13.772546738148501</v>
      </c>
      <c r="R1549" s="334" t="s">
        <v>1395</v>
      </c>
      <c r="S1549" s="334" t="s">
        <v>141</v>
      </c>
      <c r="T1549" s="334" t="s">
        <v>145</v>
      </c>
      <c r="U1549" s="334" t="s">
        <v>145</v>
      </c>
      <c r="V1549" s="334"/>
      <c r="W1549" s="334"/>
      <c r="X1549" s="334"/>
      <c r="Y1549" s="334"/>
      <c r="Z1549" s="334"/>
      <c r="AA1549" s="334"/>
      <c r="AD1549" s="334"/>
      <c r="AE1549" s="334"/>
      <c r="AF1549" s="334"/>
      <c r="AG1549" s="334"/>
      <c r="AH1549" s="334"/>
      <c r="AI1549" s="334"/>
      <c r="AJ1549" s="334"/>
      <c r="AK1549" s="334"/>
      <c r="AL1549" s="334"/>
      <c r="AM1549" s="334"/>
      <c r="AN1549" s="334"/>
      <c r="AO1549" s="334"/>
      <c r="AP1549" s="334"/>
      <c r="AQ1549" s="334"/>
      <c r="AR1549" s="334"/>
    </row>
    <row r="1550" spans="1:51">
      <c r="A1550" s="277" t="s">
        <v>523</v>
      </c>
      <c r="B1550" s="334" t="s">
        <v>1674</v>
      </c>
      <c r="C1550" s="334">
        <f>'EXD Webster 2009'!C77</f>
        <v>114.001502204571</v>
      </c>
      <c r="D1550" s="301">
        <f>'EXD Webster 2009'!L77</f>
        <v>2228146.9690492558</v>
      </c>
      <c r="O1550" s="334"/>
      <c r="P1550" s="334">
        <f>'EXD Webster 2009'!T77</f>
        <v>14.2330549664192</v>
      </c>
      <c r="R1550" s="334" t="s">
        <v>1395</v>
      </c>
      <c r="S1550" s="334" t="s">
        <v>141</v>
      </c>
      <c r="T1550" s="334" t="s">
        <v>145</v>
      </c>
      <c r="U1550" s="334" t="s">
        <v>145</v>
      </c>
      <c r="V1550" s="334"/>
      <c r="W1550" s="334"/>
      <c r="X1550" s="334"/>
      <c r="Y1550" s="334"/>
      <c r="Z1550" s="334"/>
      <c r="AA1550" s="334"/>
      <c r="AD1550" s="334"/>
      <c r="AE1550" s="334"/>
      <c r="AF1550" s="334"/>
      <c r="AG1550" s="334"/>
      <c r="AH1550" s="334"/>
      <c r="AI1550" s="334"/>
      <c r="AJ1550" s="334"/>
      <c r="AK1550" s="334"/>
      <c r="AL1550" s="334"/>
      <c r="AM1550" s="334"/>
      <c r="AN1550" s="334"/>
      <c r="AO1550" s="334"/>
      <c r="AP1550" s="334"/>
      <c r="AQ1550" s="334"/>
      <c r="AR1550" s="334"/>
    </row>
    <row r="1551" spans="1:51">
      <c r="A1551" s="277" t="s">
        <v>523</v>
      </c>
      <c r="B1551" s="334" t="s">
        <v>1674</v>
      </c>
      <c r="C1551" s="334">
        <f>'EXD Webster 2009'!C78</f>
        <v>120.86852652079099</v>
      </c>
      <c r="D1551" s="301">
        <f>'EXD Webster 2009'!L78</f>
        <v>1764771.0270835552</v>
      </c>
      <c r="E1551" s="301">
        <f>'EXD Webster 2009'!M78</f>
        <v>609270.46613685705</v>
      </c>
      <c r="G1551" s="301">
        <f>E1551+F1551</f>
        <v>609270.46613685705</v>
      </c>
      <c r="H1551" s="27">
        <f>G1551/D1551</f>
        <v>0.34524051947052414</v>
      </c>
      <c r="I1551" s="301">
        <f>'EXD Webster 2009'!N78</f>
        <v>450480.2167065547</v>
      </c>
      <c r="J1551" s="301">
        <f>'EXD Webster 2009'!O78</f>
        <v>1123.9464922817635</v>
      </c>
      <c r="K1551" s="301">
        <f>I1551+J1551</f>
        <v>451604.16319883644</v>
      </c>
      <c r="L1551" s="301">
        <f>'EXD Webster 2009'!P78</f>
        <v>1418726.67411658</v>
      </c>
      <c r="M1551" s="27">
        <v>0</v>
      </c>
      <c r="N1551" s="27">
        <f>J1551/K1551</f>
        <v>2.4887868267655937E-3</v>
      </c>
      <c r="O1551" s="334" t="s">
        <v>440</v>
      </c>
      <c r="P1551" s="334">
        <f>'EXD Webster 2009'!T78</f>
        <v>14.2330549664192</v>
      </c>
      <c r="Q1551" s="301" t="b">
        <v>1</v>
      </c>
      <c r="R1551" s="334" t="s">
        <v>1395</v>
      </c>
      <c r="S1551" s="334" t="s">
        <v>141</v>
      </c>
      <c r="T1551" s="334" t="s">
        <v>145</v>
      </c>
      <c r="U1551" s="334" t="s">
        <v>145</v>
      </c>
      <c r="V1551" s="313">
        <v>0.55000000000000004</v>
      </c>
      <c r="W1551" s="313">
        <v>0.55000000000000004</v>
      </c>
      <c r="X1551" s="306" t="s">
        <v>248</v>
      </c>
      <c r="Y1551" s="334" t="s">
        <v>96</v>
      </c>
      <c r="Z1551" s="314" t="s">
        <v>100</v>
      </c>
      <c r="AA1551" s="334" t="s">
        <v>1495</v>
      </c>
      <c r="AB1551" s="334" t="s">
        <v>1739</v>
      </c>
      <c r="AC1551" s="334" t="s">
        <v>1702</v>
      </c>
      <c r="AD1551" s="334" t="s">
        <v>1717</v>
      </c>
      <c r="AE1551" s="334" t="s">
        <v>1725</v>
      </c>
      <c r="AF1551" s="334" t="s">
        <v>1735</v>
      </c>
      <c r="AG1551" s="334" t="s">
        <v>1707</v>
      </c>
      <c r="AH1551" s="334" t="s">
        <v>1714</v>
      </c>
      <c r="AI1551" s="334" t="s">
        <v>1496</v>
      </c>
      <c r="AJ1551" s="334" t="s">
        <v>1487</v>
      </c>
      <c r="AK1551" s="334" t="s">
        <v>1488</v>
      </c>
      <c r="AL1551" s="334" t="s">
        <v>1497</v>
      </c>
      <c r="AM1551" s="334"/>
      <c r="AN1551" s="334"/>
      <c r="AO1551" s="334"/>
      <c r="AP1551" s="334"/>
      <c r="AQ1551" s="334">
        <v>423</v>
      </c>
      <c r="AR1551" s="334" t="s">
        <v>1463</v>
      </c>
      <c r="AV1551" s="326" t="b">
        <v>1</v>
      </c>
      <c r="AW1551" t="b">
        <v>1</v>
      </c>
      <c r="AX1551" t="b">
        <v>1</v>
      </c>
      <c r="AY1551" t="b">
        <v>1</v>
      </c>
    </row>
    <row r="1552" spans="1:51">
      <c r="A1552" s="277" t="s">
        <v>523</v>
      </c>
      <c r="B1552" s="334" t="s">
        <v>1674</v>
      </c>
      <c r="C1552" s="334">
        <f>'EXD Webster 2009'!C79</f>
        <v>130.43401480416799</v>
      </c>
      <c r="D1552" s="301">
        <f>'EXD Webster 2009'!L79</f>
        <v>1327018.244384611</v>
      </c>
      <c r="O1552" s="334"/>
      <c r="P1552" s="334">
        <f>'EXD Webster 2009'!T79</f>
        <v>15.0994535760574</v>
      </c>
      <c r="R1552" s="334" t="s">
        <v>1395</v>
      </c>
      <c r="S1552" s="334" t="s">
        <v>141</v>
      </c>
      <c r="T1552" s="334" t="s">
        <v>145</v>
      </c>
      <c r="U1552" s="334" t="s">
        <v>145</v>
      </c>
      <c r="V1552" s="334"/>
      <c r="W1552" s="334"/>
      <c r="X1552" s="334"/>
      <c r="Y1552" s="334"/>
      <c r="Z1552" s="334"/>
      <c r="AA1552" s="334"/>
      <c r="AD1552" s="334"/>
      <c r="AE1552" s="334"/>
      <c r="AF1552" s="334"/>
      <c r="AG1552" s="334"/>
      <c r="AH1552" s="334"/>
      <c r="AI1552" s="334"/>
      <c r="AJ1552" s="334"/>
      <c r="AK1552" s="334"/>
      <c r="AL1552" s="334"/>
      <c r="AM1552" s="334"/>
      <c r="AN1552" s="334"/>
      <c r="AO1552" s="334"/>
      <c r="AP1552" s="334"/>
      <c r="AQ1552" s="334"/>
      <c r="AR1552" s="334"/>
    </row>
    <row r="1553" spans="1:51">
      <c r="A1553" s="277" t="s">
        <v>523</v>
      </c>
      <c r="B1553" s="334" t="s">
        <v>1674</v>
      </c>
      <c r="C1553" s="334">
        <f>'EXD Webster 2009'!C80</f>
        <v>145.91520762340099</v>
      </c>
      <c r="D1553" s="301">
        <f>'EXD Webster 2009'!L80</f>
        <v>4345515.7067107884</v>
      </c>
      <c r="O1553" s="334"/>
      <c r="P1553" s="334">
        <f>'EXD Webster 2009'!T80</f>
        <v>16.890980322846701</v>
      </c>
      <c r="R1553" s="334" t="s">
        <v>1395</v>
      </c>
      <c r="S1553" s="334" t="s">
        <v>141</v>
      </c>
      <c r="T1553" s="334" t="s">
        <v>145</v>
      </c>
      <c r="U1553" s="334" t="s">
        <v>145</v>
      </c>
      <c r="V1553" s="334"/>
      <c r="W1553" s="334"/>
      <c r="X1553" s="334"/>
      <c r="Y1553" s="334"/>
      <c r="Z1553" s="334"/>
      <c r="AA1553" s="334"/>
      <c r="AD1553" s="334"/>
      <c r="AE1553" s="334"/>
      <c r="AF1553" s="334"/>
      <c r="AG1553" s="334"/>
      <c r="AH1553" s="334"/>
      <c r="AI1553" s="334"/>
      <c r="AJ1553" s="334"/>
      <c r="AK1553" s="334"/>
      <c r="AL1553" s="334"/>
      <c r="AM1553" s="334"/>
      <c r="AN1553" s="334"/>
      <c r="AO1553" s="334"/>
      <c r="AP1553" s="334"/>
      <c r="AQ1553" s="334"/>
      <c r="AR1553" s="334"/>
    </row>
    <row r="1554" spans="1:51">
      <c r="A1554" s="277" t="s">
        <v>523</v>
      </c>
      <c r="B1554" s="334" t="s">
        <v>1674</v>
      </c>
      <c r="C1554" s="334">
        <f>'EXD Webster 2009'!C81</f>
        <v>155.97195120319699</v>
      </c>
      <c r="D1554" s="301">
        <f>'EXD Webster 2009'!L81</f>
        <v>3352909.644140644</v>
      </c>
      <c r="E1554" s="301">
        <f>'EXD Webster 2009'!M81</f>
        <v>725703.96123241226</v>
      </c>
      <c r="G1554" s="301">
        <f>E1554+F1554</f>
        <v>725703.96123241226</v>
      </c>
      <c r="H1554" s="27">
        <f>G1554/D1554</f>
        <v>0.21644005900982499</v>
      </c>
      <c r="I1554" s="301">
        <f>'EXD Webster 2009'!N81</f>
        <v>2546048.8453214248</v>
      </c>
      <c r="J1554" s="301">
        <f>'EXD Webster 2009'!O81</f>
        <v>116.8525381553295</v>
      </c>
      <c r="K1554" s="301">
        <f>I1554+J1554</f>
        <v>2546165.6978595802</v>
      </c>
      <c r="L1554" s="301">
        <f>'EXD Webster 2009'!P81</f>
        <v>2328566.2984981635</v>
      </c>
      <c r="M1554" s="27">
        <v>0</v>
      </c>
      <c r="N1554" s="27">
        <f>J1554/K1554</f>
        <v>4.5893532480451261E-5</v>
      </c>
      <c r="O1554" s="334" t="s">
        <v>440</v>
      </c>
      <c r="P1554" s="334">
        <f>'EXD Webster 2009'!T81</f>
        <v>16.424151152743399</v>
      </c>
      <c r="Q1554" s="301" t="b">
        <v>1</v>
      </c>
      <c r="R1554" s="334" t="s">
        <v>1395</v>
      </c>
      <c r="S1554" s="334" t="s">
        <v>141</v>
      </c>
      <c r="T1554" s="334" t="s">
        <v>145</v>
      </c>
      <c r="U1554" s="334" t="s">
        <v>145</v>
      </c>
      <c r="V1554" s="313">
        <v>0.55000000000000004</v>
      </c>
      <c r="W1554" s="313">
        <v>0.55000000000000004</v>
      </c>
      <c r="X1554" s="306" t="s">
        <v>248</v>
      </c>
      <c r="Y1554" s="334" t="s">
        <v>96</v>
      </c>
      <c r="Z1554" s="314" t="s">
        <v>100</v>
      </c>
      <c r="AA1554" s="334" t="s">
        <v>1495</v>
      </c>
      <c r="AB1554" s="334" t="s">
        <v>1739</v>
      </c>
      <c r="AC1554" s="334" t="s">
        <v>1702</v>
      </c>
      <c r="AD1554" s="334" t="s">
        <v>1717</v>
      </c>
      <c r="AE1554" s="334" t="s">
        <v>1725</v>
      </c>
      <c r="AF1554" s="334" t="s">
        <v>1735</v>
      </c>
      <c r="AG1554" s="334" t="s">
        <v>1707</v>
      </c>
      <c r="AH1554" s="334" t="s">
        <v>1714</v>
      </c>
      <c r="AI1554" s="334" t="s">
        <v>1496</v>
      </c>
      <c r="AJ1554" s="334" t="s">
        <v>1487</v>
      </c>
      <c r="AK1554" s="334" t="s">
        <v>1488</v>
      </c>
      <c r="AL1554" s="334" t="s">
        <v>1497</v>
      </c>
      <c r="AM1554" s="334"/>
      <c r="AN1554" s="334"/>
      <c r="AO1554" s="334"/>
      <c r="AP1554" s="334"/>
      <c r="AQ1554" s="334">
        <v>423</v>
      </c>
      <c r="AR1554" s="334" t="s">
        <v>1463</v>
      </c>
      <c r="AS1554" s="334"/>
      <c r="AT1554" s="334"/>
      <c r="AU1554" s="334"/>
      <c r="AV1554" s="326" t="b">
        <v>1</v>
      </c>
      <c r="AW1554" t="b">
        <v>1</v>
      </c>
      <c r="AX1554" t="b">
        <v>1</v>
      </c>
      <c r="AY1554" t="b">
        <v>1</v>
      </c>
    </row>
    <row r="1555" spans="1:51">
      <c r="A1555" s="277" t="s">
        <v>523</v>
      </c>
      <c r="B1555" s="334" t="s">
        <v>1674</v>
      </c>
      <c r="C1555" s="334">
        <f>'EXD Webster 2009'!C82</f>
        <v>164.80950096611201</v>
      </c>
      <c r="D1555" s="301">
        <f>'EXD Webster 2009'!L82</f>
        <v>4013410.2295621159</v>
      </c>
      <c r="O1555" s="334"/>
      <c r="P1555" s="334">
        <f>'EXD Webster 2009'!T82</f>
        <v>17.173949864498599</v>
      </c>
      <c r="R1555" s="334" t="s">
        <v>1395</v>
      </c>
      <c r="S1555" s="334" t="s">
        <v>141</v>
      </c>
      <c r="T1555" s="334" t="s">
        <v>145</v>
      </c>
      <c r="U1555" s="334" t="s">
        <v>145</v>
      </c>
      <c r="V1555" s="334"/>
      <c r="W1555" s="334"/>
      <c r="X1555" s="334"/>
      <c r="Y1555" s="334"/>
      <c r="Z1555" s="334"/>
      <c r="AA1555" s="334"/>
      <c r="AD1555" s="334"/>
      <c r="AE1555" s="334"/>
      <c r="AF1555" s="334"/>
      <c r="AG1555" s="334"/>
      <c r="AH1555" s="334"/>
      <c r="AI1555" s="334"/>
      <c r="AJ1555" s="334"/>
      <c r="AK1555" s="334"/>
      <c r="AL1555" s="334"/>
      <c r="AM1555" s="334"/>
      <c r="AN1555" s="334"/>
      <c r="AO1555" s="334"/>
      <c r="AP1555" s="334"/>
      <c r="AQ1555" s="334"/>
      <c r="AR1555" s="334"/>
      <c r="AU1555" s="334"/>
    </row>
    <row r="1556" spans="1:51">
      <c r="A1556" s="277" t="s">
        <v>523</v>
      </c>
      <c r="B1556" s="334" t="s">
        <v>1674</v>
      </c>
      <c r="C1556" s="334">
        <f>'EXD Webster 2009'!C83</f>
        <v>173.88419264149101</v>
      </c>
      <c r="D1556" s="301">
        <f>'EXD Webster 2009'!L83</f>
        <v>3018040.1725844159</v>
      </c>
      <c r="O1556" s="334"/>
      <c r="P1556" s="334"/>
      <c r="R1556" s="334" t="s">
        <v>1395</v>
      </c>
      <c r="S1556" s="334" t="s">
        <v>141</v>
      </c>
      <c r="T1556" s="334" t="s">
        <v>145</v>
      </c>
      <c r="U1556" s="334" t="s">
        <v>145</v>
      </c>
      <c r="V1556" s="334"/>
      <c r="W1556" s="334"/>
      <c r="X1556" s="334"/>
      <c r="Y1556" s="334"/>
      <c r="Z1556" s="334"/>
      <c r="AA1556" s="334"/>
      <c r="AD1556" s="334"/>
      <c r="AE1556" s="334"/>
      <c r="AF1556" s="334"/>
      <c r="AG1556" s="334"/>
      <c r="AH1556" s="334"/>
      <c r="AI1556" s="334"/>
      <c r="AJ1556" s="334"/>
      <c r="AK1556" s="334"/>
      <c r="AL1556" s="334"/>
      <c r="AM1556" s="334"/>
      <c r="AN1556" s="334"/>
      <c r="AO1556" s="334"/>
      <c r="AP1556" s="334"/>
      <c r="AQ1556" s="334"/>
      <c r="AR1556" s="334"/>
      <c r="AU1556" s="334"/>
    </row>
    <row r="1557" spans="1:51">
      <c r="A1557" s="277" t="s">
        <v>523</v>
      </c>
      <c r="B1557" s="334" t="s">
        <v>1674</v>
      </c>
      <c r="C1557" s="334">
        <f>'EXD Webster 2009'!C84</f>
        <v>185.17389069072701</v>
      </c>
      <c r="D1557" s="301">
        <f>'EXD Webster 2009'!L84</f>
        <v>3257184.2050925991</v>
      </c>
      <c r="O1557" s="334"/>
      <c r="P1557" s="334"/>
      <c r="R1557" s="334" t="s">
        <v>1395</v>
      </c>
      <c r="S1557" s="334" t="s">
        <v>141</v>
      </c>
      <c r="T1557" s="334" t="s">
        <v>145</v>
      </c>
      <c r="U1557" s="334" t="s">
        <v>145</v>
      </c>
      <c r="V1557" s="334"/>
      <c r="W1557" s="334"/>
      <c r="X1557" s="334"/>
      <c r="Y1557" s="334"/>
      <c r="Z1557" s="334"/>
      <c r="AA1557" s="334"/>
      <c r="AD1557" s="334"/>
      <c r="AE1557" s="334"/>
      <c r="AF1557" s="334"/>
      <c r="AG1557" s="334"/>
      <c r="AH1557" s="334"/>
      <c r="AI1557" s="334"/>
      <c r="AJ1557" s="334"/>
      <c r="AK1557" s="334"/>
      <c r="AL1557" s="334"/>
      <c r="AM1557" s="334"/>
      <c r="AN1557" s="334"/>
      <c r="AO1557" s="334"/>
      <c r="AP1557" s="334"/>
      <c r="AQ1557" s="334"/>
      <c r="AR1557" s="334"/>
      <c r="AU1557" s="334"/>
    </row>
    <row r="1558" spans="1:51">
      <c r="A1558" s="277" t="s">
        <v>523</v>
      </c>
      <c r="B1558" s="334" t="s">
        <v>1674</v>
      </c>
      <c r="C1558" s="334">
        <f>'EXD Webster 2009'!C85</f>
        <v>192.549141774856</v>
      </c>
      <c r="D1558" s="301">
        <f>'EXD Webster 2009'!L85</f>
        <v>6882263.986855316</v>
      </c>
      <c r="O1558" s="334"/>
      <c r="P1558" s="334">
        <f>'EXD Webster 2009'!T85</f>
        <v>14.5625417304897</v>
      </c>
      <c r="R1558" s="334" t="s">
        <v>1395</v>
      </c>
      <c r="S1558" s="334" t="s">
        <v>141</v>
      </c>
      <c r="T1558" s="334" t="s">
        <v>145</v>
      </c>
      <c r="U1558" s="334" t="s">
        <v>145</v>
      </c>
      <c r="V1558" s="334"/>
      <c r="W1558" s="334"/>
      <c r="X1558" s="334"/>
      <c r="Y1558" s="334"/>
      <c r="Z1558" s="334"/>
      <c r="AA1558" s="334"/>
      <c r="AD1558" s="334"/>
      <c r="AE1558" s="334"/>
      <c r="AF1558" s="334"/>
      <c r="AG1558" s="334"/>
      <c r="AH1558" s="334"/>
      <c r="AI1558" s="334"/>
      <c r="AJ1558" s="334"/>
      <c r="AK1558" s="334"/>
      <c r="AL1558" s="334"/>
      <c r="AM1558" s="334"/>
      <c r="AN1558" s="334"/>
      <c r="AO1558" s="334"/>
      <c r="AP1558" s="334"/>
      <c r="AQ1558" s="334"/>
      <c r="AU1558" s="334"/>
    </row>
    <row r="1559" spans="1:51">
      <c r="A1559" s="277" t="s">
        <v>523</v>
      </c>
      <c r="B1559" s="334" t="s">
        <v>1674</v>
      </c>
      <c r="C1559" s="334">
        <f>'EXD Webster 2009'!C86</f>
        <v>201.13854110326</v>
      </c>
      <c r="D1559" s="301">
        <f>'EXD Webster 2009'!L86</f>
        <v>7055777.97839294</v>
      </c>
      <c r="O1559" s="334"/>
      <c r="P1559" s="334">
        <f>'EXD Webster 2009'!T86</f>
        <v>14.5605165743686</v>
      </c>
      <c r="R1559" s="334" t="s">
        <v>1395</v>
      </c>
      <c r="S1559" s="334" t="s">
        <v>141</v>
      </c>
      <c r="T1559" s="334" t="s">
        <v>145</v>
      </c>
      <c r="U1559" s="334" t="s">
        <v>145</v>
      </c>
      <c r="V1559" s="334"/>
      <c r="W1559" s="334"/>
      <c r="X1559" s="334"/>
      <c r="Y1559" s="334"/>
      <c r="Z1559" s="334"/>
      <c r="AA1559" s="334"/>
      <c r="AD1559" s="334"/>
      <c r="AE1559" s="334"/>
      <c r="AF1559" s="334"/>
      <c r="AG1559" s="334"/>
      <c r="AH1559" s="334"/>
      <c r="AI1559" s="334"/>
      <c r="AJ1559" s="334"/>
      <c r="AK1559" s="334"/>
      <c r="AL1559" s="334"/>
      <c r="AM1559" s="334"/>
      <c r="AN1559" s="334"/>
      <c r="AO1559" s="334"/>
      <c r="AP1559" s="334"/>
      <c r="AQ1559" s="334"/>
      <c r="AU1559" s="334"/>
    </row>
    <row r="1560" spans="1:51">
      <c r="A1560" s="277" t="s">
        <v>523</v>
      </c>
      <c r="B1560" s="334" t="s">
        <v>1674</v>
      </c>
      <c r="C1560" s="334">
        <f>'EXD Webster 2009'!C87</f>
        <v>211.19711943672999</v>
      </c>
      <c r="D1560" s="301">
        <f>'EXD Webster 2009'!L87</f>
        <v>6036499.3735803403</v>
      </c>
      <c r="O1560" s="334"/>
      <c r="P1560" s="334">
        <f>'EXD Webster 2009'!T87</f>
        <v>13.343152272102399</v>
      </c>
      <c r="R1560" s="334" t="s">
        <v>1395</v>
      </c>
      <c r="S1560" s="334" t="s">
        <v>141</v>
      </c>
      <c r="T1560" s="334" t="s">
        <v>145</v>
      </c>
      <c r="U1560" s="334" t="s">
        <v>145</v>
      </c>
      <c r="V1560" s="334"/>
      <c r="W1560" s="334"/>
      <c r="X1560" s="334"/>
      <c r="Y1560" s="334"/>
      <c r="Z1560" s="334"/>
      <c r="AA1560" s="334"/>
      <c r="AD1560" s="334"/>
      <c r="AE1560" s="334"/>
      <c r="AF1560" s="334"/>
      <c r="AG1560" s="334"/>
      <c r="AH1560" s="334"/>
      <c r="AI1560" s="334"/>
      <c r="AJ1560" s="334"/>
      <c r="AK1560" s="334"/>
      <c r="AL1560" s="334"/>
      <c r="AM1560" s="334"/>
      <c r="AN1560" s="334"/>
      <c r="AO1560" s="334"/>
      <c r="AP1560" s="334"/>
      <c r="AQ1560" s="334"/>
      <c r="AU1560" s="334"/>
    </row>
    <row r="1561" spans="1:51">
      <c r="A1561" s="277" t="s">
        <v>523</v>
      </c>
      <c r="B1561" s="334" t="s">
        <v>1674</v>
      </c>
      <c r="C1561" s="334">
        <f>'EXD Webster 2009'!C88</f>
        <v>217.57334714495099</v>
      </c>
      <c r="D1561" s="301">
        <f>'EXD Webster 2009'!L88</f>
        <v>4781373.0121457754</v>
      </c>
      <c r="O1561" s="334"/>
      <c r="P1561" s="334">
        <f>'EXD Webster 2009'!T88</f>
        <v>12.2410377636385</v>
      </c>
      <c r="R1561" s="334" t="s">
        <v>1395</v>
      </c>
      <c r="S1561" s="334" t="s">
        <v>141</v>
      </c>
      <c r="T1561" s="334" t="s">
        <v>145</v>
      </c>
      <c r="U1561" s="334" t="s">
        <v>145</v>
      </c>
      <c r="V1561" s="334"/>
      <c r="W1561" s="334"/>
      <c r="X1561" s="334"/>
      <c r="Y1561" s="334"/>
      <c r="Z1561" s="334"/>
      <c r="AA1561" s="334"/>
      <c r="AD1561" s="334"/>
      <c r="AE1561" s="334"/>
      <c r="AF1561" s="334"/>
      <c r="AG1561" s="334"/>
      <c r="AH1561" s="334"/>
      <c r="AI1561" s="334"/>
      <c r="AJ1561" s="334"/>
      <c r="AK1561" s="334"/>
      <c r="AL1561" s="334"/>
      <c r="AM1561" s="334"/>
      <c r="AN1561" s="334"/>
      <c r="AO1561" s="334"/>
      <c r="AP1561" s="334"/>
      <c r="AQ1561" s="334"/>
      <c r="AU1561" s="334"/>
    </row>
    <row r="1562" spans="1:51">
      <c r="A1562" s="277" t="s">
        <v>523</v>
      </c>
      <c r="B1562" s="334" t="s">
        <v>1674</v>
      </c>
      <c r="C1562" s="334">
        <f>'EXD Webster 2009'!C89</f>
        <v>220.276397996296</v>
      </c>
      <c r="D1562" s="301">
        <f>'EXD Webster 2009'!L89</f>
        <v>5876868.0692333942</v>
      </c>
      <c r="I1562" s="301">
        <f>'EXD Webster 2009'!N89</f>
        <v>5060.1290286757057</v>
      </c>
      <c r="J1562" s="301">
        <f>'EXD Webster 2009'!O89</f>
        <v>7858.7993037299793</v>
      </c>
      <c r="K1562" s="301">
        <f>I1562+J1562</f>
        <v>12918.928332405685</v>
      </c>
      <c r="L1562" s="301">
        <f>'EXD Webster 2009'!P89</f>
        <v>6846.0968385746055</v>
      </c>
      <c r="N1562" s="27">
        <f>J1562/K1562</f>
        <v>0.60831665766091925</v>
      </c>
      <c r="O1562" s="334"/>
      <c r="P1562" s="334">
        <f>'EXD Webster 2009'!T89</f>
        <v>11.718670221122499</v>
      </c>
      <c r="R1562" s="334" t="s">
        <v>1395</v>
      </c>
      <c r="S1562" s="334" t="s">
        <v>141</v>
      </c>
      <c r="T1562" s="334" t="s">
        <v>145</v>
      </c>
      <c r="U1562" s="334" t="s">
        <v>145</v>
      </c>
      <c r="V1562" s="334"/>
      <c r="W1562" s="334"/>
      <c r="X1562" s="334"/>
      <c r="Y1562" s="334"/>
      <c r="Z1562" s="334"/>
      <c r="AA1562" s="334" t="s">
        <v>1495</v>
      </c>
      <c r="AD1562" s="334" t="s">
        <v>1717</v>
      </c>
      <c r="AE1562" s="334" t="s">
        <v>1725</v>
      </c>
      <c r="AF1562" s="334" t="s">
        <v>1735</v>
      </c>
      <c r="AG1562" s="334" t="s">
        <v>1707</v>
      </c>
      <c r="AH1562" s="334" t="s">
        <v>1714</v>
      </c>
      <c r="AI1562" s="334" t="s">
        <v>1496</v>
      </c>
      <c r="AJ1562" s="334" t="s">
        <v>1487</v>
      </c>
      <c r="AK1562" s="334" t="s">
        <v>1488</v>
      </c>
      <c r="AL1562" s="334" t="s">
        <v>1497</v>
      </c>
      <c r="AM1562" s="334"/>
      <c r="AN1562" s="334"/>
      <c r="AO1562" s="334"/>
      <c r="AP1562" s="334"/>
      <c r="AQ1562" s="334"/>
      <c r="AU1562" s="334"/>
      <c r="AV1562" s="326" t="b">
        <v>1</v>
      </c>
      <c r="AW1562" t="b">
        <v>1</v>
      </c>
      <c r="AX1562" t="b">
        <v>1</v>
      </c>
      <c r="AY1562" t="b">
        <v>1</v>
      </c>
    </row>
    <row r="1563" spans="1:51">
      <c r="A1563" s="277" t="s">
        <v>523</v>
      </c>
      <c r="B1563" s="334" t="s">
        <v>1674</v>
      </c>
      <c r="C1563" s="334">
        <f>'EXD Webster 2009'!C90</f>
        <v>227.381022913397</v>
      </c>
      <c r="D1563" s="301">
        <f>'EXD Webster 2009'!L90</f>
        <v>3000717.8685952965</v>
      </c>
      <c r="E1563" s="301">
        <f>'EXD Webster 2009'!M90</f>
        <v>1844262.7085855093</v>
      </c>
      <c r="G1563" s="301">
        <f>E1563+F1563</f>
        <v>1844262.7085855093</v>
      </c>
      <c r="H1563" s="27">
        <f>G1563/D1563</f>
        <v>0.6146071671339266</v>
      </c>
      <c r="I1563" s="301">
        <f>'EXD Webster 2009'!N90</f>
        <v>126530.4105288534</v>
      </c>
      <c r="J1563" s="301">
        <f>'EXD Webster 2009'!O90</f>
        <v>24906.389979791467</v>
      </c>
      <c r="K1563" s="301">
        <f>I1563+J1563</f>
        <v>151436.80050864487</v>
      </c>
      <c r="L1563" s="301">
        <f>'EXD Webster 2009'!P90</f>
        <v>2196707.0907932166</v>
      </c>
      <c r="M1563" s="27">
        <v>0</v>
      </c>
      <c r="N1563" s="27">
        <f>J1563/K1563</f>
        <v>0.1644672226046513</v>
      </c>
      <c r="O1563" s="334" t="s">
        <v>440</v>
      </c>
      <c r="P1563" s="334">
        <f>'EXD Webster 2009'!T90</f>
        <v>11.8914221750913</v>
      </c>
      <c r="Q1563" s="301" t="b">
        <v>1</v>
      </c>
      <c r="R1563" s="334" t="s">
        <v>1395</v>
      </c>
      <c r="S1563" s="334" t="s">
        <v>141</v>
      </c>
      <c r="T1563" s="334" t="s">
        <v>145</v>
      </c>
      <c r="U1563" s="334" t="s">
        <v>145</v>
      </c>
      <c r="V1563" s="313">
        <v>0.55000000000000004</v>
      </c>
      <c r="W1563" s="313">
        <v>0.55000000000000004</v>
      </c>
      <c r="X1563" s="306" t="s">
        <v>248</v>
      </c>
      <c r="Y1563" s="334" t="s">
        <v>96</v>
      </c>
      <c r="Z1563" s="314" t="s">
        <v>100</v>
      </c>
      <c r="AA1563" s="334" t="s">
        <v>1495</v>
      </c>
      <c r="AB1563" s="334" t="s">
        <v>1739</v>
      </c>
      <c r="AC1563" s="334" t="s">
        <v>1702</v>
      </c>
      <c r="AD1563" s="334" t="s">
        <v>1717</v>
      </c>
      <c r="AE1563" s="334" t="s">
        <v>1725</v>
      </c>
      <c r="AF1563" s="334" t="s">
        <v>1735</v>
      </c>
      <c r="AG1563" s="334" t="s">
        <v>1707</v>
      </c>
      <c r="AH1563" s="334" t="s">
        <v>1714</v>
      </c>
      <c r="AI1563" s="334" t="s">
        <v>1496</v>
      </c>
      <c r="AJ1563" s="334" t="s">
        <v>1487</v>
      </c>
      <c r="AK1563" s="334" t="s">
        <v>1488</v>
      </c>
      <c r="AL1563" s="334" t="s">
        <v>1497</v>
      </c>
      <c r="AM1563" s="334"/>
      <c r="AN1563" s="334"/>
      <c r="AO1563" s="334"/>
      <c r="AP1563" s="334"/>
      <c r="AQ1563" s="334">
        <v>423</v>
      </c>
      <c r="AR1563" t="s">
        <v>1463</v>
      </c>
      <c r="AU1563" s="334"/>
      <c r="AV1563" s="326" t="b">
        <v>1</v>
      </c>
      <c r="AW1563" t="b">
        <v>1</v>
      </c>
      <c r="AX1563" t="b">
        <v>1</v>
      </c>
      <c r="AY1563" t="b">
        <v>1</v>
      </c>
    </row>
    <row r="1564" spans="1:51">
      <c r="A1564" s="277" t="s">
        <v>518</v>
      </c>
      <c r="B1564" s="334" t="s">
        <v>519</v>
      </c>
      <c r="C1564" s="334">
        <f>'EXD WIlms 2007'!C6</f>
        <v>0</v>
      </c>
      <c r="I1564" s="301">
        <f>'EXD WIlms 2007'!G6</f>
        <v>426526829.26829273</v>
      </c>
      <c r="J1564" s="301">
        <f>'EXD WIlms 2007'!K6</f>
        <v>2905882.3529411764</v>
      </c>
      <c r="K1564" s="301">
        <f>I1564+J1564</f>
        <v>429432711.62123388</v>
      </c>
      <c r="N1564" s="27">
        <f>J1564/K1564</f>
        <v>6.7667932001980518E-3</v>
      </c>
      <c r="O1564" s="334"/>
      <c r="P1564" s="181">
        <f>'EXD WIlms 2007'!L6</f>
        <v>28.3612325501614</v>
      </c>
      <c r="R1564" s="334"/>
      <c r="S1564" s="334"/>
      <c r="T1564" s="334"/>
      <c r="U1564" s="334"/>
      <c r="V1564" s="334"/>
      <c r="W1564" s="334"/>
      <c r="X1564" s="334"/>
      <c r="Y1564" s="334"/>
      <c r="Z1564" s="334"/>
      <c r="AA1564" s="334" t="s">
        <v>1498</v>
      </c>
      <c r="AD1564" s="334" t="s">
        <v>1500</v>
      </c>
      <c r="AE1564" s="334" t="s">
        <v>1501</v>
      </c>
      <c r="AF1564" s="334"/>
      <c r="AG1564" s="334" t="s">
        <v>1709</v>
      </c>
      <c r="AH1564" s="334" t="s">
        <v>1715</v>
      </c>
      <c r="AI1564" s="334"/>
      <c r="AJ1564" s="334"/>
      <c r="AK1564" s="334"/>
      <c r="AL1564" s="334"/>
      <c r="AM1564" s="334" t="s">
        <v>1502</v>
      </c>
      <c r="AN1564" s="334" t="s">
        <v>1615</v>
      </c>
      <c r="AO1564" s="334" t="s">
        <v>1448</v>
      </c>
      <c r="AP1564" s="334"/>
      <c r="AQ1564" s="334"/>
      <c r="AR1564" t="s">
        <v>162</v>
      </c>
      <c r="AU1564" s="334">
        <v>10</v>
      </c>
    </row>
    <row r="1565" spans="1:51">
      <c r="A1565" s="277" t="s">
        <v>518</v>
      </c>
      <c r="B1565" s="334" t="s">
        <v>519</v>
      </c>
      <c r="C1565" s="334">
        <f>'EXD WIlms 2007'!C7</f>
        <v>0.1762114537444934</v>
      </c>
      <c r="I1565" s="301">
        <f>'EXD WIlms 2007'!G7</f>
        <v>162658536.58536586</v>
      </c>
      <c r="J1565" s="301">
        <f>'EXD WIlms 2007'!K7</f>
        <v>764705.88235294132</v>
      </c>
      <c r="K1565" s="301">
        <f>I1565+J1565</f>
        <v>163423242.46771881</v>
      </c>
      <c r="N1565" s="27">
        <f>J1565/K1565</f>
        <v>4.6792969641634334E-3</v>
      </c>
      <c r="O1565" s="334"/>
      <c r="P1565" s="181">
        <f>'EXD WIlms 2007'!L7</f>
        <v>25.862705945479899</v>
      </c>
      <c r="R1565" s="334"/>
      <c r="S1565" s="334"/>
      <c r="T1565" s="334"/>
      <c r="U1565" s="334"/>
      <c r="V1565" s="334"/>
      <c r="W1565" s="334"/>
      <c r="X1565" s="334"/>
      <c r="Y1565" s="334"/>
      <c r="Z1565" s="334"/>
      <c r="AA1565" s="334" t="s">
        <v>1498</v>
      </c>
      <c r="AD1565" s="334" t="s">
        <v>1503</v>
      </c>
      <c r="AE1565" s="334" t="s">
        <v>1504</v>
      </c>
      <c r="AF1565" s="334"/>
      <c r="AG1565" s="334" t="s">
        <v>1709</v>
      </c>
      <c r="AH1565" s="334" t="s">
        <v>1715</v>
      </c>
      <c r="AI1565" s="334"/>
      <c r="AJ1565" s="334"/>
      <c r="AK1565" s="334"/>
      <c r="AL1565" s="334"/>
      <c r="AM1565" s="334" t="s">
        <v>1502</v>
      </c>
      <c r="AN1565" s="334" t="s">
        <v>1615</v>
      </c>
      <c r="AO1565" s="334" t="s">
        <v>1448</v>
      </c>
      <c r="AP1565" s="334"/>
      <c r="AQ1565" s="334"/>
      <c r="AR1565" t="s">
        <v>162</v>
      </c>
      <c r="AU1565" s="334"/>
    </row>
    <row r="1566" spans="1:51">
      <c r="A1566" s="277" t="s">
        <v>517</v>
      </c>
      <c r="B1566" s="334" t="s">
        <v>519</v>
      </c>
      <c r="C1566" s="334">
        <f>'EXD WIlms 2007'!C8</f>
        <v>0.48458149779735682</v>
      </c>
      <c r="I1566" s="301">
        <f>'EXD WIlms 2007'!G8</f>
        <v>133741463.41463415</v>
      </c>
      <c r="J1566" s="301">
        <f>'EXD WIlms 2007'!K8</f>
        <v>917647.05882352951</v>
      </c>
      <c r="K1566" s="301">
        <f>I1566+J1566</f>
        <v>134659110.47345769</v>
      </c>
      <c r="N1566" s="27">
        <f>J1566/K1566</f>
        <v>6.8145932020277572E-3</v>
      </c>
      <c r="O1566" s="334"/>
      <c r="P1566" s="181">
        <f>'EXD WIlms 2007'!L8</f>
        <v>22.903424434611999</v>
      </c>
      <c r="R1566" s="334"/>
      <c r="S1566" s="334"/>
      <c r="T1566" s="334"/>
      <c r="U1566" s="334"/>
      <c r="V1566" s="334"/>
      <c r="W1566" s="334"/>
      <c r="X1566" s="334"/>
      <c r="Y1566" s="334"/>
      <c r="Z1566" s="334"/>
      <c r="AA1566" s="334" t="s">
        <v>1498</v>
      </c>
      <c r="AD1566" s="334" t="s">
        <v>1505</v>
      </c>
      <c r="AE1566" s="334" t="s">
        <v>1506</v>
      </c>
      <c r="AF1566" s="334"/>
      <c r="AG1566" s="334" t="s">
        <v>1709</v>
      </c>
      <c r="AH1566" s="334" t="s">
        <v>1715</v>
      </c>
      <c r="AI1566" s="334"/>
      <c r="AJ1566" s="334"/>
      <c r="AK1566" s="334"/>
      <c r="AL1566" s="334"/>
      <c r="AM1566" s="334" t="s">
        <v>1502</v>
      </c>
      <c r="AN1566" s="334" t="s">
        <v>1615</v>
      </c>
      <c r="AO1566" s="334" t="s">
        <v>1448</v>
      </c>
      <c r="AP1566" s="334"/>
      <c r="AQ1566" s="334"/>
      <c r="AR1566" t="s">
        <v>162</v>
      </c>
      <c r="AU1566" s="334"/>
    </row>
    <row r="1567" spans="1:51">
      <c r="A1567" s="277" t="s">
        <v>517</v>
      </c>
      <c r="B1567" s="334" t="s">
        <v>519</v>
      </c>
      <c r="C1567" s="334">
        <f>'EXD WIlms 2007'!C9</f>
        <v>0.74889867841409696</v>
      </c>
      <c r="I1567" s="301">
        <f>'EXD WIlms 2007'!G9</f>
        <v>65063414.634146348</v>
      </c>
      <c r="J1567" s="301">
        <f>'EXD WIlms 2007'!K9</f>
        <v>0</v>
      </c>
      <c r="K1567" s="301">
        <f>I1567+J1567</f>
        <v>65063414.634146348</v>
      </c>
      <c r="N1567" s="27">
        <f>J1567/K1567</f>
        <v>0</v>
      </c>
      <c r="O1567" s="334"/>
      <c r="P1567" s="181">
        <f>'EXD WIlms 2007'!L9</f>
        <v>15.7005005145888</v>
      </c>
      <c r="R1567" s="334"/>
      <c r="S1567" s="334"/>
      <c r="T1567" s="334"/>
      <c r="U1567" s="334"/>
      <c r="V1567" s="334"/>
      <c r="W1567" s="334"/>
      <c r="X1567" s="334"/>
      <c r="Y1567" s="334"/>
      <c r="Z1567" s="334"/>
      <c r="AA1567" s="334" t="s">
        <v>1498</v>
      </c>
      <c r="AD1567" s="334" t="s">
        <v>1507</v>
      </c>
      <c r="AE1567" s="334" t="s">
        <v>1508</v>
      </c>
      <c r="AF1567" s="334"/>
      <c r="AG1567" s="334" t="s">
        <v>1709</v>
      </c>
      <c r="AH1567" s="334" t="s">
        <v>1715</v>
      </c>
      <c r="AI1567" s="334"/>
      <c r="AJ1567" s="334"/>
      <c r="AK1567" s="334"/>
      <c r="AL1567" s="334"/>
      <c r="AM1567" s="334" t="s">
        <v>1502</v>
      </c>
      <c r="AN1567" s="334" t="s">
        <v>1615</v>
      </c>
      <c r="AO1567" s="334" t="s">
        <v>1448</v>
      </c>
      <c r="AP1567" s="334"/>
      <c r="AQ1567" s="334"/>
      <c r="AR1567" t="s">
        <v>162</v>
      </c>
      <c r="AU1567" s="334"/>
    </row>
    <row r="1568" spans="1:51">
      <c r="A1568" s="277" t="s">
        <v>517</v>
      </c>
      <c r="B1568" s="334" t="s">
        <v>519</v>
      </c>
      <c r="C1568" s="334">
        <f>'EXD WIlms 2007'!C10</f>
        <v>0.96916299559471364</v>
      </c>
      <c r="I1568" s="301">
        <f>'EXD WIlms 2007'!G10</f>
        <v>93980487.804878071</v>
      </c>
      <c r="J1568" s="301">
        <f>'EXD WIlms 2007'!K10</f>
        <v>1376470.5882352942</v>
      </c>
      <c r="K1568" s="301">
        <f>I1568+J1568</f>
        <v>95356958.39311336</v>
      </c>
      <c r="N1568" s="27">
        <f>J1568/K1568</f>
        <v>1.4434925478230254E-2</v>
      </c>
      <c r="O1568" s="334"/>
      <c r="P1568" s="181">
        <f>'EXD WIlms 2007'!L10</f>
        <v>10.135816261006401</v>
      </c>
      <c r="R1568" s="334"/>
      <c r="S1568" s="334"/>
      <c r="T1568" s="334"/>
      <c r="U1568" s="334"/>
      <c r="V1568" s="334"/>
      <c r="W1568" s="334"/>
      <c r="X1568" s="334"/>
      <c r="Y1568" s="334"/>
      <c r="Z1568" s="334"/>
      <c r="AA1568" s="334" t="s">
        <v>1498</v>
      </c>
      <c r="AD1568" s="334" t="s">
        <v>1509</v>
      </c>
      <c r="AE1568" s="334" t="s">
        <v>1510</v>
      </c>
      <c r="AF1568" s="334"/>
      <c r="AG1568" s="334" t="s">
        <v>1709</v>
      </c>
      <c r="AH1568" s="334" t="s">
        <v>1715</v>
      </c>
      <c r="AI1568" s="334"/>
      <c r="AJ1568" s="334"/>
      <c r="AK1568" s="334"/>
      <c r="AL1568" s="334"/>
      <c r="AM1568" s="334" t="s">
        <v>1502</v>
      </c>
      <c r="AN1568" s="334" t="s">
        <v>1615</v>
      </c>
      <c r="AO1568" s="334" t="s">
        <v>1448</v>
      </c>
      <c r="AP1568" s="334"/>
      <c r="AQ1568" s="334"/>
      <c r="AR1568" t="s">
        <v>162</v>
      </c>
      <c r="AU1568" s="334"/>
    </row>
    <row r="1569" spans="1:47">
      <c r="A1569" s="277" t="s">
        <v>517</v>
      </c>
      <c r="B1569" s="334" t="s">
        <v>519</v>
      </c>
      <c r="C1569" s="334">
        <f>'EXD WIlms 2007'!C11</f>
        <v>1.1894273127753303</v>
      </c>
      <c r="I1569" s="301">
        <f>'EXD WIlms 2007'!G11</f>
        <v>79521951.219512209</v>
      </c>
      <c r="J1569" s="301">
        <f>'EXD WIlms 2007'!K11</f>
        <v>2217647.0588235296</v>
      </c>
      <c r="K1569" s="301">
        <f>I1569+J1569</f>
        <v>81739598.278335735</v>
      </c>
      <c r="N1569" s="27">
        <f>J1569/K1569</f>
        <v>2.7130633200228179E-2</v>
      </c>
      <c r="O1569" s="334"/>
      <c r="P1569" s="181">
        <f>'EXD WIlms 2007'!L11</f>
        <v>3.1321305736125802</v>
      </c>
      <c r="R1569" s="334"/>
      <c r="S1569" s="334"/>
      <c r="T1569" s="334"/>
      <c r="U1569" s="334"/>
      <c r="V1569" s="334"/>
      <c r="W1569" s="334"/>
      <c r="X1569" s="334"/>
      <c r="Y1569" s="334"/>
      <c r="Z1569" s="334"/>
      <c r="AA1569" s="334" t="s">
        <v>1498</v>
      </c>
      <c r="AD1569" s="334" t="s">
        <v>1511</v>
      </c>
      <c r="AE1569" s="334" t="s">
        <v>1512</v>
      </c>
      <c r="AF1569" s="334"/>
      <c r="AG1569" s="334" t="s">
        <v>1709</v>
      </c>
      <c r="AH1569" s="334" t="s">
        <v>1715</v>
      </c>
      <c r="AI1569" s="334"/>
      <c r="AJ1569" s="334"/>
      <c r="AK1569" s="334"/>
      <c r="AL1569" s="334"/>
      <c r="AM1569" s="334" t="s">
        <v>1502</v>
      </c>
      <c r="AN1569" s="334" t="s">
        <v>1615</v>
      </c>
      <c r="AO1569" s="334" t="s">
        <v>1448</v>
      </c>
      <c r="AP1569" s="334"/>
      <c r="AQ1569" s="334"/>
      <c r="AR1569" t="s">
        <v>162</v>
      </c>
      <c r="AU1569" s="334"/>
    </row>
    <row r="1570" spans="1:47">
      <c r="A1570" s="277" t="s">
        <v>517</v>
      </c>
      <c r="B1570" s="334" t="s">
        <v>519</v>
      </c>
      <c r="C1570" s="334">
        <f>'EXD WIlms 2007'!C12</f>
        <v>1.3656387665198237</v>
      </c>
      <c r="I1570" s="301">
        <f>'EXD WIlms 2007'!G12</f>
        <v>122897560.97560975</v>
      </c>
      <c r="J1570" s="301">
        <f>'EXD WIlms 2007'!K12</f>
        <v>5582352.9411764713</v>
      </c>
      <c r="K1570" s="301">
        <f>I1570+J1570</f>
        <v>128479913.91678622</v>
      </c>
      <c r="N1570" s="27">
        <f>J1570/K1570</f>
        <v>4.3449226972490387E-2</v>
      </c>
      <c r="O1570" s="334"/>
      <c r="P1570" s="181">
        <f>'EXD WIlms 2007'!L12</f>
        <v>0.42935179402372098</v>
      </c>
      <c r="R1570" s="334"/>
      <c r="S1570" s="334"/>
      <c r="T1570" s="334"/>
      <c r="U1570" s="334"/>
      <c r="V1570" s="334"/>
      <c r="W1570" s="334"/>
      <c r="X1570" s="334"/>
      <c r="Y1570" s="334"/>
      <c r="Z1570" s="334"/>
      <c r="AA1570" s="334" t="s">
        <v>1498</v>
      </c>
      <c r="AD1570" s="334" t="s">
        <v>1513</v>
      </c>
      <c r="AE1570" s="334" t="s">
        <v>1514</v>
      </c>
      <c r="AF1570" s="334"/>
      <c r="AG1570" s="334" t="s">
        <v>1709</v>
      </c>
      <c r="AH1570" s="334" t="s">
        <v>1715</v>
      </c>
      <c r="AI1570" s="334"/>
      <c r="AJ1570" s="334"/>
      <c r="AK1570" s="334"/>
      <c r="AL1570" s="334"/>
      <c r="AM1570" s="334" t="s">
        <v>1502</v>
      </c>
      <c r="AN1570" s="334" t="s">
        <v>1615</v>
      </c>
      <c r="AO1570" s="334" t="s">
        <v>1448</v>
      </c>
      <c r="AP1570" s="334"/>
      <c r="AQ1570" s="334"/>
      <c r="AR1570" t="s">
        <v>162</v>
      </c>
      <c r="AU1570" s="334"/>
    </row>
    <row r="1571" spans="1:47">
      <c r="A1571" s="277" t="s">
        <v>517</v>
      </c>
      <c r="B1571" s="334" t="s">
        <v>519</v>
      </c>
      <c r="C1571" s="334">
        <f>'EXD WIlms 2007'!C13</f>
        <v>1.5859030837004406</v>
      </c>
      <c r="I1571" s="301">
        <f>'EXD WIlms 2007'!G13</f>
        <v>104824390.24390244</v>
      </c>
      <c r="J1571" s="301">
        <f>'EXD WIlms 2007'!K13</f>
        <v>3211764.7058823528</v>
      </c>
      <c r="K1571" s="301">
        <f>I1571+J1571</f>
        <v>108036154.9497848</v>
      </c>
      <c r="N1571" s="27">
        <f>J1571/K1571</f>
        <v>2.9728609902631029E-2</v>
      </c>
      <c r="O1571" s="334"/>
      <c r="P1571" s="181">
        <f>'EXD WIlms 2007'!L13</f>
        <v>0.49136634325271999</v>
      </c>
      <c r="R1571" s="334"/>
      <c r="S1571" s="334"/>
      <c r="T1571" s="334"/>
      <c r="U1571" s="334"/>
      <c r="V1571" s="334"/>
      <c r="W1571" s="334"/>
      <c r="X1571" s="334"/>
      <c r="Y1571" s="334"/>
      <c r="Z1571" s="334"/>
      <c r="AA1571" s="334" t="s">
        <v>1498</v>
      </c>
      <c r="AD1571" s="334" t="s">
        <v>1515</v>
      </c>
      <c r="AE1571" s="334" t="s">
        <v>1516</v>
      </c>
      <c r="AF1571" s="334"/>
      <c r="AG1571" s="334" t="s">
        <v>1709</v>
      </c>
      <c r="AH1571" s="334" t="s">
        <v>1715</v>
      </c>
      <c r="AI1571" s="334"/>
      <c r="AJ1571" s="334"/>
      <c r="AK1571" s="334"/>
      <c r="AL1571" s="334"/>
      <c r="AM1571" s="334" t="s">
        <v>1502</v>
      </c>
      <c r="AN1571" s="334" t="s">
        <v>1615</v>
      </c>
      <c r="AO1571" s="334" t="s">
        <v>1448</v>
      </c>
      <c r="AP1571" s="334"/>
      <c r="AQ1571" s="334"/>
      <c r="AR1571" t="s">
        <v>162</v>
      </c>
      <c r="AU1571" s="334"/>
    </row>
    <row r="1572" spans="1:47">
      <c r="A1572" s="277" t="s">
        <v>517</v>
      </c>
      <c r="B1572" s="334" t="s">
        <v>519</v>
      </c>
      <c r="C1572" s="334">
        <f>'EXD WIlms 2007'!C14</f>
        <v>1.7621145374449341</v>
      </c>
      <c r="I1572" s="301">
        <f>'EXD WIlms 2007'!G14</f>
        <v>101209756.09756097</v>
      </c>
      <c r="J1572" s="301">
        <f>'EXD WIlms 2007'!K14</f>
        <v>2600000</v>
      </c>
      <c r="K1572" s="301">
        <f>I1572+J1572</f>
        <v>103809756.09756097</v>
      </c>
      <c r="N1572" s="27">
        <f>J1572/K1572</f>
        <v>2.504581551618815E-2</v>
      </c>
      <c r="O1572" s="334"/>
      <c r="P1572" s="181">
        <f>'EXD WIlms 2007'!L14</f>
        <v>0.44967145483493498</v>
      </c>
      <c r="R1572" s="334"/>
      <c r="S1572" s="334"/>
      <c r="T1572" s="334"/>
      <c r="U1572" s="334"/>
      <c r="V1572" s="334"/>
      <c r="W1572" s="334"/>
      <c r="X1572" s="334"/>
      <c r="Y1572" s="334"/>
      <c r="Z1572" s="334"/>
      <c r="AA1572" s="334" t="s">
        <v>1498</v>
      </c>
      <c r="AD1572" s="334" t="s">
        <v>1517</v>
      </c>
      <c r="AE1572" s="334" t="s">
        <v>1398</v>
      </c>
      <c r="AF1572" s="334"/>
      <c r="AG1572" s="334" t="s">
        <v>1709</v>
      </c>
      <c r="AH1572" s="334" t="s">
        <v>1715</v>
      </c>
      <c r="AI1572" s="334"/>
      <c r="AJ1572" s="334"/>
      <c r="AK1572" s="334"/>
      <c r="AL1572" s="334"/>
      <c r="AM1572" s="334" t="s">
        <v>1502</v>
      </c>
      <c r="AN1572" s="334" t="s">
        <v>1615</v>
      </c>
      <c r="AO1572" s="334" t="s">
        <v>1448</v>
      </c>
      <c r="AP1572" s="334"/>
      <c r="AQ1572" s="334"/>
      <c r="AR1572" t="s">
        <v>162</v>
      </c>
      <c r="AU1572" s="334"/>
    </row>
    <row r="1573" spans="1:47">
      <c r="A1573" s="277" t="s">
        <v>517</v>
      </c>
      <c r="B1573" s="334" t="s">
        <v>519</v>
      </c>
      <c r="C1573" s="334">
        <f>'EXD WIlms 2007'!C15</f>
        <v>1.9823788546255507</v>
      </c>
      <c r="I1573" s="301">
        <f>'EXD WIlms 2007'!G15</f>
        <v>115668292.68292685</v>
      </c>
      <c r="J1573" s="301">
        <f>'EXD WIlms 2007'!K15</f>
        <v>1835294.117647059</v>
      </c>
      <c r="K1573" s="301">
        <f>I1573+J1573</f>
        <v>117503586.8005739</v>
      </c>
      <c r="N1573" s="27">
        <f>J1573/K1573</f>
        <v>1.5619047619047619E-2</v>
      </c>
      <c r="O1573" s="334"/>
      <c r="P1573" s="181">
        <f>'EXD WIlms 2007'!L15</f>
        <v>3.0711715911789801</v>
      </c>
      <c r="R1573" s="334"/>
      <c r="S1573" s="334"/>
      <c r="T1573" s="334"/>
      <c r="U1573" s="334"/>
      <c r="V1573" s="334"/>
      <c r="W1573" s="334"/>
      <c r="X1573" s="334"/>
      <c r="Y1573" s="334"/>
      <c r="Z1573" s="334"/>
      <c r="AA1573" s="334" t="s">
        <v>1498</v>
      </c>
      <c r="AD1573" s="334" t="s">
        <v>1399</v>
      </c>
      <c r="AE1573" s="334" t="s">
        <v>1400</v>
      </c>
      <c r="AF1573" s="334"/>
      <c r="AG1573" s="334" t="s">
        <v>1709</v>
      </c>
      <c r="AH1573" s="334" t="s">
        <v>1715</v>
      </c>
      <c r="AI1573" s="334"/>
      <c r="AJ1573" s="334"/>
      <c r="AK1573" s="334"/>
      <c r="AL1573" s="334"/>
      <c r="AM1573" s="334" t="s">
        <v>1502</v>
      </c>
      <c r="AN1573" s="334" t="s">
        <v>1615</v>
      </c>
      <c r="AO1573" s="334" t="s">
        <v>1448</v>
      </c>
      <c r="AP1573" s="334"/>
      <c r="AQ1573" s="334"/>
      <c r="AR1573" t="s">
        <v>162</v>
      </c>
      <c r="AU1573" s="334"/>
    </row>
    <row r="1574" spans="1:47">
      <c r="A1574" s="277" t="s">
        <v>517</v>
      </c>
      <c r="B1574" s="334" t="s">
        <v>519</v>
      </c>
      <c r="C1574" s="334">
        <f>'EXD WIlms 2007'!C16</f>
        <v>2.158590308370044</v>
      </c>
      <c r="I1574" s="301">
        <f>'EXD WIlms 2007'!G16</f>
        <v>65063414.634146348</v>
      </c>
      <c r="J1574" s="301">
        <f>'EXD WIlms 2007'!K16</f>
        <v>2905882.3529411764</v>
      </c>
      <c r="K1574" s="301">
        <f>I1574+J1574</f>
        <v>67969296.987087518</v>
      </c>
      <c r="N1574" s="27">
        <f>J1574/K1574</f>
        <v>4.2752867570385815E-2</v>
      </c>
      <c r="O1574" s="334"/>
      <c r="P1574" s="181">
        <f>'EXD WIlms 2007'!L16</f>
        <v>6.1019677524343798</v>
      </c>
      <c r="R1574" s="334"/>
      <c r="S1574" s="334"/>
      <c r="T1574" s="334"/>
      <c r="U1574" s="334"/>
      <c r="V1574" s="334"/>
      <c r="W1574" s="334"/>
      <c r="X1574" s="334"/>
      <c r="Y1574" s="334"/>
      <c r="Z1574" s="334"/>
      <c r="AA1574" s="334" t="s">
        <v>1498</v>
      </c>
      <c r="AD1574" s="334" t="s">
        <v>1401</v>
      </c>
      <c r="AE1574" s="334" t="s">
        <v>1402</v>
      </c>
      <c r="AF1574" s="334"/>
      <c r="AG1574" s="334" t="s">
        <v>1709</v>
      </c>
      <c r="AH1574" s="334" t="s">
        <v>1715</v>
      </c>
      <c r="AI1574" s="334"/>
      <c r="AJ1574" s="334"/>
      <c r="AK1574" s="334"/>
      <c r="AL1574" s="334"/>
      <c r="AM1574" s="334" t="s">
        <v>1502</v>
      </c>
      <c r="AN1574" s="334" t="s">
        <v>1615</v>
      </c>
      <c r="AO1574" s="334" t="s">
        <v>1448</v>
      </c>
      <c r="AP1574" s="334"/>
      <c r="AQ1574" s="334"/>
      <c r="AR1574" t="s">
        <v>162</v>
      </c>
      <c r="AU1574" s="334"/>
    </row>
    <row r="1575" spans="1:47">
      <c r="A1575" s="277" t="s">
        <v>517</v>
      </c>
      <c r="B1575" s="334" t="s">
        <v>519</v>
      </c>
      <c r="C1575" s="334">
        <f>'EXD WIlms 2007'!C17</f>
        <v>2.7753303964757707</v>
      </c>
      <c r="I1575" s="301">
        <f>'EXD WIlms 2007'!G17</f>
        <v>28917073.170731712</v>
      </c>
      <c r="J1575" s="301">
        <f>'EXD WIlms 2007'!K17</f>
        <v>1911764.705882353</v>
      </c>
      <c r="K1575" s="301">
        <f>I1575+J1575</f>
        <v>30828837.876614064</v>
      </c>
      <c r="N1575" s="27">
        <f>J1575/K1575</f>
        <v>6.201222094500574E-2</v>
      </c>
      <c r="O1575" s="334"/>
      <c r="P1575" s="181">
        <f>'EXD WIlms 2007'!L17</f>
        <v>7.5457192368252004</v>
      </c>
      <c r="R1575" s="334"/>
      <c r="S1575" s="334"/>
      <c r="T1575" s="334"/>
      <c r="U1575" s="334"/>
      <c r="V1575" s="334"/>
      <c r="W1575" s="334"/>
      <c r="X1575" s="334"/>
      <c r="Y1575" s="334"/>
      <c r="Z1575" s="334"/>
      <c r="AA1575" s="334" t="s">
        <v>1498</v>
      </c>
      <c r="AD1575" s="334" t="s">
        <v>1403</v>
      </c>
      <c r="AE1575" s="334" t="s">
        <v>1404</v>
      </c>
      <c r="AF1575" s="334"/>
      <c r="AG1575" s="334" t="s">
        <v>1709</v>
      </c>
      <c r="AH1575" s="334" t="s">
        <v>1715</v>
      </c>
      <c r="AI1575" s="334"/>
      <c r="AJ1575" s="334"/>
      <c r="AK1575" s="334"/>
      <c r="AL1575" s="334"/>
      <c r="AM1575" s="334" t="s">
        <v>1502</v>
      </c>
      <c r="AN1575" s="334" t="s">
        <v>1615</v>
      </c>
      <c r="AO1575" s="334" t="s">
        <v>1448</v>
      </c>
      <c r="AP1575" s="334"/>
      <c r="AQ1575" s="334"/>
      <c r="AR1575" t="s">
        <v>162</v>
      </c>
      <c r="AU1575" s="334"/>
    </row>
    <row r="1576" spans="1:47">
      <c r="A1576" s="277" t="s">
        <v>517</v>
      </c>
      <c r="B1576" s="334" t="s">
        <v>519</v>
      </c>
      <c r="C1576" s="334">
        <f>'EXD WIlms 2007'!C18</f>
        <v>2.9515418502202646</v>
      </c>
      <c r="I1576" s="301">
        <f>'EXD WIlms 2007'!G18</f>
        <v>25302439.024390243</v>
      </c>
      <c r="J1576" s="301">
        <f>'EXD WIlms 2007'!K18</f>
        <v>2141176.4705882357</v>
      </c>
      <c r="K1576" s="301">
        <f>I1576+J1576</f>
        <v>27443615.49497848</v>
      </c>
      <c r="N1576" s="27">
        <f>J1576/K1576</f>
        <v>7.8020932445290209E-2</v>
      </c>
      <c r="O1576" s="334"/>
      <c r="P1576" s="181">
        <f>'EXD WIlms 2007'!L18</f>
        <v>7.5612888470571402</v>
      </c>
      <c r="R1576" s="334"/>
      <c r="S1576" s="334"/>
      <c r="T1576" s="334"/>
      <c r="U1576" s="334"/>
      <c r="V1576" s="334"/>
      <c r="W1576" s="334"/>
      <c r="X1576" s="334"/>
      <c r="Y1576" s="334"/>
      <c r="Z1576" s="334"/>
      <c r="AA1576" s="334" t="s">
        <v>1498</v>
      </c>
      <c r="AD1576" s="334" t="s">
        <v>1405</v>
      </c>
      <c r="AE1576" s="334" t="s">
        <v>1406</v>
      </c>
      <c r="AF1576" s="334"/>
      <c r="AG1576" s="334" t="s">
        <v>1709</v>
      </c>
      <c r="AH1576" s="334" t="s">
        <v>1715</v>
      </c>
      <c r="AI1576" s="334"/>
      <c r="AJ1576" s="334"/>
      <c r="AK1576" s="334"/>
      <c r="AL1576" s="334"/>
      <c r="AM1576" s="334" t="s">
        <v>1502</v>
      </c>
      <c r="AN1576" s="334" t="s">
        <v>1615</v>
      </c>
      <c r="AO1576" s="334" t="s">
        <v>1448</v>
      </c>
      <c r="AP1576" s="334"/>
      <c r="AQ1576" s="334"/>
      <c r="AR1576" t="s">
        <v>162</v>
      </c>
      <c r="AU1576" s="334"/>
    </row>
    <row r="1577" spans="1:47">
      <c r="A1577" s="277" t="s">
        <v>517</v>
      </c>
      <c r="B1577" s="334" t="s">
        <v>519</v>
      </c>
      <c r="C1577" s="334">
        <f>'EXD WIlms 2007'!C20</f>
        <v>3.5682819383259914</v>
      </c>
      <c r="I1577" s="301">
        <f>'EXD WIlms 2007'!G20</f>
        <v>10843902.439024393</v>
      </c>
      <c r="J1577" s="301">
        <f>'EXD WIlms 2007'!K20</f>
        <v>1147058.8235294118</v>
      </c>
      <c r="K1577" s="301">
        <f>I1577+J1577</f>
        <v>11990961.262553804</v>
      </c>
      <c r="N1577" s="27">
        <f>J1577/K1577</f>
        <v>9.5660289314045716E-2</v>
      </c>
      <c r="O1577" s="334"/>
      <c r="P1577" s="181">
        <f>'EXD WIlms 2007'!L20</f>
        <v>0.14302930077495099</v>
      </c>
      <c r="R1577" s="334"/>
      <c r="S1577" s="334"/>
      <c r="T1577" s="334"/>
      <c r="U1577" s="334"/>
      <c r="V1577" s="334"/>
      <c r="W1577" s="334"/>
      <c r="X1577" s="334"/>
      <c r="Y1577" s="334"/>
      <c r="Z1577" s="334"/>
      <c r="AA1577" s="334" t="s">
        <v>1498</v>
      </c>
      <c r="AD1577" s="334" t="s">
        <v>1407</v>
      </c>
      <c r="AE1577" s="334" t="s">
        <v>1408</v>
      </c>
      <c r="AF1577" s="334"/>
      <c r="AG1577" s="334" t="s">
        <v>1709</v>
      </c>
      <c r="AH1577" s="334" t="s">
        <v>1715</v>
      </c>
      <c r="AI1577" s="334"/>
      <c r="AJ1577" s="334"/>
      <c r="AK1577" s="334"/>
      <c r="AL1577" s="334"/>
      <c r="AM1577" s="334" t="s">
        <v>1502</v>
      </c>
      <c r="AN1577" s="334" t="s">
        <v>1615</v>
      </c>
      <c r="AO1577" s="334" t="s">
        <v>1448</v>
      </c>
      <c r="AP1577" s="334"/>
      <c r="AQ1577" s="334"/>
      <c r="AR1577" t="s">
        <v>162</v>
      </c>
      <c r="AU1577" s="334"/>
    </row>
    <row r="1578" spans="1:47">
      <c r="A1578" s="277" t="s">
        <v>517</v>
      </c>
      <c r="B1578" s="334" t="s">
        <v>519</v>
      </c>
      <c r="C1578" s="334">
        <f>'EXD WIlms 2007'!C21</f>
        <v>4.4493392070484585</v>
      </c>
      <c r="I1578" s="301">
        <f>'EXD WIlms 2007'!G21</f>
        <v>36146341.463414639</v>
      </c>
      <c r="J1578" s="301">
        <f>'EXD WIlms 2007'!K21</f>
        <v>458823.52941176476</v>
      </c>
      <c r="K1578" s="301">
        <f>I1578+J1578</f>
        <v>36605164.992826402</v>
      </c>
      <c r="N1578" s="27">
        <f>J1578/K1578</f>
        <v>1.2534393151941303E-2</v>
      </c>
      <c r="O1578" s="334"/>
      <c r="P1578" s="181">
        <f>'EXD WIlms 2007'!L21</f>
        <v>0.13300141621876099</v>
      </c>
      <c r="R1578" s="334"/>
      <c r="S1578" s="334"/>
      <c r="T1578" s="334"/>
      <c r="U1578" s="334"/>
      <c r="V1578" s="334"/>
      <c r="W1578" s="334"/>
      <c r="X1578" s="334"/>
      <c r="Y1578" s="334"/>
      <c r="Z1578" s="334"/>
      <c r="AA1578" s="334" t="s">
        <v>1498</v>
      </c>
      <c r="AD1578" s="334" t="s">
        <v>1409</v>
      </c>
      <c r="AE1578" s="334" t="s">
        <v>1531</v>
      </c>
      <c r="AF1578" s="334"/>
      <c r="AG1578" s="334" t="s">
        <v>1709</v>
      </c>
      <c r="AH1578" s="334" t="s">
        <v>1715</v>
      </c>
      <c r="AI1578" s="334"/>
      <c r="AJ1578" s="334"/>
      <c r="AK1578" s="334"/>
      <c r="AL1578" s="334"/>
      <c r="AM1578" s="334" t="s">
        <v>1502</v>
      </c>
      <c r="AN1578" s="334" t="s">
        <v>1615</v>
      </c>
      <c r="AO1578" s="334" t="s">
        <v>1448</v>
      </c>
      <c r="AP1578" s="334"/>
      <c r="AQ1578" s="334"/>
      <c r="AR1578" t="s">
        <v>162</v>
      </c>
      <c r="AU1578" s="334"/>
    </row>
    <row r="1579" spans="1:47">
      <c r="A1579" s="277" t="s">
        <v>517</v>
      </c>
      <c r="B1579" s="334" t="s">
        <v>520</v>
      </c>
      <c r="C1579" s="334">
        <f>'EXD WIlms 2007'!C6</f>
        <v>0</v>
      </c>
      <c r="I1579" s="301">
        <f>'EXD WIlms 2007'!P6</f>
        <v>444600000.00000012</v>
      </c>
      <c r="J1579" s="301">
        <f>'EXD WIlms 2007'!T6</f>
        <v>1911764.705882353</v>
      </c>
      <c r="K1579" s="301">
        <f>I1579+J1579</f>
        <v>446511764.70588249</v>
      </c>
      <c r="N1579" s="27">
        <f>J1579/K1579</f>
        <v>4.2815550607980804E-3</v>
      </c>
      <c r="O1579" s="334"/>
      <c r="P1579" s="181">
        <f>'EXD WIlms 2007'!U6</f>
        <v>24.572275538119101</v>
      </c>
      <c r="R1579" s="334"/>
      <c r="S1579" s="334"/>
      <c r="T1579" s="334"/>
      <c r="U1579" s="334"/>
      <c r="V1579" s="334"/>
      <c r="W1579" s="334"/>
      <c r="X1579" s="334"/>
      <c r="Y1579" s="334"/>
      <c r="Z1579" s="334"/>
      <c r="AA1579" s="334" t="s">
        <v>1498</v>
      </c>
      <c r="AD1579" s="334" t="s">
        <v>1532</v>
      </c>
      <c r="AE1579" s="334" t="s">
        <v>1533</v>
      </c>
      <c r="AF1579" s="334"/>
      <c r="AG1579" s="334" t="s">
        <v>1709</v>
      </c>
      <c r="AH1579" s="334" t="s">
        <v>1715</v>
      </c>
      <c r="AI1579" s="334"/>
      <c r="AJ1579" s="334"/>
      <c r="AK1579" s="334"/>
      <c r="AL1579" s="334"/>
      <c r="AM1579" s="334" t="s">
        <v>1502</v>
      </c>
      <c r="AN1579" s="334" t="s">
        <v>1615</v>
      </c>
      <c r="AO1579" s="334" t="s">
        <v>1448</v>
      </c>
      <c r="AP1579" s="334"/>
      <c r="AQ1579" s="334"/>
      <c r="AR1579" t="s">
        <v>162</v>
      </c>
      <c r="AU1579" s="334"/>
    </row>
    <row r="1580" spans="1:47">
      <c r="A1580" s="277" t="s">
        <v>517</v>
      </c>
      <c r="B1580" s="334" t="s">
        <v>520</v>
      </c>
      <c r="C1580" s="334">
        <f>'EXD WIlms 2007'!C7</f>
        <v>0.1762114537444934</v>
      </c>
      <c r="I1580" s="301">
        <f>'EXD WIlms 2007'!P7</f>
        <v>180731707.3170732</v>
      </c>
      <c r="J1580" s="301">
        <f>'EXD WIlms 2007'!T7</f>
        <v>1147058.8235294118</v>
      </c>
      <c r="K1580" s="301">
        <f>I1580+J1580</f>
        <v>181878766.14060262</v>
      </c>
      <c r="N1580" s="27">
        <f>J1580/K1580</f>
        <v>6.3067220427626509E-3</v>
      </c>
      <c r="O1580" s="334"/>
      <c r="P1580" s="181">
        <f>'EXD WIlms 2007'!U7</f>
        <v>28.780556459628901</v>
      </c>
      <c r="R1580" s="334"/>
      <c r="S1580" s="334"/>
      <c r="T1580" s="334"/>
      <c r="U1580" s="334"/>
      <c r="V1580" s="334"/>
      <c r="W1580" s="334"/>
      <c r="X1580" s="334"/>
      <c r="Y1580" s="334"/>
      <c r="Z1580" s="334"/>
      <c r="AA1580" s="334" t="s">
        <v>1498</v>
      </c>
      <c r="AD1580" s="334" t="s">
        <v>1534</v>
      </c>
      <c r="AE1580" s="334" t="s">
        <v>1535</v>
      </c>
      <c r="AF1580" s="334"/>
      <c r="AG1580" s="334" t="s">
        <v>1709</v>
      </c>
      <c r="AH1580" s="334" t="s">
        <v>1715</v>
      </c>
      <c r="AI1580" s="334"/>
      <c r="AJ1580" s="334"/>
      <c r="AK1580" s="334"/>
      <c r="AL1580" s="334"/>
      <c r="AM1580" s="334" t="s">
        <v>1502</v>
      </c>
      <c r="AN1580" s="334" t="s">
        <v>1615</v>
      </c>
      <c r="AO1580" s="334" t="s">
        <v>1448</v>
      </c>
      <c r="AP1580" s="334"/>
      <c r="AQ1580" s="334"/>
      <c r="AR1580" t="s">
        <v>162</v>
      </c>
      <c r="AU1580" s="334"/>
    </row>
    <row r="1581" spans="1:47">
      <c r="A1581" s="277" t="s">
        <v>517</v>
      </c>
      <c r="B1581" s="334" t="s">
        <v>520</v>
      </c>
      <c r="C1581" s="334">
        <f>'EXD WIlms 2007'!C9</f>
        <v>0.74889867841409696</v>
      </c>
      <c r="H1581" s="336"/>
      <c r="I1581" s="301">
        <f>'EXD WIlms 2007'!P9</f>
        <v>86751219.51219514</v>
      </c>
      <c r="J1581" s="301">
        <f>'EXD WIlms 2007'!T9</f>
        <v>2447058.823529412</v>
      </c>
      <c r="K1581" s="301">
        <f>I1581+J1581</f>
        <v>89198278.335724548</v>
      </c>
      <c r="M1581" s="336"/>
      <c r="N1581" s="336">
        <f>J1581/K1581</f>
        <v>2.7433924389427902E-2</v>
      </c>
      <c r="O1581" s="334"/>
      <c r="P1581" s="181">
        <f>'EXD WIlms 2007'!U8</f>
        <v>24.745916275960301</v>
      </c>
      <c r="R1581" s="334"/>
      <c r="S1581" s="334"/>
      <c r="T1581" s="334"/>
      <c r="U1581" s="334"/>
      <c r="V1581" s="334"/>
      <c r="W1581" s="334"/>
      <c r="X1581" s="334"/>
      <c r="Y1581" s="334"/>
      <c r="Z1581" s="334"/>
      <c r="AA1581" s="334" t="s">
        <v>1498</v>
      </c>
      <c r="AD1581" s="334" t="s">
        <v>1536</v>
      </c>
      <c r="AE1581" s="334" t="s">
        <v>1537</v>
      </c>
      <c r="AF1581" s="334"/>
      <c r="AG1581" s="334" t="s">
        <v>1709</v>
      </c>
      <c r="AH1581" s="334" t="s">
        <v>1715</v>
      </c>
      <c r="AI1581" s="334"/>
      <c r="AJ1581" s="334"/>
      <c r="AK1581" s="334"/>
      <c r="AL1581" s="334"/>
      <c r="AM1581" s="334" t="s">
        <v>1502</v>
      </c>
      <c r="AN1581" s="334" t="s">
        <v>1615</v>
      </c>
      <c r="AO1581" s="334" t="s">
        <v>1448</v>
      </c>
      <c r="AP1581" s="334"/>
      <c r="AQ1581" s="334"/>
      <c r="AR1581" s="334" t="s">
        <v>162</v>
      </c>
      <c r="AS1581" s="334"/>
      <c r="AT1581" s="334"/>
      <c r="AU1581" s="334"/>
    </row>
    <row r="1582" spans="1:47">
      <c r="A1582" s="277" t="s">
        <v>517</v>
      </c>
      <c r="B1582" s="334" t="s">
        <v>520</v>
      </c>
      <c r="C1582" s="334">
        <f>'EXD WIlms 2007'!C10</f>
        <v>0.96916299559471364</v>
      </c>
      <c r="H1582" s="336"/>
      <c r="I1582" s="301">
        <f>'EXD WIlms 2007'!P10</f>
        <v>133741463.41463415</v>
      </c>
      <c r="J1582" s="301">
        <f>'EXD WIlms 2007'!T10</f>
        <v>1605882.3529411764</v>
      </c>
      <c r="K1582" s="301">
        <f>I1582+J1582</f>
        <v>135347345.76757532</v>
      </c>
      <c r="M1582" s="336"/>
      <c r="N1582" s="336">
        <f>J1582/K1582</f>
        <v>1.1864897267352929E-2</v>
      </c>
      <c r="O1582" s="334"/>
      <c r="P1582" s="181">
        <f>'EXD WIlms 2007'!U9</f>
        <v>21.3828804658568</v>
      </c>
      <c r="R1582" s="334"/>
      <c r="S1582" s="334"/>
      <c r="T1582" s="334"/>
      <c r="U1582" s="334"/>
      <c r="V1582" s="334"/>
      <c r="W1582" s="334"/>
      <c r="X1582" s="334"/>
      <c r="Y1582" s="334"/>
      <c r="Z1582" s="334"/>
      <c r="AA1582" s="334" t="s">
        <v>1498</v>
      </c>
      <c r="AD1582" s="334" t="s">
        <v>1538</v>
      </c>
      <c r="AE1582" s="334" t="s">
        <v>1423</v>
      </c>
      <c r="AF1582" s="334"/>
      <c r="AG1582" s="334" t="s">
        <v>1709</v>
      </c>
      <c r="AH1582" s="334" t="s">
        <v>1715</v>
      </c>
      <c r="AI1582" s="334"/>
      <c r="AJ1582" s="334"/>
      <c r="AK1582" s="334"/>
      <c r="AL1582" s="334"/>
      <c r="AM1582" s="334" t="s">
        <v>1502</v>
      </c>
      <c r="AN1582" s="334" t="s">
        <v>1615</v>
      </c>
      <c r="AO1582" s="334" t="s">
        <v>1448</v>
      </c>
      <c r="AP1582" s="334"/>
      <c r="AQ1582" s="334"/>
      <c r="AR1582" s="334" t="s">
        <v>162</v>
      </c>
      <c r="AS1582" s="334"/>
      <c r="AT1582" s="334"/>
      <c r="AU1582" s="334"/>
    </row>
    <row r="1583" spans="1:47">
      <c r="A1583" s="277" t="s">
        <v>517</v>
      </c>
      <c r="B1583" s="334" t="s">
        <v>520</v>
      </c>
      <c r="C1583" s="334">
        <f>'EXD WIlms 2007'!C11</f>
        <v>1.1894273127753303</v>
      </c>
      <c r="H1583" s="336"/>
      <c r="I1583" s="301">
        <f>'EXD WIlms 2007'!P11</f>
        <v>104824390.24390244</v>
      </c>
      <c r="J1583" s="301">
        <f>'EXD WIlms 2007'!T11</f>
        <v>5429411.7647058833</v>
      </c>
      <c r="K1583" s="301">
        <f>I1583+J1583</f>
        <v>110253802.00860833</v>
      </c>
      <c r="M1583" s="336"/>
      <c r="N1583" s="336">
        <f>J1583/K1583</f>
        <v>4.9244666993723894E-2</v>
      </c>
      <c r="O1583" s="334"/>
      <c r="P1583" s="181">
        <f>'EXD WIlms 2007'!U10</f>
        <v>12.7974279355752</v>
      </c>
      <c r="R1583" s="334"/>
      <c r="S1583" s="334"/>
      <c r="T1583" s="334"/>
      <c r="U1583" s="334"/>
      <c r="V1583" s="334"/>
      <c r="W1583" s="334"/>
      <c r="X1583" s="334"/>
      <c r="Y1583" s="334"/>
      <c r="Z1583" s="334"/>
      <c r="AA1583" s="334" t="s">
        <v>1498</v>
      </c>
      <c r="AD1583" s="334" t="s">
        <v>1424</v>
      </c>
      <c r="AE1583" s="334" t="s">
        <v>1425</v>
      </c>
      <c r="AF1583" s="334"/>
      <c r="AG1583" s="334" t="s">
        <v>1709</v>
      </c>
      <c r="AH1583" s="334" t="s">
        <v>1715</v>
      </c>
      <c r="AI1583" s="334"/>
      <c r="AJ1583" s="334"/>
      <c r="AK1583" s="334"/>
      <c r="AL1583" s="334"/>
      <c r="AM1583" s="334" t="s">
        <v>1502</v>
      </c>
      <c r="AN1583" s="334" t="s">
        <v>1615</v>
      </c>
      <c r="AO1583" s="334" t="s">
        <v>1448</v>
      </c>
      <c r="AP1583" s="334"/>
      <c r="AQ1583" s="334"/>
      <c r="AR1583" s="334" t="s">
        <v>162</v>
      </c>
      <c r="AS1583" s="334"/>
      <c r="AT1583" s="334"/>
      <c r="AU1583" s="334"/>
    </row>
    <row r="1584" spans="1:47">
      <c r="A1584" s="277" t="s">
        <v>517</v>
      </c>
      <c r="B1584" s="334" t="s">
        <v>520</v>
      </c>
      <c r="C1584" s="334">
        <f>'EXD WIlms 2007'!C12</f>
        <v>1.3656387665198237</v>
      </c>
      <c r="H1584" s="336"/>
      <c r="J1584" s="301">
        <f>'EXD WIlms 2007'!T12</f>
        <v>9176470.5882352944</v>
      </c>
      <c r="M1584" s="336"/>
      <c r="N1584" s="336"/>
      <c r="O1584" s="334"/>
      <c r="P1584" s="181">
        <f>'EXD WIlms 2007'!U11</f>
        <v>0.58320065445140701</v>
      </c>
      <c r="R1584" s="334"/>
      <c r="S1584" s="334"/>
      <c r="T1584" s="334"/>
      <c r="U1584" s="334"/>
      <c r="V1584" s="334"/>
      <c r="W1584" s="334"/>
      <c r="X1584" s="334"/>
      <c r="Y1584" s="334"/>
      <c r="Z1584" s="334"/>
      <c r="AA1584" s="334"/>
      <c r="AD1584" s="334"/>
      <c r="AE1584" s="334"/>
      <c r="AF1584" s="334"/>
      <c r="AG1584" s="334"/>
      <c r="AH1584" s="334"/>
      <c r="AI1584" s="334"/>
      <c r="AJ1584" s="334"/>
      <c r="AK1584" s="334"/>
      <c r="AL1584" s="334"/>
      <c r="AM1584" s="334"/>
      <c r="AN1584" s="334"/>
      <c r="AO1584" s="334"/>
      <c r="AP1584" s="334"/>
      <c r="AQ1584" s="334"/>
      <c r="AR1584" s="334"/>
      <c r="AS1584" s="334"/>
      <c r="AT1584" s="334"/>
      <c r="AU1584" s="334"/>
    </row>
    <row r="1585" spans="1:47">
      <c r="A1585" s="277" t="s">
        <v>517</v>
      </c>
      <c r="B1585" s="334" t="s">
        <v>520</v>
      </c>
      <c r="C1585" s="334">
        <f>'EXD WIlms 2007'!C13</f>
        <v>1.5859030837004406</v>
      </c>
      <c r="H1585" s="336"/>
      <c r="I1585" s="301">
        <f>'EXD WIlms 2007'!P13</f>
        <v>166273170.7317073</v>
      </c>
      <c r="J1585" s="301">
        <f>'EXD WIlms 2007'!T13</f>
        <v>5582352.9411764713</v>
      </c>
      <c r="K1585" s="301">
        <f>I1585+J1585</f>
        <v>171855523.67288378</v>
      </c>
      <c r="M1585" s="336"/>
      <c r="N1585" s="336">
        <f>J1585/K1585</f>
        <v>3.2482825235237302E-2</v>
      </c>
      <c r="O1585" s="334"/>
      <c r="P1585" s="181">
        <f>'EXD WIlms 2007'!U12</f>
        <v>0.43964357027874901</v>
      </c>
      <c r="R1585" s="334"/>
      <c r="S1585" s="334"/>
      <c r="T1585" s="334"/>
      <c r="U1585" s="334"/>
      <c r="V1585" s="334"/>
      <c r="W1585" s="334"/>
      <c r="X1585" s="334"/>
      <c r="Y1585" s="334"/>
      <c r="Z1585" s="334"/>
      <c r="AA1585" s="334" t="s">
        <v>1498</v>
      </c>
      <c r="AD1585" s="334" t="s">
        <v>1426</v>
      </c>
      <c r="AE1585" s="334" t="s">
        <v>1427</v>
      </c>
      <c r="AF1585" s="334"/>
      <c r="AG1585" s="334" t="s">
        <v>1709</v>
      </c>
      <c r="AH1585" s="334" t="s">
        <v>1715</v>
      </c>
      <c r="AI1585" s="334"/>
      <c r="AJ1585" s="334"/>
      <c r="AK1585" s="334"/>
      <c r="AL1585" s="334"/>
      <c r="AM1585" s="334" t="s">
        <v>1502</v>
      </c>
      <c r="AN1585" s="334" t="s">
        <v>1615</v>
      </c>
      <c r="AO1585" s="334" t="s">
        <v>1448</v>
      </c>
      <c r="AP1585" s="334"/>
      <c r="AQ1585" s="334"/>
      <c r="AR1585" s="334" t="s">
        <v>162</v>
      </c>
      <c r="AS1585" s="334"/>
      <c r="AT1585" s="334"/>
      <c r="AU1585" s="334"/>
    </row>
    <row r="1586" spans="1:47">
      <c r="A1586" s="277" t="s">
        <v>517</v>
      </c>
      <c r="B1586" s="334" t="s">
        <v>520</v>
      </c>
      <c r="C1586" s="334">
        <f>'EXD WIlms 2007'!C14</f>
        <v>1.7621145374449341</v>
      </c>
      <c r="H1586" s="336"/>
      <c r="I1586" s="301">
        <f>'EXD WIlms 2007'!P14</f>
        <v>61448780.487804875</v>
      </c>
      <c r="J1586" s="301">
        <f>'EXD WIlms 2007'!T14</f>
        <v>1911764.705882353</v>
      </c>
      <c r="K1586" s="301">
        <f>I1586+J1586</f>
        <v>63360545.19368723</v>
      </c>
      <c r="M1586" s="336"/>
      <c r="N1586" s="336">
        <f>J1586/K1586</f>
        <v>3.0172794442318449E-2</v>
      </c>
      <c r="O1586" s="334"/>
      <c r="P1586" s="181">
        <f>'EXD WIlms 2007'!U13</f>
        <v>0.295822594407251</v>
      </c>
      <c r="R1586" s="334"/>
      <c r="S1586" s="334"/>
      <c r="T1586" s="334"/>
      <c r="U1586" s="334"/>
      <c r="V1586" s="334"/>
      <c r="W1586" s="334"/>
      <c r="X1586" s="334"/>
      <c r="Y1586" s="334"/>
      <c r="Z1586" s="334"/>
      <c r="AA1586" s="334" t="s">
        <v>1498</v>
      </c>
      <c r="AD1586" s="334" t="s">
        <v>1428</v>
      </c>
      <c r="AE1586" s="334" t="s">
        <v>1429</v>
      </c>
      <c r="AF1586" s="334"/>
      <c r="AG1586" s="334" t="s">
        <v>1709</v>
      </c>
      <c r="AH1586" s="334" t="s">
        <v>1715</v>
      </c>
      <c r="AI1586" s="334"/>
      <c r="AJ1586" s="334"/>
      <c r="AK1586" s="334"/>
      <c r="AL1586" s="334"/>
      <c r="AM1586" s="334" t="s">
        <v>1502</v>
      </c>
      <c r="AN1586" s="334" t="s">
        <v>1615</v>
      </c>
      <c r="AO1586" s="334" t="s">
        <v>1448</v>
      </c>
      <c r="AP1586" s="334"/>
      <c r="AQ1586" s="334"/>
      <c r="AR1586" s="334" t="s">
        <v>162</v>
      </c>
      <c r="AS1586" s="334"/>
      <c r="AT1586" s="334"/>
      <c r="AU1586" s="334"/>
    </row>
    <row r="1587" spans="1:47">
      <c r="A1587" s="277" t="s">
        <v>517</v>
      </c>
      <c r="B1587" s="334" t="s">
        <v>520</v>
      </c>
      <c r="C1587" s="334">
        <f>'EXD WIlms 2007'!C15</f>
        <v>1.9823788546255507</v>
      </c>
      <c r="H1587" s="336"/>
      <c r="J1587" s="301">
        <f>'EXD WIlms 2007'!T15</f>
        <v>2676470.5882352944</v>
      </c>
      <c r="M1587" s="336"/>
      <c r="N1587" s="336"/>
      <c r="O1587" s="334"/>
      <c r="P1587" s="181">
        <f>'EXD WIlms 2007'!U14</f>
        <v>0.92098202897529502</v>
      </c>
      <c r="R1587" s="334"/>
      <c r="S1587" s="334"/>
      <c r="T1587" s="334"/>
      <c r="U1587" s="334"/>
      <c r="V1587" s="334"/>
      <c r="W1587" s="334"/>
      <c r="X1587" s="334"/>
      <c r="Y1587" s="334"/>
      <c r="Z1587" s="334"/>
      <c r="AA1587" s="334"/>
      <c r="AD1587" s="334"/>
      <c r="AE1587" s="334"/>
      <c r="AF1587" s="334"/>
      <c r="AG1587" s="334"/>
      <c r="AH1587" s="334"/>
      <c r="AI1587" s="334"/>
      <c r="AJ1587" s="334"/>
      <c r="AK1587" s="334"/>
      <c r="AL1587" s="334"/>
      <c r="AM1587" s="334"/>
      <c r="AN1587" s="334"/>
      <c r="AO1587" s="334"/>
      <c r="AP1587" s="334"/>
      <c r="AQ1587" s="334"/>
      <c r="AR1587" s="334"/>
      <c r="AS1587" s="334"/>
      <c r="AT1587" s="334"/>
      <c r="AU1587" s="334"/>
    </row>
    <row r="1588" spans="1:47">
      <c r="A1588" s="277" t="s">
        <v>517</v>
      </c>
      <c r="B1588" s="334" t="s">
        <v>520</v>
      </c>
      <c r="C1588" s="334">
        <f>'EXD WIlms 2007'!C17</f>
        <v>2.7753303964757707</v>
      </c>
      <c r="H1588" s="336"/>
      <c r="J1588" s="301">
        <f>'EXD WIlms 2007'!T17</f>
        <v>2905882.3529411764</v>
      </c>
      <c r="M1588" s="336"/>
      <c r="N1588" s="336"/>
      <c r="O1588" s="334"/>
      <c r="P1588" s="181">
        <f>'EXD WIlms 2007'!U15</f>
        <v>3.3886333048916502</v>
      </c>
      <c r="R1588" s="334"/>
      <c r="S1588" s="334"/>
      <c r="T1588" s="334"/>
      <c r="U1588" s="334"/>
      <c r="V1588" s="334"/>
      <c r="W1588" s="334"/>
      <c r="X1588" s="334"/>
      <c r="Y1588" s="334"/>
      <c r="Z1588" s="334"/>
      <c r="AA1588" s="334"/>
      <c r="AD1588" s="334"/>
      <c r="AE1588" s="334"/>
      <c r="AF1588" s="334"/>
      <c r="AG1588" s="334"/>
      <c r="AH1588" s="334"/>
      <c r="AI1588" s="334"/>
      <c r="AJ1588" s="334"/>
      <c r="AK1588" s="334"/>
      <c r="AL1588" s="334"/>
      <c r="AM1588" s="334"/>
      <c r="AN1588" s="334"/>
      <c r="AO1588" s="334"/>
      <c r="AP1588" s="334"/>
      <c r="AQ1588" s="334"/>
      <c r="AR1588" s="334"/>
      <c r="AS1588" s="334"/>
      <c r="AT1588" s="334"/>
      <c r="AU1588" s="334"/>
    </row>
    <row r="1589" spans="1:47">
      <c r="A1589" s="277" t="s">
        <v>517</v>
      </c>
      <c r="B1589" s="334" t="s">
        <v>520</v>
      </c>
      <c r="C1589" s="334">
        <f>'EXD WIlms 2007'!C18</f>
        <v>2.9515418502202646</v>
      </c>
      <c r="H1589" s="336"/>
      <c r="J1589" s="301">
        <f>'EXD WIlms 2007'!T18</f>
        <v>2064705.8823529412</v>
      </c>
      <c r="M1589" s="336"/>
      <c r="N1589" s="336"/>
      <c r="O1589" s="334"/>
      <c r="P1589" s="181">
        <f>'EXD WIlms 2007'!U16</f>
        <v>5.0363730724910303</v>
      </c>
      <c r="R1589" s="334"/>
      <c r="S1589" s="334"/>
      <c r="T1589" s="334"/>
      <c r="U1589" s="334"/>
      <c r="V1589" s="334"/>
      <c r="W1589" s="334"/>
      <c r="X1589" s="334"/>
      <c r="Y1589" s="334"/>
      <c r="Z1589" s="334"/>
      <c r="AA1589" s="334"/>
      <c r="AD1589" s="334"/>
      <c r="AE1589" s="334"/>
      <c r="AF1589" s="334"/>
      <c r="AG1589" s="334"/>
      <c r="AH1589" s="334"/>
      <c r="AI1589" s="334"/>
      <c r="AJ1589" s="334"/>
      <c r="AK1589" s="334"/>
      <c r="AL1589" s="334"/>
      <c r="AM1589" s="334"/>
      <c r="AN1589" s="334"/>
      <c r="AO1589" s="334"/>
      <c r="AP1589" s="334"/>
      <c r="AQ1589" s="334"/>
      <c r="AR1589" s="334"/>
      <c r="AS1589" s="334"/>
      <c r="AT1589" s="334"/>
      <c r="AU1589" s="334"/>
    </row>
    <row r="1590" spans="1:47">
      <c r="A1590" s="277" t="s">
        <v>517</v>
      </c>
      <c r="B1590" s="334" t="s">
        <v>520</v>
      </c>
      <c r="C1590" s="334">
        <f>'EXD WIlms 2007'!C19</f>
        <v>3.1718061674008813</v>
      </c>
      <c r="H1590" s="336"/>
      <c r="J1590" s="301">
        <f>'EXD WIlms 2007'!T19</f>
        <v>764705.88235294132</v>
      </c>
      <c r="M1590" s="336"/>
      <c r="N1590" s="336"/>
      <c r="O1590" s="334"/>
      <c r="P1590" s="181">
        <f>'EXD WIlms 2007'!U17</f>
        <v>5.2517086987500301</v>
      </c>
      <c r="R1590" s="334"/>
      <c r="S1590" s="334"/>
      <c r="T1590" s="334"/>
      <c r="U1590" s="334"/>
      <c r="V1590" s="334"/>
      <c r="W1590" s="334"/>
      <c r="X1590" s="334"/>
      <c r="Y1590" s="334"/>
      <c r="Z1590" s="334"/>
      <c r="AA1590" s="334"/>
      <c r="AD1590" s="334"/>
      <c r="AE1590" s="334"/>
      <c r="AF1590" s="334"/>
      <c r="AG1590" s="334"/>
      <c r="AH1590" s="334"/>
      <c r="AI1590" s="334"/>
      <c r="AJ1590" s="334"/>
      <c r="AK1590" s="334"/>
      <c r="AL1590" s="334"/>
      <c r="AM1590" s="334"/>
      <c r="AN1590" s="334"/>
      <c r="AO1590" s="334"/>
      <c r="AP1590" s="334"/>
      <c r="AQ1590" s="334"/>
      <c r="AR1590" s="334"/>
      <c r="AS1590" s="334"/>
      <c r="AT1590" s="334"/>
      <c r="AU1590" s="334"/>
    </row>
    <row r="1591" spans="1:47">
      <c r="A1591" s="277" t="s">
        <v>517</v>
      </c>
      <c r="B1591" s="334" t="s">
        <v>520</v>
      </c>
      <c r="C1591" s="334">
        <f>'EXD WIlms 2007'!C20</f>
        <v>3.5682819383259914</v>
      </c>
      <c r="H1591" s="336"/>
      <c r="J1591" s="301">
        <f>'EXD WIlms 2007'!T20</f>
        <v>1682352.9411764708</v>
      </c>
      <c r="M1591" s="336"/>
      <c r="N1591" s="336"/>
      <c r="O1591" s="334"/>
      <c r="P1591" s="181">
        <f>'EXD WIlms 2007'!U18</f>
        <v>3.9412225222768398</v>
      </c>
      <c r="R1591" s="334"/>
      <c r="S1591" s="334"/>
      <c r="T1591" s="334"/>
      <c r="U1591" s="334"/>
      <c r="V1591" s="334"/>
      <c r="W1591" s="334"/>
      <c r="X1591" s="334"/>
      <c r="Y1591" s="334"/>
      <c r="Z1591" s="334"/>
      <c r="AA1591" s="334"/>
      <c r="AD1591" s="334"/>
      <c r="AE1591" s="334"/>
      <c r="AF1591" s="334"/>
      <c r="AG1591" s="334"/>
      <c r="AH1591" s="334"/>
      <c r="AI1591" s="334"/>
      <c r="AJ1591" s="334"/>
      <c r="AK1591" s="334"/>
      <c r="AL1591" s="334"/>
      <c r="AM1591" s="334"/>
      <c r="AN1591" s="334"/>
      <c r="AO1591" s="334"/>
      <c r="AP1591" s="334"/>
      <c r="AQ1591" s="334"/>
      <c r="AR1591" s="334"/>
      <c r="AS1591" s="334"/>
      <c r="AT1591" s="334"/>
      <c r="AU1591" s="334"/>
    </row>
    <row r="1592" spans="1:47">
      <c r="A1592" s="277" t="s">
        <v>517</v>
      </c>
      <c r="B1592" s="334" t="s">
        <v>521</v>
      </c>
      <c r="C1592" s="334">
        <f>'EXD WIlms 2007'!C6</f>
        <v>0</v>
      </c>
      <c r="H1592" s="336"/>
      <c r="I1592" s="301">
        <f>'EXD WIlms 2007'!Y6</f>
        <v>480746341.46341467</v>
      </c>
      <c r="J1592" s="301">
        <f>'EXD WIlms 2007'!AC6</f>
        <v>4741176.4705882361</v>
      </c>
      <c r="K1592" s="301">
        <f>I1592+J1592</f>
        <v>485487517.93400288</v>
      </c>
      <c r="M1592" s="336"/>
      <c r="N1592" s="336">
        <f>J1592/K1592</f>
        <v>9.7658050834434663E-3</v>
      </c>
      <c r="O1592" s="334"/>
      <c r="P1592" s="334">
        <f>'EXD WIlms 2007'!AD6</f>
        <v>27.695433793970899</v>
      </c>
      <c r="R1592" s="334"/>
      <c r="S1592" s="334"/>
      <c r="T1592" s="334"/>
      <c r="U1592" s="334"/>
      <c r="V1592" s="334"/>
      <c r="W1592" s="334"/>
      <c r="X1592" s="334"/>
      <c r="Y1592" s="334"/>
      <c r="Z1592" s="334"/>
      <c r="AA1592" s="334" t="s">
        <v>1498</v>
      </c>
      <c r="AD1592" s="334" t="s">
        <v>1545</v>
      </c>
      <c r="AE1592" s="334" t="s">
        <v>1546</v>
      </c>
      <c r="AF1592" s="334"/>
      <c r="AG1592" s="334" t="s">
        <v>1709</v>
      </c>
      <c r="AH1592" s="334" t="s">
        <v>1715</v>
      </c>
      <c r="AI1592" s="334"/>
      <c r="AJ1592" s="334"/>
      <c r="AK1592" s="334"/>
      <c r="AL1592" s="334"/>
      <c r="AM1592" s="334" t="s">
        <v>1502</v>
      </c>
      <c r="AN1592" s="334" t="s">
        <v>1615</v>
      </c>
      <c r="AO1592" s="334" t="s">
        <v>1448</v>
      </c>
      <c r="AP1592" s="334"/>
      <c r="AQ1592" s="334"/>
      <c r="AR1592" s="334" t="s">
        <v>162</v>
      </c>
      <c r="AS1592" s="334"/>
      <c r="AT1592" s="334"/>
      <c r="AU1592" s="334"/>
    </row>
    <row r="1593" spans="1:47">
      <c r="A1593" s="277" t="s">
        <v>517</v>
      </c>
      <c r="B1593" s="334" t="s">
        <v>521</v>
      </c>
      <c r="C1593" s="334">
        <f>'EXD WIlms 2007'!C7</f>
        <v>0.1762114537444934</v>
      </c>
      <c r="H1593" s="336"/>
      <c r="I1593" s="301">
        <f>'EXD WIlms 2007'!Y7</f>
        <v>296400000</v>
      </c>
      <c r="J1593" s="301">
        <f>'EXD WIlms 2007'!AC7</f>
        <v>1452941.1764705882</v>
      </c>
      <c r="K1593" s="301">
        <f>I1593+J1593</f>
        <v>297852941.17647058</v>
      </c>
      <c r="M1593" s="336"/>
      <c r="N1593" s="336">
        <f>J1593/K1593</f>
        <v>4.8780487804878049E-3</v>
      </c>
      <c r="O1593" s="334"/>
      <c r="P1593" s="334">
        <f>'EXD WIlms 2007'!AD7</f>
        <v>27.500945611920798</v>
      </c>
      <c r="R1593" s="334"/>
      <c r="S1593" s="334"/>
      <c r="T1593" s="334"/>
      <c r="U1593" s="334"/>
      <c r="V1593" s="334"/>
      <c r="W1593" s="334"/>
      <c r="X1593" s="334"/>
      <c r="Y1593" s="334"/>
      <c r="Z1593" s="334"/>
      <c r="AA1593" s="334" t="s">
        <v>1498</v>
      </c>
      <c r="AD1593" s="334" t="s">
        <v>1547</v>
      </c>
      <c r="AE1593" s="334" t="s">
        <v>1548</v>
      </c>
      <c r="AF1593" s="334"/>
      <c r="AG1593" s="334" t="s">
        <v>1709</v>
      </c>
      <c r="AH1593" s="334" t="s">
        <v>1715</v>
      </c>
      <c r="AI1593" s="334"/>
      <c r="AJ1593" s="334"/>
      <c r="AK1593" s="334"/>
      <c r="AL1593" s="334"/>
      <c r="AM1593" s="334" t="s">
        <v>1502</v>
      </c>
      <c r="AN1593" s="334" t="s">
        <v>1615</v>
      </c>
      <c r="AO1593" s="334" t="s">
        <v>1448</v>
      </c>
      <c r="AP1593" s="334"/>
      <c r="AQ1593" s="334"/>
      <c r="AR1593" s="334" t="s">
        <v>162</v>
      </c>
      <c r="AS1593" s="334"/>
      <c r="AT1593" s="334"/>
      <c r="AU1593" s="334"/>
    </row>
    <row r="1594" spans="1:47">
      <c r="A1594" s="277" t="s">
        <v>517</v>
      </c>
      <c r="B1594" s="334" t="s">
        <v>521</v>
      </c>
      <c r="C1594" s="334">
        <f>'EXD WIlms 2007'!C8</f>
        <v>0.48458149779735682</v>
      </c>
      <c r="H1594" s="336"/>
      <c r="I1594" s="301">
        <f>'EXD WIlms 2007'!Y8</f>
        <v>122897560.97560975</v>
      </c>
      <c r="J1594" s="301">
        <f>'EXD WIlms 2007'!AC8</f>
        <v>611764.70588235301</v>
      </c>
      <c r="K1594" s="301">
        <f>I1594+J1594</f>
        <v>123509325.68149211</v>
      </c>
      <c r="M1594" s="336"/>
      <c r="N1594" s="336">
        <f>J1594/K1594</f>
        <v>4.9531863485351869E-3</v>
      </c>
      <c r="O1594" s="334"/>
      <c r="P1594" s="334">
        <f>'EXD WIlms 2007'!AD8</f>
        <v>25.0029467906371</v>
      </c>
      <c r="R1594" s="334"/>
      <c r="S1594" s="334"/>
      <c r="T1594" s="334"/>
      <c r="U1594" s="334"/>
      <c r="V1594" s="334"/>
      <c r="W1594" s="334"/>
      <c r="X1594" s="334"/>
      <c r="Y1594" s="334"/>
      <c r="Z1594" s="334"/>
      <c r="AA1594" s="334" t="s">
        <v>1498</v>
      </c>
      <c r="AD1594" s="334" t="s">
        <v>1549</v>
      </c>
      <c r="AE1594" s="334" t="s">
        <v>1550</v>
      </c>
      <c r="AF1594" s="334"/>
      <c r="AG1594" s="334" t="s">
        <v>1709</v>
      </c>
      <c r="AH1594" s="334" t="s">
        <v>1715</v>
      </c>
      <c r="AI1594" s="334"/>
      <c r="AJ1594" s="334"/>
      <c r="AK1594" s="334"/>
      <c r="AL1594" s="334"/>
      <c r="AM1594" s="334" t="s">
        <v>1502</v>
      </c>
      <c r="AN1594" s="334" t="s">
        <v>1615</v>
      </c>
      <c r="AO1594" s="334" t="s">
        <v>1448</v>
      </c>
      <c r="AP1594" s="334"/>
      <c r="AQ1594" s="334"/>
      <c r="AR1594" s="334" t="s">
        <v>162</v>
      </c>
      <c r="AS1594" s="334"/>
      <c r="AT1594" s="334"/>
      <c r="AU1594" s="334"/>
    </row>
    <row r="1595" spans="1:47">
      <c r="A1595" s="277" t="s">
        <v>517</v>
      </c>
      <c r="B1595" s="334" t="s">
        <v>521</v>
      </c>
      <c r="C1595" s="334">
        <f>'EXD WIlms 2007'!C9</f>
        <v>0.74889867841409696</v>
      </c>
      <c r="H1595" s="336"/>
      <c r="I1595" s="301">
        <f>'EXD WIlms 2007'!Y9</f>
        <v>36146341.463414639</v>
      </c>
      <c r="J1595" s="301">
        <f>'EXD WIlms 2007'!AC9</f>
        <v>305882.3529411765</v>
      </c>
      <c r="K1595" s="301">
        <f>I1595+J1595</f>
        <v>36452223.816355817</v>
      </c>
      <c r="M1595" s="336"/>
      <c r="N1595" s="336">
        <f>J1595/K1595</f>
        <v>8.3913221449038056E-3</v>
      </c>
      <c r="O1595" s="334"/>
      <c r="P1595" s="334">
        <f>'EXD WIlms 2007'!AD9</f>
        <v>21.6393831971358</v>
      </c>
      <c r="R1595" s="334"/>
      <c r="S1595" s="334"/>
      <c r="T1595" s="334"/>
      <c r="U1595" s="334"/>
      <c r="V1595" s="334"/>
      <c r="W1595" s="334"/>
      <c r="X1595" s="334"/>
      <c r="Y1595" s="334"/>
      <c r="Z1595" s="334"/>
      <c r="AA1595" s="334" t="s">
        <v>1498</v>
      </c>
      <c r="AD1595" s="334" t="s">
        <v>1551</v>
      </c>
      <c r="AE1595" s="334" t="s">
        <v>1552</v>
      </c>
      <c r="AF1595" s="334"/>
      <c r="AG1595" s="334" t="s">
        <v>1709</v>
      </c>
      <c r="AH1595" s="334" t="s">
        <v>1715</v>
      </c>
      <c r="AI1595" s="334"/>
      <c r="AJ1595" s="334"/>
      <c r="AK1595" s="334"/>
      <c r="AL1595" s="334"/>
      <c r="AM1595" s="334" t="s">
        <v>1502</v>
      </c>
      <c r="AN1595" s="334" t="s">
        <v>1615</v>
      </c>
      <c r="AO1595" s="334" t="s">
        <v>1448</v>
      </c>
      <c r="AP1595" s="334"/>
      <c r="AQ1595" s="334"/>
      <c r="AR1595" s="334" t="s">
        <v>162</v>
      </c>
      <c r="AS1595" s="334"/>
      <c r="AT1595" s="334"/>
      <c r="AU1595" s="334"/>
    </row>
    <row r="1596" spans="1:47">
      <c r="A1596" s="277" t="s">
        <v>517</v>
      </c>
      <c r="B1596" s="334" t="s">
        <v>521</v>
      </c>
      <c r="C1596" s="334">
        <f>'EXD WIlms 2007'!C10</f>
        <v>0.96916299559471364</v>
      </c>
      <c r="H1596" s="336"/>
      <c r="I1596" s="301">
        <f>'EXD WIlms 2007'!Y10</f>
        <v>115668292.68292685</v>
      </c>
      <c r="J1596" s="301">
        <f>'EXD WIlms 2007'!AC10</f>
        <v>4970588.2352941176</v>
      </c>
      <c r="K1596" s="301">
        <f>I1596+J1596</f>
        <v>120638880.91822097</v>
      </c>
      <c r="M1596" s="336"/>
      <c r="N1596" s="336">
        <f>J1596/K1596</f>
        <v>4.1202207758074233E-2</v>
      </c>
      <c r="O1596" s="334"/>
      <c r="P1596" s="334">
        <f>'EXD WIlms 2007'!AD10</f>
        <v>9.3169603194848793</v>
      </c>
      <c r="R1596" s="334"/>
      <c r="S1596" s="334"/>
      <c r="T1596" s="334"/>
      <c r="U1596" s="334"/>
      <c r="V1596" s="334"/>
      <c r="W1596" s="334"/>
      <c r="X1596" s="334"/>
      <c r="Y1596" s="334"/>
      <c r="Z1596" s="334"/>
      <c r="AA1596" s="334" t="s">
        <v>1498</v>
      </c>
      <c r="AD1596" s="334" t="s">
        <v>1553</v>
      </c>
      <c r="AE1596" s="334" t="s">
        <v>1554</v>
      </c>
      <c r="AF1596" s="334"/>
      <c r="AG1596" s="334" t="s">
        <v>1709</v>
      </c>
      <c r="AH1596" s="334" t="s">
        <v>1715</v>
      </c>
      <c r="AI1596" s="334"/>
      <c r="AJ1596" s="334"/>
      <c r="AK1596" s="334"/>
      <c r="AL1596" s="334"/>
      <c r="AM1596" s="334" t="s">
        <v>1502</v>
      </c>
      <c r="AN1596" s="334" t="s">
        <v>1615</v>
      </c>
      <c r="AO1596" s="334" t="s">
        <v>1448</v>
      </c>
      <c r="AP1596" s="334"/>
      <c r="AQ1596" s="334"/>
      <c r="AR1596" s="334" t="s">
        <v>162</v>
      </c>
      <c r="AS1596" s="334"/>
      <c r="AT1596" s="334"/>
      <c r="AU1596" s="334"/>
    </row>
    <row r="1597" spans="1:47">
      <c r="A1597" s="277" t="s">
        <v>517</v>
      </c>
      <c r="B1597" s="334" t="s">
        <v>521</v>
      </c>
      <c r="C1597" s="334">
        <f>'EXD WIlms 2007'!C12</f>
        <v>1.3656387665198237</v>
      </c>
      <c r="H1597" s="336"/>
      <c r="I1597" s="301">
        <f>'EXD WIlms 2007'!Y12</f>
        <v>36146341.463414639</v>
      </c>
      <c r="M1597" s="336"/>
      <c r="N1597" s="336"/>
      <c r="O1597" s="334"/>
      <c r="P1597" s="334">
        <f>'EXD WIlms 2007'!AD11</f>
        <v>5.0289841049233299</v>
      </c>
      <c r="R1597" s="334"/>
      <c r="S1597" s="334"/>
      <c r="T1597" s="334"/>
      <c r="U1597" s="334"/>
      <c r="V1597" s="334"/>
      <c r="W1597" s="334"/>
      <c r="X1597" s="334"/>
      <c r="Y1597" s="334"/>
      <c r="Z1597" s="334"/>
      <c r="AA1597" s="334"/>
      <c r="AD1597" s="334"/>
      <c r="AE1597" s="334"/>
      <c r="AF1597" s="334"/>
      <c r="AG1597" s="334"/>
      <c r="AH1597" s="334"/>
      <c r="AI1597" s="334"/>
      <c r="AJ1597" s="334"/>
      <c r="AK1597" s="334"/>
      <c r="AL1597" s="334"/>
      <c r="AM1597" s="334"/>
      <c r="AN1597" s="334"/>
      <c r="AO1597" s="334"/>
      <c r="AP1597" s="334"/>
      <c r="AQ1597" s="334"/>
      <c r="AR1597" s="334"/>
      <c r="AS1597" s="334"/>
      <c r="AT1597" s="334"/>
      <c r="AU1597" s="334"/>
    </row>
    <row r="1598" spans="1:47">
      <c r="A1598" s="277" t="s">
        <v>517</v>
      </c>
      <c r="B1598" s="334" t="s">
        <v>521</v>
      </c>
      <c r="C1598" s="334">
        <f>'EXD WIlms 2007'!C13</f>
        <v>1.5859030837004406</v>
      </c>
      <c r="H1598" s="336"/>
      <c r="I1598" s="301">
        <f>'EXD WIlms 2007'!Y13</f>
        <v>28917073.170731712</v>
      </c>
      <c r="M1598" s="336"/>
      <c r="N1598" s="336"/>
      <c r="O1598" s="334"/>
      <c r="P1598" s="334">
        <f>'EXD WIlms 2007'!AD12</f>
        <v>2.0675914604646199</v>
      </c>
      <c r="R1598" s="334"/>
      <c r="S1598" s="334"/>
      <c r="T1598" s="334"/>
      <c r="U1598" s="334"/>
      <c r="V1598" s="334"/>
      <c r="W1598" s="334"/>
      <c r="X1598" s="334"/>
      <c r="Y1598" s="334"/>
      <c r="Z1598" s="334"/>
      <c r="AA1598" s="334"/>
      <c r="AD1598" s="334"/>
      <c r="AE1598" s="334"/>
      <c r="AF1598" s="334"/>
      <c r="AG1598" s="334"/>
      <c r="AH1598" s="334"/>
      <c r="AI1598" s="334"/>
      <c r="AJ1598" s="334"/>
      <c r="AK1598" s="334"/>
      <c r="AL1598" s="334"/>
      <c r="AM1598" s="334"/>
      <c r="AN1598" s="334"/>
      <c r="AO1598" s="334"/>
      <c r="AP1598" s="334"/>
      <c r="AQ1598" s="334"/>
      <c r="AR1598" s="334"/>
      <c r="AS1598" s="334"/>
      <c r="AT1598" s="334"/>
      <c r="AU1598" s="334"/>
    </row>
    <row r="1599" spans="1:47">
      <c r="A1599" s="277" t="s">
        <v>517</v>
      </c>
      <c r="B1599" s="334" t="s">
        <v>521</v>
      </c>
      <c r="C1599" s="334">
        <f>'EXD WIlms 2007'!C14</f>
        <v>1.7621145374449341</v>
      </c>
      <c r="H1599" s="336"/>
      <c r="I1599" s="301">
        <f>'EXD WIlms 2007'!Y14</f>
        <v>50604878.048780486</v>
      </c>
      <c r="M1599" s="336"/>
      <c r="N1599" s="336"/>
      <c r="O1599" s="334"/>
      <c r="P1599" s="334">
        <f>'EXD WIlms 2007'!AD13</f>
        <v>1.3096945013766199</v>
      </c>
      <c r="R1599" s="334"/>
      <c r="S1599" s="334"/>
      <c r="T1599" s="334"/>
      <c r="U1599" s="334"/>
      <c r="V1599" s="334"/>
      <c r="W1599" s="334"/>
      <c r="X1599" s="334"/>
      <c r="Y1599" s="334"/>
      <c r="Z1599" s="334"/>
      <c r="AA1599" s="334"/>
      <c r="AD1599" s="334"/>
      <c r="AE1599" s="334"/>
      <c r="AF1599" s="334"/>
      <c r="AG1599" s="334"/>
      <c r="AH1599" s="334"/>
      <c r="AI1599" s="334"/>
      <c r="AJ1599" s="334"/>
      <c r="AK1599" s="334"/>
      <c r="AL1599" s="334"/>
      <c r="AM1599" s="334"/>
      <c r="AN1599" s="334"/>
      <c r="AO1599" s="334"/>
      <c r="AP1599" s="334"/>
      <c r="AQ1599" s="334"/>
      <c r="AR1599" s="334"/>
      <c r="AS1599" s="334"/>
      <c r="AT1599" s="334"/>
      <c r="AU1599" s="334"/>
    </row>
    <row r="1600" spans="1:47">
      <c r="A1600" s="277" t="s">
        <v>517</v>
      </c>
      <c r="B1600" s="334" t="s">
        <v>521</v>
      </c>
      <c r="C1600" s="334">
        <f>'EXD WIlms 2007'!C15</f>
        <v>1.9823788546255507</v>
      </c>
      <c r="H1600" s="336"/>
      <c r="I1600" s="301">
        <f>'EXD WIlms 2007'!Y15</f>
        <v>108439024.39024392</v>
      </c>
      <c r="M1600" s="336"/>
      <c r="N1600" s="336"/>
      <c r="O1600" s="334"/>
      <c r="P1600" s="334">
        <f>'EXD WIlms 2007'!AD14</f>
        <v>1.7807411838181499</v>
      </c>
      <c r="R1600" s="334"/>
      <c r="S1600" s="334"/>
      <c r="T1600" s="334"/>
      <c r="U1600" s="334"/>
      <c r="V1600" s="334"/>
      <c r="W1600" s="334"/>
      <c r="X1600" s="334"/>
      <c r="Y1600" s="334"/>
      <c r="Z1600" s="334"/>
      <c r="AA1600" s="334"/>
      <c r="AD1600" s="334"/>
      <c r="AE1600" s="334"/>
      <c r="AF1600" s="334"/>
      <c r="AG1600" s="334"/>
      <c r="AH1600" s="334"/>
      <c r="AI1600" s="334"/>
      <c r="AJ1600" s="334"/>
      <c r="AK1600" s="334"/>
      <c r="AL1600" s="334"/>
      <c r="AM1600" s="334"/>
      <c r="AN1600" s="334"/>
      <c r="AO1600" s="334"/>
      <c r="AP1600" s="334"/>
      <c r="AQ1600" s="334"/>
      <c r="AR1600" s="334"/>
      <c r="AS1600" s="334"/>
      <c r="AT1600" s="334"/>
      <c r="AU1600" s="334"/>
    </row>
    <row r="1601" spans="1:47">
      <c r="A1601" s="277" t="s">
        <v>517</v>
      </c>
      <c r="B1601" s="334" t="s">
        <v>521</v>
      </c>
      <c r="C1601" s="334">
        <f>'EXD WIlms 2007'!C16</f>
        <v>2.158590308370044</v>
      </c>
      <c r="H1601" s="336"/>
      <c r="I1601" s="301">
        <f>'EXD WIlms 2007'!Y16</f>
        <v>18073170.73170732</v>
      </c>
      <c r="J1601" s="301">
        <f>'EXD WIlms 2007'!AC16</f>
        <v>1070588.2352941178</v>
      </c>
      <c r="K1601" s="301">
        <f>I1601+J1601</f>
        <v>19143758.967001438</v>
      </c>
      <c r="M1601" s="336"/>
      <c r="N1601" s="336">
        <f>J1601/K1601</f>
        <v>5.592361652377241E-2</v>
      </c>
      <c r="O1601" s="334"/>
      <c r="P1601" s="334">
        <f>'EXD WIlms 2007'!AD15</f>
        <v>4.2481285680356704</v>
      </c>
      <c r="R1601" s="334"/>
      <c r="S1601" s="334"/>
      <c r="T1601" s="334"/>
      <c r="U1601" s="334"/>
      <c r="V1601" s="334"/>
      <c r="W1601" s="334"/>
      <c r="X1601" s="334"/>
      <c r="Y1601" s="334"/>
      <c r="Z1601" s="334"/>
      <c r="AA1601" s="334" t="s">
        <v>1498</v>
      </c>
      <c r="AD1601" s="334" t="s">
        <v>1555</v>
      </c>
      <c r="AE1601" s="334" t="s">
        <v>1556</v>
      </c>
      <c r="AF1601" s="334"/>
      <c r="AG1601" s="334" t="s">
        <v>1709</v>
      </c>
      <c r="AH1601" s="334" t="s">
        <v>1715</v>
      </c>
      <c r="AI1601" s="334"/>
      <c r="AJ1601" s="334"/>
      <c r="AK1601" s="334"/>
      <c r="AL1601" s="334"/>
      <c r="AM1601" s="334" t="s">
        <v>1502</v>
      </c>
      <c r="AN1601" s="334" t="s">
        <v>1615</v>
      </c>
      <c r="AO1601" s="334" t="s">
        <v>1448</v>
      </c>
      <c r="AP1601" s="334"/>
      <c r="AQ1601" s="334"/>
      <c r="AR1601" s="334" t="s">
        <v>162</v>
      </c>
      <c r="AS1601" s="334"/>
      <c r="AT1601" s="334"/>
      <c r="AU1601" s="334"/>
    </row>
    <row r="1602" spans="1:47">
      <c r="A1602" s="277" t="s">
        <v>517</v>
      </c>
      <c r="B1602" s="334" t="s">
        <v>521</v>
      </c>
      <c r="C1602" s="334">
        <f>'EXD WIlms 2007'!C17</f>
        <v>2.7753303964757707</v>
      </c>
      <c r="H1602" s="336"/>
      <c r="I1602" s="301">
        <f>'EXD WIlms 2007'!Y17</f>
        <v>7229268.292682928</v>
      </c>
      <c r="M1602" s="336"/>
      <c r="N1602" s="336"/>
      <c r="O1602" s="334"/>
      <c r="P1602" s="334">
        <f>'EXD WIlms 2007'!AD16</f>
        <v>6.0505088711592601</v>
      </c>
      <c r="R1602" s="334"/>
      <c r="S1602" s="334"/>
      <c r="T1602" s="334"/>
      <c r="U1602" s="334"/>
      <c r="V1602" s="334"/>
      <c r="W1602" s="334"/>
      <c r="X1602" s="334"/>
      <c r="Y1602" s="334"/>
      <c r="Z1602" s="334"/>
      <c r="AA1602" s="334"/>
      <c r="AD1602" s="334"/>
      <c r="AE1602" s="334"/>
      <c r="AF1602" s="334"/>
      <c r="AG1602" s="334"/>
      <c r="AH1602" s="334"/>
      <c r="AI1602" s="334"/>
      <c r="AJ1602" s="334"/>
      <c r="AK1602" s="334"/>
      <c r="AL1602" s="334"/>
      <c r="AM1602" s="334"/>
      <c r="AN1602" s="334"/>
      <c r="AO1602" s="334"/>
      <c r="AP1602" s="334"/>
      <c r="AQ1602" s="334"/>
      <c r="AR1602" s="334"/>
      <c r="AS1602" s="334"/>
      <c r="AT1602" s="334"/>
      <c r="AU1602" s="334"/>
    </row>
    <row r="1603" spans="1:47">
      <c r="A1603" s="277" t="s">
        <v>517</v>
      </c>
      <c r="B1603" s="334" t="s">
        <v>521</v>
      </c>
      <c r="C1603" s="334">
        <f>'EXD WIlms 2007'!C18</f>
        <v>2.9515418502202646</v>
      </c>
      <c r="H1603" s="336"/>
      <c r="I1603" s="301">
        <f>'EXD WIlms 2007'!Y18</f>
        <v>7229268.292682928</v>
      </c>
      <c r="M1603" s="336"/>
      <c r="N1603" s="336"/>
      <c r="O1603" s="334"/>
      <c r="P1603" s="334">
        <f>'EXD WIlms 2007'!AD17</f>
        <v>5.4620303827309096</v>
      </c>
      <c r="R1603" s="334"/>
      <c r="S1603" s="334"/>
      <c r="T1603" s="334"/>
      <c r="U1603" s="334"/>
      <c r="V1603" s="334"/>
      <c r="W1603" s="334"/>
      <c r="X1603" s="334"/>
      <c r="Y1603" s="334"/>
      <c r="Z1603" s="334"/>
      <c r="AA1603" s="334"/>
      <c r="AD1603" s="334"/>
      <c r="AE1603" s="334"/>
      <c r="AF1603" s="334"/>
      <c r="AG1603" s="334"/>
      <c r="AH1603" s="334"/>
      <c r="AI1603" s="334"/>
      <c r="AJ1603" s="334"/>
      <c r="AK1603" s="334"/>
      <c r="AL1603" s="334"/>
      <c r="AM1603" s="334"/>
      <c r="AN1603" s="334"/>
      <c r="AO1603" s="334"/>
      <c r="AP1603" s="334"/>
      <c r="AQ1603" s="334"/>
      <c r="AR1603" s="334"/>
      <c r="AS1603" s="334"/>
      <c r="AT1603" s="334"/>
      <c r="AU1603" s="334"/>
    </row>
    <row r="1604" spans="1:47">
      <c r="A1604" s="277" t="s">
        <v>517</v>
      </c>
      <c r="B1604" s="334" t="s">
        <v>521</v>
      </c>
      <c r="C1604" s="334">
        <f>'EXD WIlms 2007'!C20</f>
        <v>3.5682819383259914</v>
      </c>
      <c r="H1604" s="336"/>
      <c r="I1604" s="301">
        <f>'EXD WIlms 2007'!Y20</f>
        <v>3614634.146341464</v>
      </c>
      <c r="J1604" s="301">
        <f>'EXD WIlms 2007'!AC20</f>
        <v>688235.29411764711</v>
      </c>
      <c r="K1604" s="301">
        <f>I1604+J1604</f>
        <v>4302869.4404591108</v>
      </c>
      <c r="M1604" s="336"/>
      <c r="N1604" s="336">
        <f>J1604/K1604</f>
        <v>0.1599479843953186</v>
      </c>
      <c r="O1604" s="334"/>
      <c r="P1604" s="334">
        <f>'EXD WIlms 2007'!AD18</f>
        <v>6.9110597010986599</v>
      </c>
      <c r="R1604" s="334"/>
      <c r="S1604" s="334"/>
      <c r="T1604" s="334"/>
      <c r="U1604" s="334"/>
      <c r="V1604" s="334"/>
      <c r="W1604" s="334"/>
      <c r="X1604" s="334"/>
      <c r="Y1604" s="334"/>
      <c r="Z1604" s="334"/>
      <c r="AA1604" s="334" t="s">
        <v>1498</v>
      </c>
      <c r="AD1604" s="334" t="s">
        <v>1557</v>
      </c>
      <c r="AE1604" s="334" t="s">
        <v>1558</v>
      </c>
      <c r="AF1604" s="334"/>
      <c r="AG1604" s="334" t="s">
        <v>1709</v>
      </c>
      <c r="AH1604" s="334" t="s">
        <v>1715</v>
      </c>
      <c r="AI1604" s="334"/>
      <c r="AJ1604" s="334"/>
      <c r="AK1604" s="334"/>
      <c r="AL1604" s="334"/>
      <c r="AM1604" s="334" t="s">
        <v>1502</v>
      </c>
      <c r="AN1604" s="334" t="s">
        <v>1615</v>
      </c>
      <c r="AO1604" s="334" t="s">
        <v>1448</v>
      </c>
      <c r="AP1604" s="334"/>
      <c r="AQ1604" s="334"/>
      <c r="AR1604" s="334" t="s">
        <v>162</v>
      </c>
      <c r="AS1604" s="334"/>
      <c r="AT1604" s="334"/>
      <c r="AU1604" s="334"/>
    </row>
    <row r="1605" spans="1:47">
      <c r="A1605" s="277" t="s">
        <v>517</v>
      </c>
      <c r="B1605" s="334" t="s">
        <v>521</v>
      </c>
      <c r="C1605" s="334">
        <f>'EXD WIlms 2007'!C21</f>
        <v>4.4493392070484585</v>
      </c>
      <c r="H1605" s="336"/>
      <c r="I1605" s="301">
        <f>'EXD WIlms 2007'!Y21</f>
        <v>21687804.878048785</v>
      </c>
      <c r="M1605" s="336"/>
      <c r="N1605" s="336"/>
      <c r="O1605" s="334"/>
      <c r="P1605" s="334">
        <f>'EXD WIlms 2007'!AD19</f>
        <v>3.2936322933067999</v>
      </c>
      <c r="R1605" s="334"/>
      <c r="S1605" s="334"/>
      <c r="T1605" s="334"/>
      <c r="U1605" s="334"/>
      <c r="V1605" s="334"/>
      <c r="W1605" s="334"/>
      <c r="X1605" s="334"/>
      <c r="Y1605" s="334"/>
      <c r="Z1605" s="334"/>
      <c r="AA1605" s="334"/>
      <c r="AD1605" s="334"/>
      <c r="AE1605" s="334"/>
      <c r="AF1605" s="334"/>
      <c r="AG1605" s="334"/>
      <c r="AH1605" s="334"/>
      <c r="AI1605" s="334"/>
      <c r="AJ1605" s="334"/>
      <c r="AK1605" s="334"/>
      <c r="AL1605" s="334"/>
      <c r="AM1605" s="334"/>
      <c r="AN1605" s="334"/>
      <c r="AO1605" s="334"/>
      <c r="AP1605" s="334"/>
      <c r="AQ1605" s="334"/>
      <c r="AR1605" s="334"/>
      <c r="AS1605" s="334"/>
      <c r="AT1605" s="334"/>
      <c r="AU1605" s="334"/>
    </row>
    <row r="1606" spans="1:47">
      <c r="A1606" s="277"/>
      <c r="B1606" s="334"/>
      <c r="C1606" s="334"/>
      <c r="D1606" s="334"/>
      <c r="E1606" s="334"/>
      <c r="F1606" s="334"/>
      <c r="H1606" s="336"/>
      <c r="M1606" s="336"/>
      <c r="N1606" s="336"/>
      <c r="O1606" s="334"/>
      <c r="P1606" s="334"/>
      <c r="R1606" s="334"/>
      <c r="S1606" s="334"/>
      <c r="T1606" s="334"/>
      <c r="U1606" s="334"/>
      <c r="V1606" s="313"/>
      <c r="W1606" s="313"/>
      <c r="X1606" s="306"/>
      <c r="Y1606" s="306"/>
      <c r="Z1606" s="314"/>
      <c r="AA1606" s="334"/>
      <c r="AD1606" s="334"/>
      <c r="AE1606" s="334"/>
      <c r="AF1606" s="334"/>
      <c r="AG1606" s="334"/>
      <c r="AH1606" s="334"/>
      <c r="AI1606" s="334"/>
      <c r="AJ1606" s="334"/>
      <c r="AK1606" s="334"/>
      <c r="AL1606" s="334"/>
      <c r="AM1606" s="334"/>
      <c r="AN1606" s="334"/>
      <c r="AO1606" s="334"/>
      <c r="AP1606" s="334"/>
      <c r="AQ1606" s="334"/>
      <c r="AR1606" s="334"/>
      <c r="AS1606" s="334"/>
      <c r="AT1606" s="334"/>
      <c r="AU1606" s="334"/>
    </row>
    <row r="1607" spans="1:47">
      <c r="A1607" s="277"/>
      <c r="B1607" s="334"/>
      <c r="C1607" s="334"/>
      <c r="D1607" s="334"/>
      <c r="E1607" s="334"/>
      <c r="F1607" s="334"/>
      <c r="H1607" s="336"/>
      <c r="M1607" s="336"/>
      <c r="N1607" s="336"/>
      <c r="O1607" s="334"/>
      <c r="P1607" s="334"/>
      <c r="R1607" s="334"/>
      <c r="S1607" s="334"/>
      <c r="T1607" s="334"/>
      <c r="U1607" s="334"/>
      <c r="V1607" s="313"/>
      <c r="W1607" s="313"/>
      <c r="X1607" s="306"/>
      <c r="Y1607" s="306"/>
      <c r="Z1607" s="314"/>
      <c r="AA1607" s="334"/>
      <c r="AD1607" s="334"/>
      <c r="AE1607" s="334"/>
      <c r="AF1607" s="334"/>
      <c r="AG1607" s="334"/>
      <c r="AH1607" s="334"/>
      <c r="AI1607" s="334"/>
      <c r="AJ1607" s="334"/>
      <c r="AK1607" s="334"/>
      <c r="AL1607" s="334"/>
      <c r="AM1607" s="334"/>
      <c r="AN1607" s="334"/>
      <c r="AO1607" s="334"/>
      <c r="AP1607" s="334"/>
      <c r="AQ1607" s="334"/>
      <c r="AR1607" s="334"/>
      <c r="AS1607" s="334"/>
      <c r="AT1607" s="334"/>
      <c r="AU1607" s="334"/>
    </row>
    <row r="1608" spans="1:47">
      <c r="A1608" s="277"/>
      <c r="B1608" s="334"/>
      <c r="C1608" s="334"/>
      <c r="D1608" s="334"/>
      <c r="E1608" s="334"/>
      <c r="F1608" s="334"/>
      <c r="H1608" s="336"/>
      <c r="M1608" s="336"/>
      <c r="N1608" s="336"/>
      <c r="O1608" s="334"/>
      <c r="P1608" s="334"/>
      <c r="R1608" s="334"/>
      <c r="S1608" s="334"/>
      <c r="T1608" s="334"/>
      <c r="U1608" s="334"/>
      <c r="V1608" s="313"/>
      <c r="W1608" s="313"/>
      <c r="X1608" s="306"/>
      <c r="Y1608" s="306"/>
      <c r="Z1608" s="314"/>
      <c r="AA1608" s="334"/>
      <c r="AD1608" s="334"/>
      <c r="AE1608" s="334"/>
      <c r="AF1608" s="334"/>
      <c r="AG1608" s="334"/>
      <c r="AH1608" s="334"/>
      <c r="AI1608" s="334"/>
      <c r="AJ1608" s="334"/>
      <c r="AK1608" s="334"/>
      <c r="AL1608" s="334"/>
      <c r="AM1608" s="334"/>
      <c r="AN1608" s="334"/>
      <c r="AO1608" s="334"/>
      <c r="AP1608" s="334"/>
      <c r="AQ1608" s="334"/>
      <c r="AR1608" s="334"/>
      <c r="AS1608" s="334"/>
      <c r="AT1608" s="334"/>
      <c r="AU1608" s="334"/>
    </row>
    <row r="1609" spans="1:47">
      <c r="A1609" s="277"/>
      <c r="B1609" s="334"/>
      <c r="C1609" s="334"/>
      <c r="D1609" s="334"/>
      <c r="E1609" s="334"/>
      <c r="F1609" s="334"/>
      <c r="H1609" s="336"/>
      <c r="M1609" s="336"/>
      <c r="N1609" s="336"/>
      <c r="O1609" s="334"/>
      <c r="P1609" s="334"/>
      <c r="R1609" s="334"/>
      <c r="S1609" s="334"/>
      <c r="T1609" s="334"/>
      <c r="U1609" s="334"/>
      <c r="V1609" s="313"/>
      <c r="W1609" s="313"/>
      <c r="X1609" s="306"/>
      <c r="Y1609" s="306"/>
      <c r="Z1609" s="314"/>
      <c r="AA1609" s="334"/>
      <c r="AD1609" s="334"/>
      <c r="AE1609" s="334"/>
      <c r="AF1609" s="334"/>
      <c r="AG1609" s="334"/>
      <c r="AH1609" s="334"/>
      <c r="AI1609" s="334"/>
      <c r="AJ1609" s="334"/>
      <c r="AK1609" s="334"/>
      <c r="AL1609" s="334"/>
      <c r="AM1609" s="334"/>
      <c r="AN1609" s="334"/>
      <c r="AO1609" s="334"/>
      <c r="AP1609" s="334"/>
      <c r="AQ1609" s="334"/>
      <c r="AR1609" s="334"/>
      <c r="AS1609" s="334"/>
      <c r="AT1609" s="334"/>
      <c r="AU1609" s="334"/>
    </row>
    <row r="1610" spans="1:47">
      <c r="A1610" s="277"/>
      <c r="B1610" s="334"/>
      <c r="C1610" s="334"/>
      <c r="D1610" s="334"/>
      <c r="E1610" s="334"/>
      <c r="F1610" s="334"/>
      <c r="H1610" s="336"/>
      <c r="M1610" s="336"/>
      <c r="N1610" s="336"/>
      <c r="O1610" s="334"/>
      <c r="P1610" s="334"/>
      <c r="R1610" s="334"/>
      <c r="S1610" s="334"/>
      <c r="T1610" s="334"/>
      <c r="U1610" s="334"/>
      <c r="V1610" s="313"/>
      <c r="W1610" s="313"/>
      <c r="X1610" s="306"/>
      <c r="Y1610" s="306"/>
      <c r="Z1610" s="314"/>
      <c r="AA1610" s="334"/>
      <c r="AD1610" s="334"/>
      <c r="AE1610" s="334"/>
      <c r="AF1610" s="334"/>
      <c r="AG1610" s="334"/>
      <c r="AH1610" s="334"/>
      <c r="AI1610" s="334"/>
      <c r="AJ1610" s="334"/>
      <c r="AK1610" s="334"/>
      <c r="AL1610" s="334"/>
      <c r="AM1610" s="334"/>
      <c r="AN1610" s="334"/>
      <c r="AO1610" s="334"/>
      <c r="AP1610" s="334"/>
      <c r="AQ1610" s="334"/>
      <c r="AR1610" s="334"/>
      <c r="AS1610" s="334"/>
      <c r="AT1610" s="334"/>
      <c r="AU1610" s="334"/>
    </row>
    <row r="1611" spans="1:47">
      <c r="A1611" s="277"/>
      <c r="B1611" s="334"/>
      <c r="C1611" s="334"/>
      <c r="D1611" s="334"/>
      <c r="E1611" s="334"/>
      <c r="F1611" s="334"/>
      <c r="H1611" s="336"/>
      <c r="M1611" s="336"/>
      <c r="N1611" s="336"/>
      <c r="O1611" s="334"/>
      <c r="P1611" s="334"/>
      <c r="R1611" s="334"/>
      <c r="S1611" s="334"/>
      <c r="T1611" s="334"/>
      <c r="U1611" s="334"/>
      <c r="V1611" s="313"/>
      <c r="W1611" s="313"/>
      <c r="X1611" s="306"/>
      <c r="Y1611" s="306"/>
      <c r="Z1611" s="314"/>
      <c r="AA1611" s="334"/>
      <c r="AD1611" s="334"/>
      <c r="AE1611" s="334"/>
      <c r="AF1611" s="334"/>
      <c r="AG1611" s="334"/>
      <c r="AH1611" s="334"/>
      <c r="AI1611" s="334"/>
      <c r="AJ1611" s="334"/>
      <c r="AK1611" s="334"/>
      <c r="AL1611" s="334"/>
      <c r="AM1611" s="334"/>
      <c r="AN1611" s="334"/>
      <c r="AO1611" s="334"/>
      <c r="AP1611" s="334"/>
      <c r="AQ1611" s="334"/>
      <c r="AR1611" s="334"/>
      <c r="AS1611" s="334"/>
      <c r="AT1611" s="334"/>
      <c r="AU1611" s="334"/>
    </row>
  </sheetData>
  <sortState ref="A2:BA1621">
    <sortCondition ref="A2:A1621"/>
    <sortCondition ref="B2:B1621"/>
    <sortCondition ref="C2:C1621"/>
  </sortState>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17" workbookViewId="0">
      <selection activeCell="C43" sqref="C43"/>
    </sheetView>
  </sheetViews>
  <sheetFormatPr baseColWidth="10" defaultRowHeight="13" x14ac:dyDescent="0"/>
  <cols>
    <col min="2" max="2" width="10.7109375" style="207"/>
    <col min="4" max="4" width="20.28515625" style="239" customWidth="1"/>
    <col min="5" max="5" width="12" style="239" bestFit="1" customWidth="1"/>
    <col min="9" max="9" width="12" style="217" bestFit="1" customWidth="1"/>
    <col min="11" max="11" width="11" style="217" bestFit="1" customWidth="1"/>
    <col min="13" max="14" width="12" bestFit="1" customWidth="1"/>
  </cols>
  <sheetData>
    <row r="1" spans="1:14">
      <c r="A1" s="207" t="s">
        <v>1244</v>
      </c>
    </row>
    <row r="2" spans="1:14">
      <c r="A2" s="125" t="s">
        <v>1077</v>
      </c>
    </row>
    <row r="3" spans="1:14">
      <c r="G3" s="207" t="s">
        <v>1143</v>
      </c>
    </row>
    <row r="4" spans="1:14">
      <c r="A4" s="207" t="s">
        <v>1265</v>
      </c>
      <c r="C4" s="207"/>
      <c r="F4" s="207"/>
    </row>
    <row r="5" spans="1:14">
      <c r="A5" s="293" t="s">
        <v>1339</v>
      </c>
    </row>
    <row r="6" spans="1:14">
      <c r="A6" s="207"/>
      <c r="D6" s="239">
        <f>100000000000</f>
        <v>100000000000</v>
      </c>
      <c r="G6" s="30"/>
      <c r="H6" s="207"/>
      <c r="J6" s="207"/>
    </row>
    <row r="7" spans="1:14">
      <c r="A7" s="207" t="s">
        <v>1248</v>
      </c>
      <c r="D7" s="239">
        <v>-10000000000</v>
      </c>
      <c r="G7" s="125" t="s">
        <v>864</v>
      </c>
      <c r="H7" t="s">
        <v>1180</v>
      </c>
      <c r="I7" s="218" t="s">
        <v>997</v>
      </c>
      <c r="J7" t="s">
        <v>1181</v>
      </c>
      <c r="K7" s="218" t="s">
        <v>654</v>
      </c>
    </row>
    <row r="8" spans="1:14">
      <c r="A8" s="207" t="s">
        <v>1145</v>
      </c>
      <c r="I8" s="227" t="s">
        <v>1372</v>
      </c>
      <c r="K8" s="227" t="s">
        <v>1372</v>
      </c>
      <c r="L8" s="30"/>
      <c r="M8" s="30"/>
      <c r="N8" s="30"/>
    </row>
    <row r="9" spans="1:14">
      <c r="A9" s="207" t="s">
        <v>1066</v>
      </c>
      <c r="H9" t="s">
        <v>1146</v>
      </c>
      <c r="I9" s="218"/>
      <c r="K9" s="218"/>
      <c r="L9" s="30"/>
      <c r="M9" s="30"/>
      <c r="N9" s="30"/>
    </row>
    <row r="10" spans="1:14">
      <c r="A10" s="207" t="s">
        <v>1209</v>
      </c>
      <c r="B10" s="125" t="s">
        <v>674</v>
      </c>
      <c r="C10" s="207" t="s">
        <v>1067</v>
      </c>
      <c r="D10" s="239" t="s">
        <v>1070</v>
      </c>
      <c r="E10" s="240" t="s">
        <v>1088</v>
      </c>
      <c r="H10" t="s">
        <v>1203</v>
      </c>
      <c r="I10" s="218"/>
      <c r="K10" s="218"/>
      <c r="L10" s="30"/>
      <c r="M10" s="30"/>
      <c r="N10" s="30"/>
    </row>
    <row r="11" spans="1:14">
      <c r="A11" s="207">
        <v>0.5</v>
      </c>
      <c r="B11" s="125">
        <f>A11/100</f>
        <v>5.0000000000000001E-3</v>
      </c>
      <c r="C11">
        <v>4.5999999999999996</v>
      </c>
      <c r="D11" s="241">
        <f>(C11)*(10000000000)</f>
        <v>46000000000</v>
      </c>
      <c r="E11" s="240">
        <f>D11</f>
        <v>46000000000</v>
      </c>
      <c r="G11" s="125">
        <v>5.0000000000000001E-3</v>
      </c>
      <c r="H11">
        <v>52</v>
      </c>
      <c r="I11" s="218">
        <f>(H11*E11)/100</f>
        <v>23920000000</v>
      </c>
      <c r="J11">
        <v>1</v>
      </c>
      <c r="K11" s="218">
        <f t="shared" ref="K11:K20" si="0">(J11*E11)/100</f>
        <v>460000000</v>
      </c>
      <c r="L11" s="30"/>
      <c r="M11" s="215"/>
      <c r="N11" s="215"/>
    </row>
    <row r="12" spans="1:14">
      <c r="A12" s="207">
        <v>1.5</v>
      </c>
      <c r="B12" s="125">
        <f t="shared" ref="B12:B20" si="1">A12/100</f>
        <v>1.4999999999999999E-2</v>
      </c>
      <c r="C12">
        <v>2.7</v>
      </c>
      <c r="D12" s="241">
        <f t="shared" ref="D12:D20" si="2">(C12)*(10000000000)</f>
        <v>27000000000</v>
      </c>
      <c r="E12" s="240">
        <f t="shared" ref="E12:E20" si="3">D12</f>
        <v>27000000000</v>
      </c>
      <c r="G12" s="125">
        <v>1.4999999999999999E-2</v>
      </c>
      <c r="H12">
        <v>22</v>
      </c>
      <c r="I12" s="218">
        <f t="shared" ref="I12:I20" si="4">(H12*E12)/100</f>
        <v>5940000000</v>
      </c>
      <c r="J12">
        <v>4</v>
      </c>
      <c r="K12" s="218">
        <f t="shared" si="0"/>
        <v>1080000000</v>
      </c>
      <c r="L12" s="30"/>
      <c r="M12" s="215"/>
      <c r="N12" s="215"/>
    </row>
    <row r="13" spans="1:14">
      <c r="A13">
        <v>2.5</v>
      </c>
      <c r="B13" s="125">
        <f t="shared" si="1"/>
        <v>2.5000000000000001E-2</v>
      </c>
      <c r="C13">
        <v>3.6</v>
      </c>
      <c r="D13" s="241">
        <f t="shared" si="2"/>
        <v>36000000000</v>
      </c>
      <c r="E13" s="240">
        <f t="shared" si="3"/>
        <v>36000000000</v>
      </c>
      <c r="G13" s="125">
        <v>2.5000000000000001E-2</v>
      </c>
      <c r="H13">
        <v>24</v>
      </c>
      <c r="I13" s="218">
        <f t="shared" si="4"/>
        <v>8640000000</v>
      </c>
      <c r="J13">
        <v>2</v>
      </c>
      <c r="K13" s="218">
        <f t="shared" si="0"/>
        <v>720000000</v>
      </c>
      <c r="L13" s="30"/>
      <c r="M13" s="215"/>
      <c r="N13" s="215"/>
    </row>
    <row r="14" spans="1:14">
      <c r="A14">
        <v>3.5</v>
      </c>
      <c r="B14" s="125">
        <f t="shared" si="1"/>
        <v>3.5000000000000003E-2</v>
      </c>
      <c r="C14">
        <v>1</v>
      </c>
      <c r="D14" s="241">
        <f t="shared" si="2"/>
        <v>10000000000</v>
      </c>
      <c r="E14" s="240">
        <f t="shared" si="3"/>
        <v>10000000000</v>
      </c>
      <c r="G14" s="125">
        <v>3.5000000000000003E-2</v>
      </c>
      <c r="H14">
        <v>20</v>
      </c>
      <c r="I14" s="218">
        <f t="shared" si="4"/>
        <v>2000000000</v>
      </c>
      <c r="J14">
        <v>1</v>
      </c>
      <c r="K14" s="218">
        <f t="shared" si="0"/>
        <v>100000000</v>
      </c>
      <c r="L14" s="30"/>
      <c r="M14" s="215"/>
      <c r="N14" s="215"/>
    </row>
    <row r="15" spans="1:14">
      <c r="A15">
        <v>4.5</v>
      </c>
      <c r="B15" s="125">
        <f t="shared" si="1"/>
        <v>4.4999999999999998E-2</v>
      </c>
      <c r="C15">
        <v>1.6</v>
      </c>
      <c r="D15" s="241">
        <f>(C15)*(10000000000)</f>
        <v>16000000000</v>
      </c>
      <c r="E15" s="240">
        <f t="shared" si="3"/>
        <v>16000000000</v>
      </c>
      <c r="G15" s="125">
        <v>4.4999999999999998E-2</v>
      </c>
      <c r="H15">
        <v>21</v>
      </c>
      <c r="I15" s="218">
        <f t="shared" si="4"/>
        <v>3360000000</v>
      </c>
      <c r="J15">
        <v>7</v>
      </c>
      <c r="K15" s="218">
        <f t="shared" si="0"/>
        <v>1120000000</v>
      </c>
      <c r="L15" s="30"/>
      <c r="M15" s="215"/>
      <c r="N15" s="215"/>
    </row>
    <row r="16" spans="1:14">
      <c r="A16">
        <v>5.5</v>
      </c>
      <c r="B16" s="125">
        <f t="shared" si="1"/>
        <v>5.5E-2</v>
      </c>
      <c r="C16">
        <v>3.1</v>
      </c>
      <c r="D16" s="241">
        <f>(C16)*(10000000000)</f>
        <v>31000000000</v>
      </c>
      <c r="E16" s="240">
        <f t="shared" si="3"/>
        <v>31000000000</v>
      </c>
      <c r="G16" s="125">
        <v>5.5E-2</v>
      </c>
      <c r="H16">
        <v>20</v>
      </c>
      <c r="I16" s="218">
        <f t="shared" si="4"/>
        <v>6200000000</v>
      </c>
      <c r="J16">
        <v>3</v>
      </c>
      <c r="K16" s="218">
        <f t="shared" si="0"/>
        <v>930000000</v>
      </c>
      <c r="L16" s="30"/>
      <c r="M16" s="215"/>
      <c r="N16" s="215"/>
    </row>
    <row r="17" spans="1:14">
      <c r="A17">
        <v>6.5</v>
      </c>
      <c r="B17" s="125">
        <f t="shared" si="1"/>
        <v>6.5000000000000002E-2</v>
      </c>
      <c r="C17">
        <v>1.3</v>
      </c>
      <c r="D17" s="241">
        <f t="shared" si="2"/>
        <v>13000000000</v>
      </c>
      <c r="E17" s="240">
        <f>D17</f>
        <v>13000000000</v>
      </c>
      <c r="G17" s="125">
        <v>6.5000000000000002E-2</v>
      </c>
      <c r="H17">
        <v>18</v>
      </c>
      <c r="I17" s="218">
        <f t="shared" si="4"/>
        <v>2340000000</v>
      </c>
      <c r="J17">
        <v>1</v>
      </c>
      <c r="K17" s="218">
        <f t="shared" si="0"/>
        <v>130000000</v>
      </c>
      <c r="L17" s="30"/>
      <c r="M17" s="215"/>
      <c r="N17" s="215"/>
    </row>
    <row r="18" spans="1:14">
      <c r="A18">
        <v>7.5</v>
      </c>
      <c r="B18" s="125">
        <f t="shared" si="1"/>
        <v>7.4999999999999997E-2</v>
      </c>
      <c r="C18">
        <v>1.4</v>
      </c>
      <c r="D18" s="241">
        <f t="shared" si="2"/>
        <v>14000000000</v>
      </c>
      <c r="E18" s="240">
        <f t="shared" si="3"/>
        <v>14000000000</v>
      </c>
      <c r="G18" s="125">
        <v>7.4999999999999997E-2</v>
      </c>
      <c r="H18">
        <v>17</v>
      </c>
      <c r="I18" s="218">
        <f>(H18*E18)/100</f>
        <v>2380000000</v>
      </c>
      <c r="J18">
        <v>5</v>
      </c>
      <c r="K18" s="218">
        <f t="shared" si="0"/>
        <v>700000000</v>
      </c>
      <c r="L18" s="30"/>
      <c r="M18" s="215"/>
      <c r="N18" s="215"/>
    </row>
    <row r="19" spans="1:14">
      <c r="A19">
        <v>9.5</v>
      </c>
      <c r="B19" s="125">
        <f t="shared" si="1"/>
        <v>9.5000000000000001E-2</v>
      </c>
      <c r="C19">
        <v>1.4</v>
      </c>
      <c r="D19" s="241">
        <f t="shared" si="2"/>
        <v>14000000000</v>
      </c>
      <c r="E19" s="240">
        <f t="shared" si="3"/>
        <v>14000000000</v>
      </c>
      <c r="G19" s="125">
        <v>9.5000000000000001E-2</v>
      </c>
      <c r="H19">
        <v>12</v>
      </c>
      <c r="I19" s="218">
        <f t="shared" si="4"/>
        <v>1680000000</v>
      </c>
      <c r="J19">
        <v>23</v>
      </c>
      <c r="K19" s="218">
        <f t="shared" si="0"/>
        <v>3220000000</v>
      </c>
      <c r="L19" s="30"/>
      <c r="M19" s="215"/>
      <c r="N19" s="215"/>
    </row>
    <row r="20" spans="1:14">
      <c r="A20">
        <v>14.5</v>
      </c>
      <c r="B20" s="125">
        <f t="shared" si="1"/>
        <v>0.14499999999999999</v>
      </c>
      <c r="C20">
        <v>0.8</v>
      </c>
      <c r="D20" s="241">
        <f t="shared" si="2"/>
        <v>8000000000</v>
      </c>
      <c r="E20" s="240">
        <f t="shared" si="3"/>
        <v>8000000000</v>
      </c>
      <c r="G20" s="125">
        <v>0.14499999999999999</v>
      </c>
      <c r="H20">
        <v>15</v>
      </c>
      <c r="I20" s="218">
        <f t="shared" si="4"/>
        <v>1200000000</v>
      </c>
      <c r="J20">
        <v>14</v>
      </c>
      <c r="K20" s="218">
        <f t="shared" si="0"/>
        <v>1120000000</v>
      </c>
      <c r="L20" s="30"/>
      <c r="M20" s="215"/>
      <c r="N20" s="215"/>
    </row>
    <row r="21" spans="1:14">
      <c r="A21" s="30"/>
      <c r="B21" s="30"/>
      <c r="C21" s="30"/>
      <c r="D21" s="241"/>
      <c r="E21" s="241"/>
      <c r="G21" s="30"/>
      <c r="H21" s="30"/>
      <c r="I21" s="219"/>
      <c r="J21" s="30"/>
      <c r="L21" s="30"/>
      <c r="M21" s="215"/>
      <c r="N21" s="215"/>
    </row>
    <row r="22" spans="1:14" s="30" customFormat="1">
      <c r="C22" s="207" t="s">
        <v>1212</v>
      </c>
      <c r="D22" s="239"/>
      <c r="E22" s="239"/>
      <c r="I22" s="219"/>
      <c r="K22" s="219"/>
      <c r="M22" s="215"/>
      <c r="N22" s="215"/>
    </row>
    <row r="23" spans="1:14" s="30" customFormat="1">
      <c r="C23" s="207" t="s">
        <v>1069</v>
      </c>
      <c r="D23" s="239"/>
      <c r="E23" s="239"/>
      <c r="G23" s="207" t="s">
        <v>1202</v>
      </c>
      <c r="H23" s="207"/>
      <c r="I23" s="218" t="s">
        <v>1178</v>
      </c>
      <c r="K23" s="218" t="s">
        <v>654</v>
      </c>
      <c r="M23" s="215"/>
      <c r="N23" s="215"/>
    </row>
    <row r="24" spans="1:14" s="30" customFormat="1">
      <c r="A24" s="207" t="s">
        <v>1209</v>
      </c>
      <c r="B24" s="125" t="s">
        <v>674</v>
      </c>
      <c r="C24" s="207" t="s">
        <v>1080</v>
      </c>
      <c r="D24" s="239" t="s">
        <v>1070</v>
      </c>
      <c r="E24" s="240" t="s">
        <v>1082</v>
      </c>
      <c r="G24" s="207" t="s">
        <v>1177</v>
      </c>
      <c r="H24" s="207"/>
      <c r="I24" s="227" t="s">
        <v>1372</v>
      </c>
      <c r="J24" s="207"/>
      <c r="K24" s="227" t="s">
        <v>1373</v>
      </c>
      <c r="M24" s="215"/>
      <c r="N24" s="215"/>
    </row>
    <row r="25" spans="1:14" s="30" customFormat="1">
      <c r="A25" s="207">
        <v>0.5</v>
      </c>
      <c r="B25" s="125">
        <f>A25/100</f>
        <v>5.0000000000000001E-3</v>
      </c>
      <c r="C25" s="207">
        <v>4.5999999999999996</v>
      </c>
      <c r="D25" s="239">
        <f>C25*(10000000000)</f>
        <v>46000000000</v>
      </c>
      <c r="E25" s="240">
        <f>D25</f>
        <v>46000000000</v>
      </c>
      <c r="G25" s="125">
        <v>5.0000000000000001E-3</v>
      </c>
      <c r="H25" s="207">
        <v>48</v>
      </c>
      <c r="I25" s="218">
        <f>(H25*E25)/100</f>
        <v>22080000000</v>
      </c>
      <c r="J25" s="207">
        <v>3</v>
      </c>
      <c r="K25" s="218">
        <f>(J25*E25)/100</f>
        <v>1380000000</v>
      </c>
      <c r="M25" s="215"/>
      <c r="N25" s="215"/>
    </row>
    <row r="26" spans="1:14" s="30" customFormat="1">
      <c r="A26" s="207">
        <v>1.5</v>
      </c>
      <c r="B26" s="125">
        <f t="shared" ref="B26:B34" si="5">A26/100</f>
        <v>1.4999999999999999E-2</v>
      </c>
      <c r="C26" s="207">
        <v>4.8</v>
      </c>
      <c r="D26" s="239">
        <f>C26*(10000000000)</f>
        <v>48000000000</v>
      </c>
      <c r="E26" s="240">
        <f>D26</f>
        <v>48000000000</v>
      </c>
      <c r="G26" s="125">
        <v>1.4999999999999999E-2</v>
      </c>
      <c r="H26" s="207">
        <v>25</v>
      </c>
      <c r="I26" s="218">
        <f t="shared" ref="I26:I34" si="6">(H26*E26)/100</f>
        <v>12000000000</v>
      </c>
      <c r="J26" s="207">
        <v>2</v>
      </c>
      <c r="K26" s="218">
        <f t="shared" ref="K26:K34" si="7">(J26*E26)/100</f>
        <v>960000000</v>
      </c>
      <c r="M26" s="215"/>
      <c r="N26" s="215"/>
    </row>
    <row r="27" spans="1:14">
      <c r="A27" s="207">
        <v>2.5</v>
      </c>
      <c r="B27" s="125">
        <f t="shared" si="5"/>
        <v>2.5000000000000001E-2</v>
      </c>
      <c r="C27" s="207" t="s">
        <v>1081</v>
      </c>
      <c r="E27" s="240"/>
      <c r="G27" s="125">
        <v>2.5000000000000001E-2</v>
      </c>
      <c r="H27" s="207" t="s">
        <v>1076</v>
      </c>
      <c r="I27" s="218"/>
      <c r="J27" s="207" t="s">
        <v>1076</v>
      </c>
      <c r="K27" s="218"/>
    </row>
    <row r="28" spans="1:14" s="207" customFormat="1">
      <c r="A28" s="207">
        <v>3.5</v>
      </c>
      <c r="B28" s="125">
        <f t="shared" si="5"/>
        <v>3.5000000000000003E-2</v>
      </c>
      <c r="C28" s="207" t="s">
        <v>583</v>
      </c>
      <c r="D28" s="239"/>
      <c r="E28" s="240"/>
      <c r="G28" s="125">
        <v>3.5000000000000003E-2</v>
      </c>
      <c r="H28" s="207" t="s">
        <v>1076</v>
      </c>
      <c r="I28" s="218"/>
      <c r="J28" s="207" t="s">
        <v>1076</v>
      </c>
      <c r="K28" s="218"/>
    </row>
    <row r="29" spans="1:14" s="207" customFormat="1">
      <c r="A29" s="207">
        <v>4.5</v>
      </c>
      <c r="B29" s="125">
        <f t="shared" si="5"/>
        <v>4.4999999999999998E-2</v>
      </c>
      <c r="C29" s="207">
        <v>9.6</v>
      </c>
      <c r="D29" s="239">
        <f t="shared" ref="D29:D34" si="8">C29*(10000000000)</f>
        <v>96000000000</v>
      </c>
      <c r="E29" s="240">
        <f>D29</f>
        <v>96000000000</v>
      </c>
      <c r="G29" s="125">
        <v>4.4999999999999998E-2</v>
      </c>
      <c r="H29" s="207">
        <v>18</v>
      </c>
      <c r="I29" s="218">
        <f t="shared" si="6"/>
        <v>17280000000</v>
      </c>
      <c r="J29" s="207">
        <v>23</v>
      </c>
      <c r="K29" s="218">
        <f t="shared" si="7"/>
        <v>22080000000</v>
      </c>
    </row>
    <row r="30" spans="1:14" s="207" customFormat="1">
      <c r="A30" s="207">
        <v>5.5</v>
      </c>
      <c r="B30" s="125">
        <f t="shared" si="5"/>
        <v>5.5E-2</v>
      </c>
      <c r="C30" s="207" t="s">
        <v>583</v>
      </c>
      <c r="D30" s="239"/>
      <c r="E30" s="240"/>
      <c r="G30" s="125">
        <v>5.5E-2</v>
      </c>
      <c r="H30" s="207" t="s">
        <v>1076</v>
      </c>
      <c r="I30" s="218"/>
      <c r="J30" s="207" t="s">
        <v>1076</v>
      </c>
      <c r="K30" s="218"/>
    </row>
    <row r="31" spans="1:14" s="207" customFormat="1">
      <c r="A31" s="207">
        <v>6.5</v>
      </c>
      <c r="B31" s="125">
        <f t="shared" si="5"/>
        <v>6.5000000000000002E-2</v>
      </c>
      <c r="C31" s="207" t="s">
        <v>1081</v>
      </c>
      <c r="D31" s="239"/>
      <c r="E31" s="240"/>
      <c r="G31" s="125">
        <v>6.5000000000000002E-2</v>
      </c>
      <c r="H31" s="207" t="s">
        <v>1076</v>
      </c>
      <c r="I31" s="218"/>
      <c r="J31" s="207" t="s">
        <v>1076</v>
      </c>
      <c r="K31" s="218"/>
    </row>
    <row r="32" spans="1:14" s="207" customFormat="1">
      <c r="A32" s="207">
        <v>7.5</v>
      </c>
      <c r="B32" s="125">
        <f t="shared" si="5"/>
        <v>7.4999999999999997E-2</v>
      </c>
      <c r="C32" s="207" t="s">
        <v>583</v>
      </c>
      <c r="D32" s="239"/>
      <c r="E32" s="240"/>
      <c r="G32" s="125">
        <v>7.4999999999999997E-2</v>
      </c>
      <c r="H32" s="207" t="s">
        <v>1076</v>
      </c>
      <c r="I32" s="218"/>
      <c r="J32" s="207" t="s">
        <v>1076</v>
      </c>
      <c r="K32" s="218"/>
    </row>
    <row r="33" spans="1:11" s="207" customFormat="1">
      <c r="A33" s="207">
        <v>9.5</v>
      </c>
      <c r="B33" s="125">
        <f t="shared" si="5"/>
        <v>9.5000000000000001E-2</v>
      </c>
      <c r="C33" s="207">
        <v>4.5</v>
      </c>
      <c r="D33" s="239">
        <f t="shared" si="8"/>
        <v>45000000000</v>
      </c>
      <c r="E33" s="240">
        <f>D33</f>
        <v>45000000000</v>
      </c>
      <c r="G33" s="125">
        <v>9.5000000000000001E-2</v>
      </c>
      <c r="H33" s="207">
        <v>15</v>
      </c>
      <c r="I33" s="218">
        <f t="shared" si="6"/>
        <v>6750000000</v>
      </c>
      <c r="J33" s="207">
        <v>30</v>
      </c>
      <c r="K33" s="218">
        <f t="shared" si="7"/>
        <v>13500000000</v>
      </c>
    </row>
    <row r="34" spans="1:11" s="207" customFormat="1">
      <c r="A34" s="207">
        <v>14.5</v>
      </c>
      <c r="B34" s="125">
        <f t="shared" si="5"/>
        <v>0.14499999999999999</v>
      </c>
      <c r="C34" s="207">
        <v>1.2</v>
      </c>
      <c r="D34" s="239">
        <f t="shared" si="8"/>
        <v>12000000000</v>
      </c>
      <c r="E34" s="240">
        <f>D34</f>
        <v>12000000000</v>
      </c>
      <c r="G34" s="125">
        <v>0.14499999999999999</v>
      </c>
      <c r="H34" s="207">
        <v>9</v>
      </c>
      <c r="I34" s="218">
        <f t="shared" si="6"/>
        <v>1080000000</v>
      </c>
      <c r="J34" s="207">
        <v>28</v>
      </c>
      <c r="K34" s="218">
        <f t="shared" si="7"/>
        <v>3360000000</v>
      </c>
    </row>
    <row r="35" spans="1:11" s="207" customFormat="1">
      <c r="D35" s="241"/>
      <c r="E35" s="239"/>
      <c r="I35" s="217"/>
      <c r="K35" s="217"/>
    </row>
    <row r="36" spans="1:11" s="207" customFormat="1">
      <c r="C36" s="207" t="s">
        <v>1071</v>
      </c>
      <c r="D36" s="239"/>
      <c r="E36" s="239"/>
      <c r="I36" s="217"/>
      <c r="K36" s="217"/>
    </row>
    <row r="37" spans="1:11" s="207" customFormat="1">
      <c r="C37" s="207" t="s">
        <v>1072</v>
      </c>
      <c r="D37" s="239"/>
      <c r="E37" s="239"/>
      <c r="G37" s="207" t="s">
        <v>1179</v>
      </c>
      <c r="I37" s="217"/>
      <c r="K37" s="217"/>
    </row>
    <row r="38" spans="1:11" s="207" customFormat="1">
      <c r="A38" s="207" t="s">
        <v>1209</v>
      </c>
      <c r="B38" s="125" t="s">
        <v>674</v>
      </c>
      <c r="C38" s="207" t="s">
        <v>1073</v>
      </c>
      <c r="D38" s="239" t="s">
        <v>1135</v>
      </c>
      <c r="E38" s="240" t="s">
        <v>1136</v>
      </c>
      <c r="G38" s="125" t="s">
        <v>674</v>
      </c>
      <c r="I38" s="217"/>
      <c r="K38" s="217"/>
    </row>
    <row r="39" spans="1:11" s="207" customFormat="1">
      <c r="A39" s="207">
        <v>0.5</v>
      </c>
      <c r="B39" s="125">
        <f>A39/100</f>
        <v>5.0000000000000001E-3</v>
      </c>
      <c r="C39" s="207">
        <v>0.5</v>
      </c>
      <c r="D39" s="239">
        <f>C39*(10000000000)</f>
        <v>5000000000</v>
      </c>
      <c r="E39" s="240">
        <f>D39</f>
        <v>5000000000</v>
      </c>
      <c r="G39" s="125">
        <v>5.0000000000000001E-3</v>
      </c>
      <c r="H39" s="207">
        <v>17</v>
      </c>
      <c r="I39" s="218">
        <f>(H39*E39)/100</f>
        <v>850000000</v>
      </c>
      <c r="J39" s="207" t="s">
        <v>1204</v>
      </c>
      <c r="K39" s="218">
        <f>(1*E39)/100</f>
        <v>50000000</v>
      </c>
    </row>
    <row r="40" spans="1:11" s="207" customFormat="1">
      <c r="A40" s="207">
        <v>1.5</v>
      </c>
      <c r="B40" s="125">
        <f t="shared" ref="B40:B48" si="9">A40/100</f>
        <v>1.4999999999999999E-2</v>
      </c>
      <c r="C40" s="207">
        <v>0.5</v>
      </c>
      <c r="D40" s="239">
        <f t="shared" ref="D40:D48" si="10">C40*(10000000000)</f>
        <v>5000000000</v>
      </c>
      <c r="E40" s="240">
        <f>D40</f>
        <v>5000000000</v>
      </c>
      <c r="G40" s="125">
        <v>1.4999999999999999E-2</v>
      </c>
      <c r="H40" s="207">
        <v>19</v>
      </c>
      <c r="I40" s="218">
        <f>(H40*E40)/100</f>
        <v>950000000</v>
      </c>
      <c r="J40" s="207" t="s">
        <v>1204</v>
      </c>
      <c r="K40" s="227">
        <f>(1*E40)/100</f>
        <v>50000000</v>
      </c>
    </row>
    <row r="41" spans="1:11" s="207" customFormat="1">
      <c r="A41" s="207">
        <v>2.5</v>
      </c>
      <c r="B41" s="125">
        <f t="shared" si="9"/>
        <v>2.5000000000000001E-2</v>
      </c>
      <c r="C41" s="207" t="s">
        <v>583</v>
      </c>
      <c r="D41" s="239"/>
      <c r="E41" s="240"/>
      <c r="G41" s="125">
        <v>2.5000000000000001E-2</v>
      </c>
      <c r="H41" s="207" t="s">
        <v>1076</v>
      </c>
      <c r="I41" s="218"/>
      <c r="J41" s="207" t="s">
        <v>1076</v>
      </c>
      <c r="K41" s="218"/>
    </row>
    <row r="42" spans="1:11" s="207" customFormat="1">
      <c r="A42" s="207">
        <v>3.5</v>
      </c>
      <c r="B42" s="125">
        <f t="shared" si="9"/>
        <v>3.5000000000000003E-2</v>
      </c>
      <c r="C42" s="207" t="s">
        <v>583</v>
      </c>
      <c r="D42" s="239"/>
      <c r="E42" s="240"/>
      <c r="G42" s="125">
        <v>3.5000000000000003E-2</v>
      </c>
      <c r="H42" s="207" t="s">
        <v>1076</v>
      </c>
      <c r="I42" s="218"/>
      <c r="J42" s="207" t="s">
        <v>1076</v>
      </c>
      <c r="K42" s="218"/>
    </row>
    <row r="43" spans="1:11" s="207" customFormat="1">
      <c r="A43" s="207">
        <v>4.5</v>
      </c>
      <c r="B43" s="125">
        <f t="shared" si="9"/>
        <v>4.4999999999999998E-2</v>
      </c>
      <c r="C43" s="207">
        <v>0.3</v>
      </c>
      <c r="D43" s="239">
        <f t="shared" si="10"/>
        <v>3000000000</v>
      </c>
      <c r="E43" s="240">
        <f>D43</f>
        <v>3000000000</v>
      </c>
      <c r="G43" s="125">
        <v>4.4999999999999998E-2</v>
      </c>
      <c r="H43" s="207">
        <v>11</v>
      </c>
      <c r="I43" s="218">
        <f>(H43*E43)/100</f>
        <v>330000000</v>
      </c>
      <c r="J43" s="207" t="s">
        <v>1205</v>
      </c>
      <c r="K43" s="227">
        <f>(0.5*E43)/100</f>
        <v>15000000</v>
      </c>
    </row>
    <row r="44" spans="1:11" s="207" customFormat="1">
      <c r="A44" s="207">
        <v>5.5</v>
      </c>
      <c r="B44" s="125">
        <f t="shared" si="9"/>
        <v>5.5E-2</v>
      </c>
      <c r="C44" s="207" t="s">
        <v>583</v>
      </c>
      <c r="D44" s="239"/>
      <c r="E44" s="240"/>
      <c r="G44" s="125">
        <v>5.5E-2</v>
      </c>
      <c r="H44" s="207" t="s">
        <v>1076</v>
      </c>
      <c r="I44" s="218"/>
      <c r="J44" s="207" t="s">
        <v>1076</v>
      </c>
      <c r="K44" s="218"/>
    </row>
    <row r="45" spans="1:11" s="207" customFormat="1">
      <c r="A45" s="207">
        <v>6.5</v>
      </c>
      <c r="B45" s="125">
        <f t="shared" si="9"/>
        <v>6.5000000000000002E-2</v>
      </c>
      <c r="C45" s="207" t="s">
        <v>583</v>
      </c>
      <c r="D45" s="239"/>
      <c r="E45" s="240"/>
      <c r="G45" s="125">
        <v>6.5000000000000002E-2</v>
      </c>
      <c r="H45" s="207" t="s">
        <v>1076</v>
      </c>
      <c r="I45" s="218"/>
      <c r="J45" s="207" t="s">
        <v>1076</v>
      </c>
      <c r="K45" s="218"/>
    </row>
    <row r="46" spans="1:11" s="207" customFormat="1">
      <c r="A46" s="207">
        <v>7.5</v>
      </c>
      <c r="B46" s="125">
        <f t="shared" si="9"/>
        <v>7.4999999999999997E-2</v>
      </c>
      <c r="C46" s="207" t="s">
        <v>583</v>
      </c>
      <c r="D46" s="239"/>
      <c r="E46" s="240"/>
      <c r="G46" s="125">
        <v>7.4999999999999997E-2</v>
      </c>
      <c r="H46" s="207" t="s">
        <v>1076</v>
      </c>
      <c r="I46" s="218"/>
      <c r="J46" s="207" t="s">
        <v>1076</v>
      </c>
      <c r="K46" s="218"/>
    </row>
    <row r="47" spans="1:11" s="207" customFormat="1">
      <c r="A47" s="207">
        <v>9.5</v>
      </c>
      <c r="B47" s="125">
        <f t="shared" si="9"/>
        <v>9.5000000000000001E-2</v>
      </c>
      <c r="C47" s="207">
        <v>0.3</v>
      </c>
      <c r="D47" s="239">
        <f t="shared" si="10"/>
        <v>3000000000</v>
      </c>
      <c r="E47" s="240">
        <f>D47</f>
        <v>3000000000</v>
      </c>
      <c r="G47" s="125">
        <v>9.5000000000000001E-2</v>
      </c>
      <c r="H47" s="207" t="s">
        <v>1076</v>
      </c>
      <c r="I47" s="218"/>
      <c r="J47" s="207" t="s">
        <v>1076</v>
      </c>
      <c r="K47" s="218"/>
    </row>
    <row r="48" spans="1:11" s="207" customFormat="1">
      <c r="A48" s="207">
        <v>14.5</v>
      </c>
      <c r="B48" s="125">
        <f t="shared" si="9"/>
        <v>0.14499999999999999</v>
      </c>
      <c r="C48" s="207">
        <v>0.1</v>
      </c>
      <c r="D48" s="239">
        <f t="shared" si="10"/>
        <v>1000000000</v>
      </c>
      <c r="E48" s="240">
        <f>D48</f>
        <v>1000000000</v>
      </c>
      <c r="G48" s="125">
        <v>0.14499999999999999</v>
      </c>
      <c r="H48" s="207" t="s">
        <v>1076</v>
      </c>
      <c r="I48" s="218"/>
      <c r="J48" s="207" t="s">
        <v>1076</v>
      </c>
      <c r="K48" s="218"/>
    </row>
    <row r="49" spans="1:14" s="207" customFormat="1">
      <c r="D49" s="241"/>
      <c r="E49" s="239"/>
      <c r="I49" s="217"/>
      <c r="K49" s="217"/>
    </row>
    <row r="50" spans="1:14" s="207" customFormat="1">
      <c r="D50" s="241"/>
      <c r="E50" s="239"/>
      <c r="I50" s="217"/>
      <c r="K50" s="217"/>
    </row>
    <row r="51" spans="1:14" s="207" customFormat="1">
      <c r="A51"/>
      <c r="C51"/>
      <c r="D51" s="241"/>
      <c r="E51" s="239"/>
      <c r="I51" s="217"/>
      <c r="K51" s="217"/>
    </row>
    <row r="52" spans="1:14" s="207" customFormat="1">
      <c r="A52" s="207" t="s">
        <v>1068</v>
      </c>
      <c r="C52"/>
      <c r="D52" s="241"/>
      <c r="E52" s="239"/>
      <c r="I52" s="217"/>
      <c r="K52" s="217"/>
    </row>
    <row r="53" spans="1:14" s="207" customFormat="1">
      <c r="A53" s="207" t="s">
        <v>1218</v>
      </c>
      <c r="C53"/>
      <c r="D53" s="241"/>
      <c r="E53" s="239"/>
      <c r="I53" s="217"/>
      <c r="K53" s="217"/>
    </row>
    <row r="54" spans="1:14">
      <c r="A54" s="207" t="s">
        <v>1219</v>
      </c>
      <c r="D54" s="241"/>
    </row>
    <row r="55" spans="1:14">
      <c r="D55" s="241"/>
      <c r="G55" s="125" t="s">
        <v>1297</v>
      </c>
      <c r="H55" s="207" t="s">
        <v>1191</v>
      </c>
      <c r="I55" s="227" t="s">
        <v>1372</v>
      </c>
      <c r="J55" s="207"/>
      <c r="K55" s="227" t="s">
        <v>1372</v>
      </c>
    </row>
    <row r="56" spans="1:14">
      <c r="A56" s="207" t="s">
        <v>676</v>
      </c>
      <c r="B56" s="125" t="s">
        <v>1210</v>
      </c>
      <c r="C56" s="207" t="s">
        <v>1211</v>
      </c>
      <c r="D56" s="239" t="s">
        <v>1070</v>
      </c>
      <c r="E56" s="240" t="s">
        <v>1088</v>
      </c>
      <c r="G56" s="125" t="s">
        <v>674</v>
      </c>
      <c r="H56" s="207" t="s">
        <v>997</v>
      </c>
      <c r="I56" s="218" t="s">
        <v>648</v>
      </c>
      <c r="J56" s="30"/>
      <c r="K56" s="218" t="s">
        <v>1315</v>
      </c>
    </row>
    <row r="57" spans="1:14">
      <c r="A57">
        <v>0.5</v>
      </c>
      <c r="B57" s="125">
        <f>A57/100</f>
        <v>5.0000000000000001E-3</v>
      </c>
      <c r="C57">
        <v>1.8</v>
      </c>
      <c r="D57" s="241">
        <f>(C57)*(10000000000)</f>
        <v>18000000000</v>
      </c>
      <c r="E57" s="240">
        <f>D57</f>
        <v>18000000000</v>
      </c>
      <c r="G57" s="125">
        <v>5.0000000000000001E-3</v>
      </c>
      <c r="H57" s="207">
        <v>40</v>
      </c>
      <c r="I57" s="218">
        <f>(H57*E57)/100</f>
        <v>7200000000</v>
      </c>
      <c r="J57" s="207">
        <v>1</v>
      </c>
      <c r="K57" s="218">
        <f>(J57*E57)/100</f>
        <v>180000000</v>
      </c>
      <c r="L57" s="216"/>
      <c r="M57" s="30"/>
      <c r="N57" s="30"/>
    </row>
    <row r="58" spans="1:14">
      <c r="A58">
        <v>1.5</v>
      </c>
      <c r="B58" s="125">
        <f t="shared" ref="B58:B69" si="11">A58/100</f>
        <v>1.4999999999999999E-2</v>
      </c>
      <c r="C58">
        <v>1.8</v>
      </c>
      <c r="D58" s="241">
        <f t="shared" ref="D58:D66" si="12">(C58)*(10000000000)</f>
        <v>18000000000</v>
      </c>
      <c r="E58" s="240">
        <f t="shared" ref="E58:E66" si="13">D58</f>
        <v>18000000000</v>
      </c>
      <c r="G58" s="125">
        <v>1.4999999999999999E-2</v>
      </c>
      <c r="H58" s="207">
        <v>17</v>
      </c>
      <c r="I58" s="218">
        <f t="shared" ref="I58:I66" si="14">(H58*E58)/100</f>
        <v>3060000000</v>
      </c>
      <c r="J58" s="207">
        <v>1</v>
      </c>
      <c r="K58" s="218">
        <f t="shared" ref="K58:K66" si="15">(J58*E58)/100</f>
        <v>180000000</v>
      </c>
      <c r="L58" s="30"/>
      <c r="M58" s="30"/>
      <c r="N58" s="30"/>
    </row>
    <row r="59" spans="1:14">
      <c r="A59">
        <v>2.5</v>
      </c>
      <c r="B59" s="125">
        <f t="shared" si="11"/>
        <v>2.5000000000000001E-2</v>
      </c>
      <c r="C59">
        <v>3.3</v>
      </c>
      <c r="D59" s="241">
        <f t="shared" si="12"/>
        <v>33000000000</v>
      </c>
      <c r="E59" s="240">
        <f t="shared" si="13"/>
        <v>33000000000</v>
      </c>
      <c r="G59" s="125">
        <v>2.5000000000000001E-2</v>
      </c>
      <c r="H59" s="207">
        <v>24</v>
      </c>
      <c r="I59" s="218">
        <f t="shared" si="14"/>
        <v>7920000000</v>
      </c>
      <c r="J59" s="207">
        <v>3</v>
      </c>
      <c r="K59" s="218">
        <f t="shared" si="15"/>
        <v>990000000</v>
      </c>
      <c r="L59" s="30"/>
      <c r="M59" s="30"/>
      <c r="N59" s="30"/>
    </row>
    <row r="60" spans="1:14">
      <c r="A60">
        <v>3.5</v>
      </c>
      <c r="B60" s="125">
        <f t="shared" si="11"/>
        <v>3.5000000000000003E-2</v>
      </c>
      <c r="C60">
        <v>4.2</v>
      </c>
      <c r="D60" s="241">
        <f t="shared" si="12"/>
        <v>42000000000</v>
      </c>
      <c r="E60" s="240">
        <f t="shared" si="13"/>
        <v>42000000000</v>
      </c>
      <c r="G60" s="125">
        <v>3.5000000000000003E-2</v>
      </c>
      <c r="H60" s="207">
        <v>15</v>
      </c>
      <c r="I60" s="218">
        <f t="shared" si="14"/>
        <v>6300000000</v>
      </c>
      <c r="J60" s="207">
        <v>1</v>
      </c>
      <c r="K60" s="218">
        <f t="shared" si="15"/>
        <v>420000000</v>
      </c>
      <c r="L60" s="30"/>
      <c r="M60" s="30"/>
      <c r="N60" s="30"/>
    </row>
    <row r="61" spans="1:14">
      <c r="A61">
        <v>4.5</v>
      </c>
      <c r="B61" s="125">
        <f t="shared" si="11"/>
        <v>4.4999999999999998E-2</v>
      </c>
      <c r="C61">
        <v>2.5</v>
      </c>
      <c r="D61" s="241">
        <f t="shared" si="12"/>
        <v>25000000000</v>
      </c>
      <c r="E61" s="240">
        <f t="shared" si="13"/>
        <v>25000000000</v>
      </c>
      <c r="G61" s="125">
        <v>4.4999999999999998E-2</v>
      </c>
      <c r="H61" s="207">
        <v>9</v>
      </c>
      <c r="I61" s="218">
        <f t="shared" si="14"/>
        <v>2250000000</v>
      </c>
      <c r="J61" s="207">
        <v>3</v>
      </c>
      <c r="K61" s="218">
        <f t="shared" si="15"/>
        <v>750000000</v>
      </c>
      <c r="L61" s="30"/>
      <c r="M61" s="30"/>
      <c r="N61" s="30"/>
    </row>
    <row r="62" spans="1:14">
      <c r="A62">
        <v>5.5</v>
      </c>
      <c r="B62" s="125">
        <f t="shared" si="11"/>
        <v>5.5E-2</v>
      </c>
      <c r="C62">
        <v>2.7</v>
      </c>
      <c r="D62" s="241">
        <f t="shared" si="12"/>
        <v>27000000000</v>
      </c>
      <c r="E62" s="240">
        <f t="shared" si="13"/>
        <v>27000000000</v>
      </c>
      <c r="G62" s="125">
        <v>5.5E-2</v>
      </c>
      <c r="H62" s="207">
        <v>14</v>
      </c>
      <c r="I62" s="218">
        <f t="shared" si="14"/>
        <v>3780000000</v>
      </c>
      <c r="J62" s="207">
        <v>4</v>
      </c>
      <c r="K62" s="218">
        <f t="shared" si="15"/>
        <v>1080000000</v>
      </c>
      <c r="L62" s="30"/>
      <c r="M62" s="30"/>
      <c r="N62" s="30"/>
    </row>
    <row r="63" spans="1:14">
      <c r="A63">
        <v>6.5</v>
      </c>
      <c r="B63" s="125">
        <f t="shared" si="11"/>
        <v>6.5000000000000002E-2</v>
      </c>
      <c r="C63">
        <v>1.8</v>
      </c>
      <c r="D63" s="241">
        <f t="shared" si="12"/>
        <v>18000000000</v>
      </c>
      <c r="E63" s="240">
        <f t="shared" si="13"/>
        <v>18000000000</v>
      </c>
      <c r="G63" s="125">
        <v>6.5000000000000002E-2</v>
      </c>
      <c r="H63" s="207">
        <v>7</v>
      </c>
      <c r="I63" s="218">
        <f t="shared" si="14"/>
        <v>1260000000</v>
      </c>
      <c r="J63" s="207">
        <v>9</v>
      </c>
      <c r="K63" s="218">
        <f t="shared" si="15"/>
        <v>1620000000</v>
      </c>
      <c r="L63" s="30"/>
      <c r="M63" s="30"/>
      <c r="N63" s="30"/>
    </row>
    <row r="64" spans="1:14">
      <c r="A64">
        <v>7.5</v>
      </c>
      <c r="B64" s="125">
        <f t="shared" si="11"/>
        <v>7.4999999999999997E-2</v>
      </c>
      <c r="C64">
        <v>1.3</v>
      </c>
      <c r="D64" s="241">
        <f t="shared" si="12"/>
        <v>13000000000</v>
      </c>
      <c r="E64" s="240">
        <f t="shared" si="13"/>
        <v>13000000000</v>
      </c>
      <c r="G64" s="125">
        <v>7.4999999999999997E-2</v>
      </c>
      <c r="H64" s="207">
        <v>8</v>
      </c>
      <c r="I64" s="218">
        <f t="shared" si="14"/>
        <v>1040000000</v>
      </c>
      <c r="J64" s="207">
        <v>25</v>
      </c>
      <c r="K64" s="218">
        <f t="shared" si="15"/>
        <v>3250000000</v>
      </c>
      <c r="L64" s="30"/>
      <c r="M64" s="30"/>
      <c r="N64" s="30"/>
    </row>
    <row r="65" spans="1:14">
      <c r="A65">
        <v>8.5</v>
      </c>
      <c r="B65" s="125">
        <f t="shared" si="11"/>
        <v>8.5000000000000006E-2</v>
      </c>
      <c r="C65">
        <v>0.5</v>
      </c>
      <c r="D65" s="241">
        <f t="shared" si="12"/>
        <v>5000000000</v>
      </c>
      <c r="E65" s="240">
        <f t="shared" si="13"/>
        <v>5000000000</v>
      </c>
      <c r="G65" s="125">
        <v>8.5000000000000006E-2</v>
      </c>
      <c r="H65" s="207">
        <v>7</v>
      </c>
      <c r="I65" s="218">
        <f t="shared" si="14"/>
        <v>350000000</v>
      </c>
      <c r="J65" s="207">
        <v>22</v>
      </c>
      <c r="K65" s="218">
        <f t="shared" si="15"/>
        <v>1100000000</v>
      </c>
      <c r="L65" s="30"/>
      <c r="M65" s="30"/>
      <c r="N65" s="30"/>
    </row>
    <row r="66" spans="1:14">
      <c r="A66">
        <v>9.5</v>
      </c>
      <c r="B66" s="125">
        <f t="shared" si="11"/>
        <v>9.5000000000000001E-2</v>
      </c>
      <c r="C66">
        <v>0.7</v>
      </c>
      <c r="D66" s="241">
        <f t="shared" si="12"/>
        <v>7000000000</v>
      </c>
      <c r="E66" s="240">
        <f t="shared" si="13"/>
        <v>7000000000</v>
      </c>
      <c r="G66" s="125">
        <v>9.5000000000000001E-2</v>
      </c>
      <c r="H66" s="207">
        <v>9</v>
      </c>
      <c r="I66" s="218">
        <f t="shared" si="14"/>
        <v>630000000</v>
      </c>
      <c r="J66" s="207">
        <v>18</v>
      </c>
      <c r="K66" s="218">
        <f t="shared" si="15"/>
        <v>1260000000</v>
      </c>
      <c r="L66" s="30"/>
      <c r="M66" s="30"/>
      <c r="N66" s="30"/>
    </row>
    <row r="67" spans="1:14">
      <c r="A67">
        <v>10.5</v>
      </c>
      <c r="B67" s="125">
        <f t="shared" si="11"/>
        <v>0.105</v>
      </c>
      <c r="C67" s="207" t="s">
        <v>583</v>
      </c>
      <c r="D67" s="241"/>
      <c r="E67" s="240"/>
      <c r="G67" s="125">
        <v>0.105</v>
      </c>
      <c r="H67" s="207" t="s">
        <v>1076</v>
      </c>
      <c r="I67" s="218"/>
      <c r="J67" s="207" t="s">
        <v>1076</v>
      </c>
      <c r="K67" s="218"/>
      <c r="L67" s="30"/>
      <c r="M67" s="30"/>
      <c r="N67" s="30"/>
    </row>
    <row r="68" spans="1:14">
      <c r="A68" s="214">
        <v>11.5</v>
      </c>
      <c r="B68" s="125">
        <f t="shared" si="11"/>
        <v>0.115</v>
      </c>
      <c r="C68" s="207" t="s">
        <v>583</v>
      </c>
      <c r="D68" s="241"/>
      <c r="E68" s="240"/>
      <c r="G68" s="125">
        <v>0.115</v>
      </c>
      <c r="H68" s="207" t="s">
        <v>1076</v>
      </c>
      <c r="I68" s="218"/>
      <c r="J68" s="207" t="s">
        <v>1076</v>
      </c>
      <c r="K68" s="218"/>
      <c r="L68" s="30"/>
      <c r="M68" s="30"/>
      <c r="N68" s="30"/>
    </row>
    <row r="69" spans="1:14">
      <c r="A69" s="214">
        <v>12.5</v>
      </c>
      <c r="B69" s="125">
        <f t="shared" si="11"/>
        <v>0.125</v>
      </c>
      <c r="C69" s="207" t="s">
        <v>583</v>
      </c>
      <c r="D69" s="241"/>
      <c r="E69" s="240"/>
      <c r="G69" s="30"/>
      <c r="H69" s="207"/>
      <c r="J69" s="207"/>
      <c r="L69" s="30"/>
      <c r="M69" s="30"/>
      <c r="N69" s="30"/>
    </row>
    <row r="70" spans="1:14">
      <c r="D70" s="241"/>
      <c r="G70" s="30"/>
      <c r="H70" s="30"/>
      <c r="I70" s="219"/>
      <c r="J70" s="30"/>
      <c r="K70" s="219"/>
      <c r="L70" s="30"/>
      <c r="M70" s="30"/>
      <c r="N70" s="30"/>
    </row>
    <row r="71" spans="1:14">
      <c r="G71" s="30"/>
      <c r="H71" s="207" t="s">
        <v>778</v>
      </c>
      <c r="J71" s="30"/>
      <c r="K71" s="219"/>
      <c r="L71" s="30"/>
      <c r="M71" s="30"/>
      <c r="N71" s="30"/>
    </row>
    <row r="72" spans="1:14">
      <c r="C72" s="207" t="s">
        <v>1083</v>
      </c>
      <c r="G72" s="30"/>
      <c r="H72" s="207"/>
      <c r="I72" s="217" t="s">
        <v>648</v>
      </c>
      <c r="J72" s="30"/>
      <c r="K72" s="219" t="s">
        <v>654</v>
      </c>
      <c r="L72" s="30"/>
      <c r="M72" s="30"/>
      <c r="N72" s="30"/>
    </row>
    <row r="73" spans="1:14">
      <c r="C73" s="207" t="s">
        <v>1084</v>
      </c>
      <c r="G73" s="30"/>
      <c r="H73" s="207"/>
      <c r="I73" s="217" t="s">
        <v>966</v>
      </c>
      <c r="J73" s="30"/>
      <c r="K73" s="219" t="s">
        <v>966</v>
      </c>
      <c r="L73" s="30"/>
      <c r="M73" s="30"/>
      <c r="N73" s="30"/>
    </row>
    <row r="74" spans="1:14">
      <c r="A74" s="207" t="s">
        <v>676</v>
      </c>
      <c r="B74" s="125" t="s">
        <v>1210</v>
      </c>
      <c r="C74" s="207" t="s">
        <v>1211</v>
      </c>
      <c r="D74" s="239" t="s">
        <v>1070</v>
      </c>
      <c r="E74" s="240" t="s">
        <v>1374</v>
      </c>
      <c r="G74" s="30" t="s">
        <v>1298</v>
      </c>
      <c r="H74" s="207"/>
      <c r="I74" s="227" t="s">
        <v>1372</v>
      </c>
      <c r="K74" s="227" t="s">
        <v>1372</v>
      </c>
    </row>
    <row r="75" spans="1:14">
      <c r="A75" s="207">
        <v>0.5</v>
      </c>
      <c r="B75" s="125">
        <f>A75/100</f>
        <v>5.0000000000000001E-3</v>
      </c>
      <c r="C75" s="207">
        <v>2.2999999999999998</v>
      </c>
      <c r="D75" s="239">
        <f>C75*(10000000000)</f>
        <v>23000000000</v>
      </c>
      <c r="E75" s="240">
        <f>D75</f>
        <v>23000000000</v>
      </c>
      <c r="G75" s="125">
        <v>5.0000000000000001E-3</v>
      </c>
      <c r="H75" s="207">
        <v>47</v>
      </c>
      <c r="I75" s="218">
        <f>(H75*E75)/100</f>
        <v>10810000000</v>
      </c>
      <c r="J75" s="207">
        <v>2</v>
      </c>
      <c r="K75" s="218">
        <f>(J75*E75)/100</f>
        <v>460000000</v>
      </c>
    </row>
    <row r="76" spans="1:14">
      <c r="A76" s="207">
        <v>1.5</v>
      </c>
      <c r="B76" s="125">
        <f t="shared" ref="B76:B87" si="16">A76/100</f>
        <v>1.4999999999999999E-2</v>
      </c>
      <c r="C76" s="207">
        <v>4.5999999999999996</v>
      </c>
      <c r="D76" s="239">
        <f t="shared" ref="D76:D87" si="17">C76*(10000000000)</f>
        <v>46000000000</v>
      </c>
      <c r="E76" s="240">
        <f t="shared" ref="E76:E87" si="18">D76</f>
        <v>46000000000</v>
      </c>
      <c r="G76" s="125">
        <v>1.4999999999999999E-2</v>
      </c>
      <c r="H76" s="207">
        <v>62</v>
      </c>
      <c r="I76" s="218">
        <f t="shared" ref="I76:I85" si="19">(H76*E76)/100</f>
        <v>28520000000</v>
      </c>
      <c r="J76" s="207" t="s">
        <v>1204</v>
      </c>
      <c r="K76" s="218">
        <f>(1*E76)/100</f>
        <v>460000000</v>
      </c>
    </row>
    <row r="77" spans="1:14">
      <c r="A77" s="207">
        <v>2.5</v>
      </c>
      <c r="B77" s="125">
        <f t="shared" si="16"/>
        <v>2.5000000000000001E-2</v>
      </c>
      <c r="C77" s="207">
        <v>2.1</v>
      </c>
      <c r="D77" s="239">
        <f t="shared" si="17"/>
        <v>21000000000</v>
      </c>
      <c r="E77" s="240">
        <f t="shared" si="18"/>
        <v>21000000000</v>
      </c>
      <c r="G77" s="125">
        <v>2.5000000000000001E-2</v>
      </c>
      <c r="H77" s="207">
        <v>39</v>
      </c>
      <c r="I77" s="218">
        <f t="shared" si="19"/>
        <v>8190000000</v>
      </c>
      <c r="J77" s="207">
        <v>1</v>
      </c>
      <c r="K77" s="218">
        <f t="shared" ref="K77:K86" si="20">(J77*E77)/100</f>
        <v>210000000</v>
      </c>
    </row>
    <row r="78" spans="1:14">
      <c r="A78" s="207">
        <v>3.5</v>
      </c>
      <c r="B78" s="125">
        <f t="shared" si="16"/>
        <v>3.5000000000000003E-2</v>
      </c>
      <c r="C78" s="207">
        <v>2.5</v>
      </c>
      <c r="D78" s="239">
        <f t="shared" si="17"/>
        <v>25000000000</v>
      </c>
      <c r="E78" s="240">
        <f t="shared" si="18"/>
        <v>25000000000</v>
      </c>
      <c r="G78" s="125">
        <v>3.5000000000000003E-2</v>
      </c>
      <c r="H78" s="207">
        <v>31</v>
      </c>
      <c r="I78" s="218">
        <f t="shared" si="19"/>
        <v>7750000000</v>
      </c>
      <c r="J78" s="207">
        <v>4</v>
      </c>
      <c r="K78" s="218">
        <f t="shared" si="20"/>
        <v>1000000000</v>
      </c>
    </row>
    <row r="79" spans="1:14">
      <c r="A79" s="207">
        <v>4.5</v>
      </c>
      <c r="B79" s="125">
        <f t="shared" si="16"/>
        <v>4.4999999999999998E-2</v>
      </c>
      <c r="C79" s="207">
        <v>2.1</v>
      </c>
      <c r="D79" s="239">
        <f t="shared" si="17"/>
        <v>21000000000</v>
      </c>
      <c r="E79" s="240">
        <f t="shared" si="18"/>
        <v>21000000000</v>
      </c>
      <c r="G79" s="125">
        <v>4.4999999999999998E-2</v>
      </c>
      <c r="H79" s="207">
        <v>30</v>
      </c>
      <c r="I79" s="218">
        <f t="shared" si="19"/>
        <v>6300000000</v>
      </c>
      <c r="J79" s="207">
        <v>4</v>
      </c>
      <c r="K79" s="218">
        <f t="shared" si="20"/>
        <v>840000000</v>
      </c>
    </row>
    <row r="80" spans="1:14">
      <c r="A80" s="207">
        <v>5.5</v>
      </c>
      <c r="B80" s="125">
        <f t="shared" si="16"/>
        <v>5.5E-2</v>
      </c>
      <c r="C80" s="207">
        <v>2.2000000000000002</v>
      </c>
      <c r="D80" s="239">
        <f t="shared" si="17"/>
        <v>22000000000</v>
      </c>
      <c r="E80" s="240">
        <f t="shared" si="18"/>
        <v>22000000000</v>
      </c>
      <c r="G80" s="125">
        <v>5.5E-2</v>
      </c>
      <c r="H80" s="207">
        <v>12</v>
      </c>
      <c r="I80" s="218">
        <f t="shared" si="19"/>
        <v>2640000000</v>
      </c>
      <c r="J80" s="207">
        <v>16</v>
      </c>
      <c r="K80" s="218">
        <f t="shared" si="20"/>
        <v>3520000000</v>
      </c>
    </row>
    <row r="81" spans="1:11">
      <c r="A81" s="207">
        <v>6.5</v>
      </c>
      <c r="B81" s="125">
        <f t="shared" si="16"/>
        <v>6.5000000000000002E-2</v>
      </c>
      <c r="C81" s="207">
        <v>2.2999999999999998</v>
      </c>
      <c r="D81" s="239">
        <f t="shared" si="17"/>
        <v>23000000000</v>
      </c>
      <c r="E81" s="240">
        <f t="shared" si="18"/>
        <v>23000000000</v>
      </c>
      <c r="G81" s="125">
        <v>6.5000000000000002E-2</v>
      </c>
      <c r="H81" s="207">
        <v>6</v>
      </c>
      <c r="I81" s="218">
        <f t="shared" si="19"/>
        <v>1380000000</v>
      </c>
      <c r="J81" s="207">
        <v>13</v>
      </c>
      <c r="K81" s="218">
        <f t="shared" si="20"/>
        <v>2990000000</v>
      </c>
    </row>
    <row r="82" spans="1:11">
      <c r="A82" s="207">
        <v>7.5</v>
      </c>
      <c r="B82" s="125">
        <f t="shared" si="16"/>
        <v>7.4999999999999997E-2</v>
      </c>
      <c r="C82" s="207">
        <v>3.1</v>
      </c>
      <c r="D82" s="239">
        <f t="shared" si="17"/>
        <v>31000000000</v>
      </c>
      <c r="E82" s="240">
        <f t="shared" si="18"/>
        <v>31000000000</v>
      </c>
      <c r="G82" s="125">
        <v>7.4999999999999997E-2</v>
      </c>
      <c r="H82" s="207">
        <v>5</v>
      </c>
      <c r="I82" s="218">
        <f t="shared" si="19"/>
        <v>1550000000</v>
      </c>
      <c r="J82" s="207">
        <v>15</v>
      </c>
      <c r="K82" s="218">
        <f t="shared" si="20"/>
        <v>4650000000</v>
      </c>
    </row>
    <row r="83" spans="1:11">
      <c r="A83" s="207">
        <v>8.5</v>
      </c>
      <c r="B83" s="125">
        <f t="shared" si="16"/>
        <v>8.5000000000000006E-2</v>
      </c>
      <c r="C83" s="207">
        <v>4.3</v>
      </c>
      <c r="D83" s="239">
        <f t="shared" si="17"/>
        <v>43000000000</v>
      </c>
      <c r="E83" s="240">
        <f t="shared" si="18"/>
        <v>43000000000</v>
      </c>
      <c r="G83" s="125">
        <v>8.5000000000000006E-2</v>
      </c>
      <c r="H83" s="207">
        <v>3</v>
      </c>
      <c r="I83" s="218">
        <f t="shared" si="19"/>
        <v>1290000000</v>
      </c>
      <c r="J83" s="207">
        <v>12</v>
      </c>
      <c r="K83" s="218">
        <f t="shared" si="20"/>
        <v>5160000000</v>
      </c>
    </row>
    <row r="84" spans="1:11">
      <c r="A84" s="207">
        <v>9.5</v>
      </c>
      <c r="B84" s="125">
        <f t="shared" si="16"/>
        <v>9.5000000000000001E-2</v>
      </c>
      <c r="C84" s="207">
        <v>2.2000000000000002</v>
      </c>
      <c r="D84" s="239">
        <f t="shared" si="17"/>
        <v>22000000000</v>
      </c>
      <c r="E84" s="240">
        <f t="shared" si="18"/>
        <v>22000000000</v>
      </c>
      <c r="G84" s="125">
        <v>9.5000000000000001E-2</v>
      </c>
      <c r="H84" s="207">
        <v>2</v>
      </c>
      <c r="I84" s="218">
        <f t="shared" si="19"/>
        <v>440000000</v>
      </c>
      <c r="J84" s="207">
        <v>19</v>
      </c>
      <c r="K84" s="218">
        <f t="shared" si="20"/>
        <v>4180000000</v>
      </c>
    </row>
    <row r="85" spans="1:11">
      <c r="A85" s="207">
        <v>10.5</v>
      </c>
      <c r="B85" s="125">
        <f t="shared" si="16"/>
        <v>0.105</v>
      </c>
      <c r="C85" s="207">
        <v>1</v>
      </c>
      <c r="D85" s="239">
        <f t="shared" si="17"/>
        <v>10000000000</v>
      </c>
      <c r="E85" s="240">
        <f t="shared" si="18"/>
        <v>10000000000</v>
      </c>
      <c r="G85" s="125">
        <v>0.105</v>
      </c>
      <c r="H85" s="207">
        <v>1</v>
      </c>
      <c r="I85" s="218">
        <f t="shared" si="19"/>
        <v>100000000</v>
      </c>
      <c r="J85" s="207">
        <v>22</v>
      </c>
      <c r="K85" s="218">
        <f t="shared" si="20"/>
        <v>2200000000</v>
      </c>
    </row>
    <row r="86" spans="1:11">
      <c r="A86" s="214">
        <v>11.5</v>
      </c>
      <c r="B86" s="125">
        <f t="shared" si="16"/>
        <v>0.115</v>
      </c>
      <c r="C86" s="207">
        <v>1.7</v>
      </c>
      <c r="D86" s="239">
        <f t="shared" si="17"/>
        <v>17000000000</v>
      </c>
      <c r="E86" s="240">
        <f t="shared" si="18"/>
        <v>17000000000</v>
      </c>
      <c r="G86" s="125">
        <v>0.115</v>
      </c>
      <c r="H86" s="207" t="s">
        <v>1076</v>
      </c>
      <c r="I86" s="219"/>
      <c r="J86" s="207">
        <v>26</v>
      </c>
      <c r="K86" s="218">
        <f t="shared" si="20"/>
        <v>4420000000</v>
      </c>
    </row>
    <row r="87" spans="1:11">
      <c r="A87" s="214">
        <v>12.5</v>
      </c>
      <c r="B87" s="125">
        <f t="shared" si="16"/>
        <v>0.125</v>
      </c>
      <c r="C87" s="207">
        <v>1.1000000000000001</v>
      </c>
      <c r="D87" s="239">
        <f t="shared" si="17"/>
        <v>11000000000</v>
      </c>
      <c r="E87" s="240">
        <f t="shared" si="18"/>
        <v>11000000000</v>
      </c>
    </row>
    <row r="88" spans="1:11">
      <c r="C88" s="210" t="s">
        <v>1137</v>
      </c>
    </row>
    <row r="89" spans="1:11">
      <c r="C89" s="207" t="s">
        <v>1074</v>
      </c>
      <c r="G89" s="207" t="s">
        <v>1299</v>
      </c>
      <c r="I89" s="218" t="s">
        <v>1200</v>
      </c>
      <c r="K89" s="218" t="s">
        <v>1315</v>
      </c>
    </row>
    <row r="90" spans="1:11">
      <c r="A90" s="207" t="s">
        <v>676</v>
      </c>
      <c r="B90" s="125" t="s">
        <v>1210</v>
      </c>
      <c r="C90" s="207" t="s">
        <v>1075</v>
      </c>
      <c r="D90" s="239" t="s">
        <v>1135</v>
      </c>
      <c r="E90" s="240" t="s">
        <v>1088</v>
      </c>
      <c r="G90" s="30"/>
      <c r="H90" s="207"/>
      <c r="I90" s="218" t="s">
        <v>1201</v>
      </c>
      <c r="K90" s="218" t="s">
        <v>966</v>
      </c>
    </row>
    <row r="91" spans="1:11">
      <c r="A91" s="207">
        <v>0.5</v>
      </c>
      <c r="B91" s="125">
        <f>A91/100</f>
        <v>5.0000000000000001E-3</v>
      </c>
      <c r="C91" s="207">
        <v>0.2</v>
      </c>
      <c r="D91" s="239">
        <f>C91*(10000000000)</f>
        <v>2000000000</v>
      </c>
      <c r="E91" s="240">
        <f>D91</f>
        <v>2000000000</v>
      </c>
      <c r="G91" s="125">
        <v>5.0000000000000001E-3</v>
      </c>
      <c r="H91" s="207">
        <v>16</v>
      </c>
      <c r="I91" s="218">
        <f>(H91*E91)/100</f>
        <v>320000000</v>
      </c>
      <c r="J91" s="207">
        <v>0</v>
      </c>
      <c r="K91" s="218">
        <f>(J91*E91)/100</f>
        <v>0</v>
      </c>
    </row>
    <row r="92" spans="1:11">
      <c r="A92" s="207">
        <v>1.5</v>
      </c>
      <c r="B92" s="125">
        <f t="shared" ref="B92:B103" si="21">A92/100</f>
        <v>1.4999999999999999E-2</v>
      </c>
      <c r="C92" s="207">
        <v>0.1</v>
      </c>
      <c r="D92" s="239">
        <f t="shared" ref="D92:D100" si="22">C92*(10000000000)</f>
        <v>1000000000</v>
      </c>
      <c r="E92" s="240">
        <f t="shared" ref="E92:E100" si="23">D92</f>
        <v>1000000000</v>
      </c>
      <c r="G92" s="125">
        <v>1.4999999999999999E-2</v>
      </c>
      <c r="H92" s="207">
        <v>13</v>
      </c>
      <c r="I92" s="218">
        <f t="shared" ref="I92:I102" si="24">(H92*E92)/100</f>
        <v>130000000</v>
      </c>
      <c r="J92" s="207">
        <v>0</v>
      </c>
      <c r="K92" s="218">
        <f t="shared" ref="K92:K100" si="25">(J92*E92)/100</f>
        <v>0</v>
      </c>
    </row>
    <row r="93" spans="1:11">
      <c r="A93" s="207">
        <v>2.5</v>
      </c>
      <c r="B93" s="125">
        <f t="shared" si="21"/>
        <v>2.5000000000000001E-2</v>
      </c>
      <c r="C93" s="207">
        <v>0.2</v>
      </c>
      <c r="D93" s="239">
        <f t="shared" si="22"/>
        <v>2000000000</v>
      </c>
      <c r="E93" s="240">
        <f t="shared" si="23"/>
        <v>2000000000</v>
      </c>
      <c r="G93" s="125">
        <v>2.5000000000000001E-2</v>
      </c>
      <c r="H93" s="207">
        <v>12</v>
      </c>
      <c r="I93" s="218">
        <f t="shared" si="24"/>
        <v>240000000</v>
      </c>
      <c r="J93" s="207" t="s">
        <v>1205</v>
      </c>
      <c r="K93" s="227">
        <f>(0.5*E93)/100</f>
        <v>10000000</v>
      </c>
    </row>
    <row r="94" spans="1:11">
      <c r="A94" s="207">
        <v>3.5</v>
      </c>
      <c r="B94" s="125">
        <f t="shared" si="21"/>
        <v>3.5000000000000003E-2</v>
      </c>
      <c r="C94" s="207">
        <v>0.1</v>
      </c>
      <c r="D94" s="239">
        <f t="shared" si="22"/>
        <v>1000000000</v>
      </c>
      <c r="E94" s="240">
        <f t="shared" si="23"/>
        <v>1000000000</v>
      </c>
      <c r="G94" s="125">
        <v>3.5000000000000003E-2</v>
      </c>
      <c r="H94" s="207">
        <v>15</v>
      </c>
      <c r="I94" s="218">
        <f t="shared" si="24"/>
        <v>150000000</v>
      </c>
      <c r="J94" s="207">
        <v>0</v>
      </c>
      <c r="K94" s="218">
        <f t="shared" si="25"/>
        <v>0</v>
      </c>
    </row>
    <row r="95" spans="1:11">
      <c r="A95" s="207">
        <v>4.5</v>
      </c>
      <c r="B95" s="125">
        <f t="shared" si="21"/>
        <v>4.4999999999999998E-2</v>
      </c>
      <c r="C95" s="207">
        <v>0.6</v>
      </c>
      <c r="D95" s="239">
        <f t="shared" si="22"/>
        <v>6000000000</v>
      </c>
      <c r="E95" s="240">
        <f t="shared" si="23"/>
        <v>6000000000</v>
      </c>
      <c r="G95" s="125">
        <v>4.4999999999999998E-2</v>
      </c>
      <c r="H95" s="207">
        <v>13</v>
      </c>
      <c r="I95" s="218">
        <f t="shared" si="24"/>
        <v>780000000</v>
      </c>
      <c r="J95" s="207">
        <v>2</v>
      </c>
      <c r="K95" s="218">
        <f t="shared" si="25"/>
        <v>120000000</v>
      </c>
    </row>
    <row r="96" spans="1:11">
      <c r="A96" s="207">
        <v>5.5</v>
      </c>
      <c r="B96" s="125">
        <f t="shared" si="21"/>
        <v>5.5E-2</v>
      </c>
      <c r="C96" s="207">
        <v>0.5</v>
      </c>
      <c r="D96" s="239">
        <f t="shared" si="22"/>
        <v>5000000000</v>
      </c>
      <c r="E96" s="240">
        <f t="shared" si="23"/>
        <v>5000000000</v>
      </c>
      <c r="G96" s="125">
        <v>5.5E-2</v>
      </c>
      <c r="H96" s="207">
        <v>10</v>
      </c>
      <c r="I96" s="218">
        <f t="shared" si="24"/>
        <v>500000000</v>
      </c>
      <c r="J96" s="207">
        <v>2</v>
      </c>
      <c r="K96" s="218">
        <f t="shared" si="25"/>
        <v>100000000</v>
      </c>
    </row>
    <row r="97" spans="1:11">
      <c r="A97" s="207">
        <v>6.5</v>
      </c>
      <c r="B97" s="125">
        <f t="shared" si="21"/>
        <v>6.5000000000000002E-2</v>
      </c>
      <c r="C97" s="207">
        <v>0.2</v>
      </c>
      <c r="D97" s="239">
        <f t="shared" si="22"/>
        <v>2000000000</v>
      </c>
      <c r="E97" s="240">
        <f t="shared" si="23"/>
        <v>2000000000</v>
      </c>
      <c r="G97" s="125">
        <v>6.5000000000000002E-2</v>
      </c>
      <c r="H97" s="207">
        <v>12</v>
      </c>
      <c r="I97" s="218">
        <f t="shared" si="24"/>
        <v>240000000</v>
      </c>
      <c r="J97" s="207">
        <v>2</v>
      </c>
      <c r="K97" s="218">
        <f t="shared" si="25"/>
        <v>40000000</v>
      </c>
    </row>
    <row r="98" spans="1:11">
      <c r="A98" s="207">
        <v>7.5</v>
      </c>
      <c r="B98" s="125">
        <f t="shared" si="21"/>
        <v>7.4999999999999997E-2</v>
      </c>
      <c r="C98" s="207">
        <v>0.2</v>
      </c>
      <c r="D98" s="239">
        <f t="shared" si="22"/>
        <v>2000000000</v>
      </c>
      <c r="E98" s="240">
        <f t="shared" si="23"/>
        <v>2000000000</v>
      </c>
      <c r="G98" s="125">
        <v>7.4999999999999997E-2</v>
      </c>
      <c r="H98" s="207">
        <v>6</v>
      </c>
      <c r="I98" s="218">
        <f t="shared" si="24"/>
        <v>120000000</v>
      </c>
      <c r="J98" s="207">
        <v>2</v>
      </c>
      <c r="K98" s="218">
        <f t="shared" si="25"/>
        <v>40000000</v>
      </c>
    </row>
    <row r="99" spans="1:11">
      <c r="A99" s="207">
        <v>8.5</v>
      </c>
      <c r="B99" s="125">
        <f t="shared" si="21"/>
        <v>8.5000000000000006E-2</v>
      </c>
      <c r="C99" s="207">
        <v>0.5</v>
      </c>
      <c r="D99" s="239">
        <f t="shared" si="22"/>
        <v>5000000000</v>
      </c>
      <c r="E99" s="240">
        <f t="shared" si="23"/>
        <v>5000000000</v>
      </c>
      <c r="G99" s="125">
        <v>8.5000000000000006E-2</v>
      </c>
      <c r="H99" s="207">
        <v>12</v>
      </c>
      <c r="I99" s="218">
        <f t="shared" si="24"/>
        <v>600000000</v>
      </c>
      <c r="J99" s="207">
        <v>4</v>
      </c>
      <c r="K99" s="218">
        <f t="shared" si="25"/>
        <v>200000000</v>
      </c>
    </row>
    <row r="100" spans="1:11">
      <c r="A100" s="207">
        <v>9.5</v>
      </c>
      <c r="B100" s="125">
        <f t="shared" si="21"/>
        <v>9.5000000000000001E-2</v>
      </c>
      <c r="C100" s="207">
        <v>0.3</v>
      </c>
      <c r="D100" s="239">
        <f t="shared" si="22"/>
        <v>3000000000</v>
      </c>
      <c r="E100" s="240">
        <f t="shared" si="23"/>
        <v>3000000000</v>
      </c>
      <c r="G100" s="125">
        <v>9.5000000000000001E-2</v>
      </c>
      <c r="H100" s="207">
        <v>12</v>
      </c>
      <c r="I100" s="218">
        <f t="shared" si="24"/>
        <v>360000000</v>
      </c>
      <c r="J100" s="207">
        <v>3</v>
      </c>
      <c r="K100" s="218">
        <f t="shared" si="25"/>
        <v>90000000</v>
      </c>
    </row>
    <row r="101" spans="1:11">
      <c r="A101" s="207">
        <v>10.5</v>
      </c>
      <c r="B101" s="125">
        <f t="shared" si="21"/>
        <v>0.105</v>
      </c>
      <c r="C101" s="207" t="s">
        <v>1081</v>
      </c>
      <c r="E101" s="240"/>
      <c r="G101" s="125">
        <v>0.105</v>
      </c>
      <c r="H101" s="207" t="s">
        <v>1076</v>
      </c>
      <c r="I101" s="218" t="e">
        <f t="shared" si="24"/>
        <v>#VALUE!</v>
      </c>
      <c r="J101" s="207" t="s">
        <v>1076</v>
      </c>
      <c r="K101" s="218"/>
    </row>
    <row r="102" spans="1:11">
      <c r="A102" s="214">
        <v>11.5</v>
      </c>
      <c r="B102" s="125">
        <f t="shared" si="21"/>
        <v>0.115</v>
      </c>
      <c r="C102" s="207" t="s">
        <v>583</v>
      </c>
      <c r="E102" s="240"/>
      <c r="G102" s="125">
        <v>0.115</v>
      </c>
      <c r="H102" s="207" t="s">
        <v>1076</v>
      </c>
      <c r="I102" s="218" t="e">
        <f t="shared" si="24"/>
        <v>#VALUE!</v>
      </c>
      <c r="J102" s="207" t="s">
        <v>1076</v>
      </c>
      <c r="K102" s="218"/>
    </row>
    <row r="103" spans="1:11">
      <c r="A103" s="214">
        <v>12.5</v>
      </c>
      <c r="B103" s="125">
        <f t="shared" si="21"/>
        <v>0.125</v>
      </c>
      <c r="C103" s="207" t="s">
        <v>583</v>
      </c>
      <c r="E103" s="240"/>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8"/>
  <sheetViews>
    <sheetView workbookViewId="0">
      <selection activeCell="E10" sqref="E10"/>
    </sheetView>
  </sheetViews>
  <sheetFormatPr baseColWidth="10" defaultRowHeight="13" x14ac:dyDescent="0"/>
  <sheetData>
    <row r="1" spans="1:11">
      <c r="A1" t="s">
        <v>188</v>
      </c>
    </row>
    <row r="2" spans="1:11">
      <c r="A2" t="s">
        <v>116</v>
      </c>
    </row>
    <row r="3" spans="1:11">
      <c r="A3" t="s">
        <v>117</v>
      </c>
    </row>
    <row r="4" spans="1:11">
      <c r="B4" t="s">
        <v>166</v>
      </c>
      <c r="D4" t="s">
        <v>440</v>
      </c>
    </row>
    <row r="5" spans="1:11">
      <c r="A5" s="306"/>
      <c r="B5" t="s">
        <v>864</v>
      </c>
      <c r="C5" t="s">
        <v>187</v>
      </c>
      <c r="D5" t="s">
        <v>185</v>
      </c>
      <c r="E5" t="s">
        <v>186</v>
      </c>
      <c r="F5" t="s">
        <v>439</v>
      </c>
      <c r="G5" s="311" t="s">
        <v>1430</v>
      </c>
      <c r="H5" t="s">
        <v>118</v>
      </c>
      <c r="I5" t="s">
        <v>144</v>
      </c>
      <c r="J5" t="s">
        <v>146</v>
      </c>
    </row>
    <row r="6" spans="1:11">
      <c r="A6" s="306" t="s">
        <v>167</v>
      </c>
      <c r="B6">
        <v>1.4999999999999999E-2</v>
      </c>
      <c r="C6" s="320">
        <v>5631541218.63799</v>
      </c>
      <c r="D6" s="320">
        <v>1114979166.6666701</v>
      </c>
      <c r="E6" s="320">
        <v>1140552083.3333299</v>
      </c>
      <c r="F6" s="303">
        <v>6.0681776999999997</v>
      </c>
      <c r="G6" s="301">
        <f>D6+E6</f>
        <v>2255531250</v>
      </c>
      <c r="H6" s="313">
        <v>0.55000000000000004</v>
      </c>
      <c r="I6" t="s">
        <v>145</v>
      </c>
      <c r="J6" t="s">
        <v>119</v>
      </c>
      <c r="K6" s="181">
        <f>E6/G6</f>
        <v>0.5056689342403613</v>
      </c>
    </row>
    <row r="7" spans="1:11">
      <c r="A7" s="306" t="s">
        <v>168</v>
      </c>
      <c r="B7">
        <v>4.4999999999999998E-2</v>
      </c>
      <c r="C7" s="320">
        <v>2286218750</v>
      </c>
      <c r="D7" s="320">
        <v>506343750</v>
      </c>
      <c r="E7" s="320">
        <v>854135416.66666698</v>
      </c>
      <c r="F7" s="303">
        <v>6.0808878000000002</v>
      </c>
      <c r="G7" s="301">
        <f t="shared" ref="G7:G28" si="0">D7+E7</f>
        <v>1360479166.666667</v>
      </c>
      <c r="H7" s="313">
        <v>0.55000000000000004</v>
      </c>
      <c r="I7" s="312" t="s">
        <v>145</v>
      </c>
      <c r="J7" s="312" t="s">
        <v>119</v>
      </c>
      <c r="K7" s="181">
        <f t="shared" ref="K7:K28" si="1">E7/G7</f>
        <v>0.6278195488721805</v>
      </c>
    </row>
    <row r="8" spans="1:11">
      <c r="A8" s="306" t="s">
        <v>169</v>
      </c>
      <c r="B8">
        <v>7.4999999999999997E-2</v>
      </c>
      <c r="C8" s="320">
        <v>1278645833.3333299</v>
      </c>
      <c r="D8" s="320">
        <v>818333333.33333302</v>
      </c>
      <c r="E8" s="320">
        <v>685354166.66666698</v>
      </c>
      <c r="F8" s="303">
        <v>5.3470830999999999</v>
      </c>
      <c r="G8" s="301">
        <f t="shared" si="0"/>
        <v>1503687500</v>
      </c>
      <c r="H8" s="313">
        <v>0.55000000000000004</v>
      </c>
      <c r="I8" s="312" t="s">
        <v>145</v>
      </c>
      <c r="J8" s="312" t="s">
        <v>119</v>
      </c>
      <c r="K8" s="181"/>
    </row>
    <row r="9" spans="1:11">
      <c r="A9" s="306" t="s">
        <v>170</v>
      </c>
      <c r="B9">
        <v>0.105</v>
      </c>
      <c r="C9" s="320">
        <v>1462770833.3333299</v>
      </c>
      <c r="D9" s="320">
        <v>623979166.66666698</v>
      </c>
      <c r="E9" s="320">
        <v>567718750</v>
      </c>
      <c r="F9" s="303">
        <v>5.8016323999999999</v>
      </c>
      <c r="G9" s="301">
        <f t="shared" si="0"/>
        <v>1191697916.666667</v>
      </c>
      <c r="H9" s="313">
        <v>0.55000000000000004</v>
      </c>
      <c r="I9" s="312" t="s">
        <v>145</v>
      </c>
      <c r="J9" s="312" t="s">
        <v>119</v>
      </c>
      <c r="K9" s="181"/>
    </row>
    <row r="10" spans="1:11">
      <c r="A10" s="306" t="s">
        <v>184</v>
      </c>
      <c r="B10">
        <v>0.13500000000000001</v>
      </c>
      <c r="C10" s="320">
        <v>1242843750</v>
      </c>
      <c r="D10" s="320">
        <v>491000000</v>
      </c>
      <c r="E10" s="320">
        <v>327333333.33333302</v>
      </c>
      <c r="F10" s="303">
        <v>5.8307877000000001</v>
      </c>
      <c r="G10" s="301">
        <f t="shared" si="0"/>
        <v>818333333.33333302</v>
      </c>
      <c r="H10" s="313">
        <v>0.55000000000000004</v>
      </c>
      <c r="I10" s="312" t="s">
        <v>145</v>
      </c>
      <c r="J10" s="312" t="s">
        <v>119</v>
      </c>
      <c r="K10" s="181">
        <f t="shared" si="1"/>
        <v>0.39999999999999974</v>
      </c>
    </row>
    <row r="11" spans="1:11">
      <c r="A11" s="303" t="s">
        <v>171</v>
      </c>
      <c r="B11">
        <v>0.16500000000000001</v>
      </c>
      <c r="C11" s="320">
        <v>1002458333.33333</v>
      </c>
      <c r="D11" s="320">
        <v>577947916.66666698</v>
      </c>
      <c r="E11" s="320">
        <v>644437500</v>
      </c>
      <c r="F11" s="303">
        <v>4.7050495000000003</v>
      </c>
      <c r="G11" s="301">
        <f t="shared" si="0"/>
        <v>1222385416.666667</v>
      </c>
      <c r="H11" s="313">
        <v>0.55000000000000004</v>
      </c>
      <c r="I11" s="312" t="s">
        <v>145</v>
      </c>
      <c r="J11" s="312" t="s">
        <v>119</v>
      </c>
      <c r="K11" s="181">
        <f t="shared" si="1"/>
        <v>0.52719665271966509</v>
      </c>
    </row>
    <row r="12" spans="1:11">
      <c r="A12" s="303" t="s">
        <v>172</v>
      </c>
      <c r="B12">
        <v>0.19500000000000001</v>
      </c>
      <c r="C12" s="320">
        <v>1048489583.33333</v>
      </c>
      <c r="D12" s="320">
        <v>475656250</v>
      </c>
      <c r="E12" s="320">
        <v>424510416.66666698</v>
      </c>
      <c r="F12" s="303">
        <v>4.5960035000000001</v>
      </c>
      <c r="G12" s="301">
        <f t="shared" si="0"/>
        <v>900166666.66666698</v>
      </c>
      <c r="H12" s="313">
        <v>0.55000000000000004</v>
      </c>
      <c r="I12" s="312" t="s">
        <v>145</v>
      </c>
      <c r="J12" s="312" t="s">
        <v>119</v>
      </c>
      <c r="K12" s="181">
        <f t="shared" si="1"/>
        <v>0.47159090909090928</v>
      </c>
    </row>
    <row r="13" spans="1:11">
      <c r="A13" s="303" t="s">
        <v>173</v>
      </c>
      <c r="B13">
        <v>0.22500000000000001</v>
      </c>
      <c r="C13" s="320">
        <v>1012687500</v>
      </c>
      <c r="D13" s="320">
        <v>358020833.33333302</v>
      </c>
      <c r="E13" s="320">
        <v>567718750</v>
      </c>
      <c r="F13" s="303">
        <v>4.0674777000000004</v>
      </c>
      <c r="G13" s="301">
        <f t="shared" si="0"/>
        <v>925739583.33333302</v>
      </c>
      <c r="H13" s="313">
        <v>0.55000000000000004</v>
      </c>
      <c r="I13" s="312" t="s">
        <v>145</v>
      </c>
      <c r="J13" s="312" t="s">
        <v>119</v>
      </c>
      <c r="K13" s="181">
        <f t="shared" si="1"/>
        <v>0.6132596685082875</v>
      </c>
    </row>
    <row r="14" spans="1:11">
      <c r="A14" s="303" t="s">
        <v>174</v>
      </c>
      <c r="B14">
        <v>0.255</v>
      </c>
      <c r="C14" s="320">
        <v>859250000</v>
      </c>
      <c r="D14" s="320">
        <v>378479166.66666698</v>
      </c>
      <c r="E14" s="320">
        <v>414281250</v>
      </c>
      <c r="F14" s="303">
        <v>3.6536523999999999</v>
      </c>
      <c r="G14" s="301">
        <f t="shared" si="0"/>
        <v>792760416.66666698</v>
      </c>
      <c r="H14" s="313">
        <v>0.55000000000000004</v>
      </c>
      <c r="I14" s="312" t="s">
        <v>145</v>
      </c>
      <c r="J14" s="312" t="s">
        <v>119</v>
      </c>
      <c r="K14" s="181">
        <f t="shared" si="1"/>
        <v>0.5225806451612901</v>
      </c>
    </row>
    <row r="15" spans="1:11">
      <c r="A15" s="303" t="s">
        <v>175</v>
      </c>
      <c r="B15">
        <v>0.315</v>
      </c>
      <c r="C15" s="320">
        <v>716041666.66666698</v>
      </c>
      <c r="D15" s="320">
        <v>424510416.66666698</v>
      </c>
      <c r="E15" s="320">
        <v>352906250</v>
      </c>
      <c r="F15" s="303">
        <v>2.8966067</v>
      </c>
      <c r="G15" s="301">
        <f t="shared" si="0"/>
        <v>777416666.66666698</v>
      </c>
      <c r="H15" s="313">
        <v>0.55000000000000004</v>
      </c>
      <c r="I15" s="312" t="s">
        <v>145</v>
      </c>
      <c r="J15" s="312" t="s">
        <v>119</v>
      </c>
      <c r="K15" s="181">
        <f t="shared" si="1"/>
        <v>0.45394736842105243</v>
      </c>
    </row>
    <row r="16" spans="1:11">
      <c r="A16" s="303" t="s">
        <v>176</v>
      </c>
      <c r="B16">
        <v>0.34499999999999997</v>
      </c>
      <c r="C16" s="320">
        <v>716041666.66666698</v>
      </c>
      <c r="D16" s="320">
        <v>577947916.66666698</v>
      </c>
      <c r="E16" s="320">
        <v>465427083.33333302</v>
      </c>
      <c r="F16" s="303">
        <v>2.4057955999999998</v>
      </c>
      <c r="G16" s="301">
        <f t="shared" si="0"/>
        <v>1043375000</v>
      </c>
      <c r="H16" s="313">
        <v>0.55000000000000004</v>
      </c>
      <c r="I16" s="312" t="s">
        <v>145</v>
      </c>
      <c r="J16" s="312" t="s">
        <v>119</v>
      </c>
      <c r="K16" s="181">
        <f t="shared" si="1"/>
        <v>0.44607843137254871</v>
      </c>
    </row>
    <row r="17" spans="1:11">
      <c r="A17" s="303" t="s">
        <v>177</v>
      </c>
      <c r="B17">
        <v>0.375</v>
      </c>
      <c r="C17" s="320">
        <v>966656250</v>
      </c>
      <c r="D17" s="320">
        <v>491000000</v>
      </c>
      <c r="E17" s="320">
        <v>629093750</v>
      </c>
      <c r="F17" s="303">
        <v>1.8088952</v>
      </c>
      <c r="G17" s="301">
        <f t="shared" si="0"/>
        <v>1120093750</v>
      </c>
      <c r="H17" s="313">
        <v>0.55000000000000004</v>
      </c>
      <c r="I17" s="312" t="s">
        <v>145</v>
      </c>
      <c r="J17" s="312" t="s">
        <v>119</v>
      </c>
      <c r="K17" s="181">
        <f t="shared" si="1"/>
        <v>0.56164383561643838</v>
      </c>
    </row>
    <row r="18" spans="1:11">
      <c r="A18" s="303" t="s">
        <v>178</v>
      </c>
      <c r="B18">
        <v>0.40500000000000003</v>
      </c>
      <c r="C18" s="320">
        <v>690468750</v>
      </c>
      <c r="D18" s="320">
        <v>439854166.66666698</v>
      </c>
      <c r="E18" s="320">
        <v>521687500</v>
      </c>
      <c r="F18" s="303">
        <v>1.3083309999999999</v>
      </c>
      <c r="G18" s="301">
        <f t="shared" si="0"/>
        <v>961541666.66666698</v>
      </c>
      <c r="H18" s="313">
        <v>0.55000000000000004</v>
      </c>
      <c r="I18" s="312" t="s">
        <v>145</v>
      </c>
      <c r="J18" s="312" t="s">
        <v>119</v>
      </c>
      <c r="K18" s="181">
        <f t="shared" si="1"/>
        <v>0.54255319148936154</v>
      </c>
    </row>
    <row r="19" spans="1:11">
      <c r="A19" s="303" t="s">
        <v>338</v>
      </c>
      <c r="B19">
        <v>0.435</v>
      </c>
      <c r="C19" s="320">
        <v>649552083.33333302</v>
      </c>
      <c r="D19" s="320">
        <v>373364583.33333302</v>
      </c>
      <c r="E19" s="320">
        <v>311989583.33333302</v>
      </c>
      <c r="F19" s="303">
        <v>0.91219592000000005</v>
      </c>
      <c r="G19" s="301">
        <f t="shared" si="0"/>
        <v>685354166.66666603</v>
      </c>
      <c r="H19" s="313">
        <v>0.55000000000000004</v>
      </c>
      <c r="I19" s="312" t="s">
        <v>145</v>
      </c>
      <c r="J19" s="312" t="s">
        <v>119</v>
      </c>
      <c r="K19" s="181">
        <f t="shared" si="1"/>
        <v>0.45522388059701491</v>
      </c>
    </row>
    <row r="20" spans="1:11">
      <c r="A20" s="303" t="s">
        <v>339</v>
      </c>
      <c r="B20">
        <v>0.46500000000000002</v>
      </c>
      <c r="C20" s="320">
        <v>567718750</v>
      </c>
      <c r="D20" s="320">
        <v>409166666.66666698</v>
      </c>
      <c r="E20" s="320">
        <v>439854166.66666698</v>
      </c>
      <c r="F20" s="303">
        <v>0.60285157</v>
      </c>
      <c r="G20" s="301">
        <f t="shared" si="0"/>
        <v>849020833.33333397</v>
      </c>
      <c r="H20" s="313">
        <v>0.55000000000000004</v>
      </c>
      <c r="I20" s="312" t="s">
        <v>145</v>
      </c>
      <c r="J20" s="312" t="s">
        <v>119</v>
      </c>
      <c r="K20" s="181">
        <f t="shared" si="1"/>
        <v>0.51807228915662651</v>
      </c>
    </row>
    <row r="21" spans="1:11">
      <c r="A21" s="303" t="s">
        <v>340</v>
      </c>
      <c r="B21">
        <v>0.495</v>
      </c>
      <c r="C21" s="320">
        <v>552375000</v>
      </c>
      <c r="D21" s="320">
        <v>358020833.33333302</v>
      </c>
      <c r="E21" s="320">
        <v>368250000</v>
      </c>
      <c r="F21" s="303">
        <v>0.25039715000000001</v>
      </c>
      <c r="G21" s="301">
        <f t="shared" si="0"/>
        <v>726270833.33333302</v>
      </c>
      <c r="H21" s="313">
        <v>0.55000000000000004</v>
      </c>
      <c r="I21" s="312" t="s">
        <v>145</v>
      </c>
      <c r="J21" s="312" t="s">
        <v>119</v>
      </c>
      <c r="K21" s="181">
        <f t="shared" si="1"/>
        <v>0.50704225352112697</v>
      </c>
    </row>
    <row r="22" spans="1:11">
      <c r="A22" s="303" t="s">
        <v>341</v>
      </c>
      <c r="B22">
        <v>0.52500000000000002</v>
      </c>
      <c r="C22" s="320">
        <v>542145833.33333302</v>
      </c>
      <c r="D22" s="320">
        <v>393822916.66666698</v>
      </c>
      <c r="E22" s="320">
        <v>414281250</v>
      </c>
      <c r="F22" s="303">
        <v>5.9592410899999997E-2</v>
      </c>
      <c r="G22" s="301">
        <f t="shared" si="0"/>
        <v>808104166.66666698</v>
      </c>
      <c r="H22" s="313">
        <v>0.55000000000000004</v>
      </c>
      <c r="I22" s="312" t="s">
        <v>145</v>
      </c>
      <c r="J22" s="312" t="s">
        <v>119</v>
      </c>
      <c r="K22" s="181">
        <f t="shared" si="1"/>
        <v>0.51265822784810111</v>
      </c>
    </row>
    <row r="23" spans="1:11">
      <c r="A23" s="303" t="s">
        <v>180</v>
      </c>
      <c r="B23">
        <v>0.55500000000000005</v>
      </c>
      <c r="C23" s="320">
        <v>659781250</v>
      </c>
      <c r="D23" s="320">
        <v>245500000</v>
      </c>
      <c r="E23" s="320">
        <v>265958333.33333299</v>
      </c>
      <c r="F23" s="303">
        <v>2.5457141900000001E-2</v>
      </c>
      <c r="G23" s="301">
        <f t="shared" si="0"/>
        <v>511458333.33333302</v>
      </c>
      <c r="H23" s="313">
        <v>0.55000000000000004</v>
      </c>
      <c r="I23" s="312" t="s">
        <v>145</v>
      </c>
      <c r="J23" s="312" t="s">
        <v>119</v>
      </c>
      <c r="K23" s="181">
        <f t="shared" si="1"/>
        <v>0.51999999999999968</v>
      </c>
    </row>
    <row r="24" spans="1:11">
      <c r="A24" s="303" t="s">
        <v>450</v>
      </c>
      <c r="B24">
        <v>0.61499999999999999</v>
      </c>
      <c r="C24" s="320">
        <v>629093750</v>
      </c>
      <c r="D24" s="320">
        <v>230156250</v>
      </c>
      <c r="E24" s="320">
        <v>301760416.66666698</v>
      </c>
      <c r="F24" s="303">
        <v>1.34734847E-2</v>
      </c>
      <c r="G24" s="301">
        <f t="shared" si="0"/>
        <v>531916666.66666698</v>
      </c>
      <c r="H24" s="313">
        <v>0.55000000000000004</v>
      </c>
      <c r="I24" s="312" t="s">
        <v>145</v>
      </c>
      <c r="J24" s="312" t="s">
        <v>119</v>
      </c>
      <c r="K24" s="181">
        <f t="shared" si="1"/>
        <v>0.56730769230769251</v>
      </c>
    </row>
    <row r="25" spans="1:11">
      <c r="A25" s="303" t="s">
        <v>342</v>
      </c>
      <c r="B25">
        <v>0.64500000000000002</v>
      </c>
      <c r="C25" s="320">
        <v>603520833.33333302</v>
      </c>
      <c r="D25" s="320">
        <v>179010416.66666701</v>
      </c>
      <c r="E25" s="320">
        <v>306875000</v>
      </c>
      <c r="F25" s="303">
        <v>1.79868098E-2</v>
      </c>
      <c r="G25" s="301">
        <f t="shared" si="0"/>
        <v>485885416.66666698</v>
      </c>
      <c r="H25" s="313">
        <v>0.55000000000000004</v>
      </c>
      <c r="I25" s="312" t="s">
        <v>145</v>
      </c>
      <c r="J25" s="312" t="s">
        <v>119</v>
      </c>
      <c r="K25" s="181">
        <f t="shared" si="1"/>
        <v>0.63157894736842068</v>
      </c>
    </row>
    <row r="26" spans="1:11">
      <c r="A26" s="303" t="s">
        <v>181</v>
      </c>
      <c r="B26">
        <v>0.67500000000000004</v>
      </c>
      <c r="C26" s="320">
        <v>649552083.33333302</v>
      </c>
      <c r="D26" s="320">
        <v>189239583.33333299</v>
      </c>
      <c r="E26" s="320">
        <v>230156250</v>
      </c>
      <c r="F26" s="303">
        <v>1.1139004500000001E-2</v>
      </c>
      <c r="G26" s="301">
        <f t="shared" si="0"/>
        <v>419395833.33333302</v>
      </c>
      <c r="H26" s="313">
        <v>0.55000000000000004</v>
      </c>
      <c r="I26" s="312" t="s">
        <v>145</v>
      </c>
      <c r="J26" s="312" t="s">
        <v>119</v>
      </c>
      <c r="K26" s="181">
        <f t="shared" si="1"/>
        <v>0.54878048780487843</v>
      </c>
    </row>
    <row r="27" spans="1:11">
      <c r="A27" s="303" t="s">
        <v>182</v>
      </c>
      <c r="B27">
        <v>0.70499999999999996</v>
      </c>
      <c r="C27" s="320">
        <v>603520833.33333302</v>
      </c>
      <c r="D27" s="320">
        <v>148322916.66666701</v>
      </c>
      <c r="E27" s="320">
        <v>102291666.666667</v>
      </c>
      <c r="F27" s="303">
        <v>1.8246196199999998E-2</v>
      </c>
      <c r="G27" s="301">
        <f t="shared" si="0"/>
        <v>250614583.33333403</v>
      </c>
      <c r="H27" s="313">
        <v>0.55000000000000004</v>
      </c>
      <c r="I27" s="312" t="s">
        <v>145</v>
      </c>
      <c r="J27" s="312" t="s">
        <v>119</v>
      </c>
      <c r="K27" s="181">
        <f t="shared" si="1"/>
        <v>0.40816326530612262</v>
      </c>
    </row>
    <row r="28" spans="1:11">
      <c r="A28" s="303" t="s">
        <v>183</v>
      </c>
      <c r="B28">
        <v>0.73499999999999999</v>
      </c>
      <c r="C28" s="320">
        <v>475656250</v>
      </c>
      <c r="D28" s="320">
        <v>158552083.33333299</v>
      </c>
      <c r="E28" s="320">
        <v>102291666.666667</v>
      </c>
      <c r="F28" s="303">
        <v>1.8298074599999999E-2</v>
      </c>
      <c r="G28" s="301">
        <f t="shared" si="0"/>
        <v>260843750</v>
      </c>
      <c r="H28" s="313">
        <v>0.55000000000000004</v>
      </c>
      <c r="I28" s="312" t="s">
        <v>145</v>
      </c>
      <c r="J28" s="312" t="s">
        <v>119</v>
      </c>
      <c r="K28" s="181">
        <f t="shared" si="1"/>
        <v>0.39215686274509931</v>
      </c>
    </row>
    <row r="29" spans="1:11">
      <c r="A29" s="306" t="s">
        <v>167</v>
      </c>
      <c r="B29">
        <v>1.4999999999999999E-2</v>
      </c>
      <c r="C29" s="320">
        <v>5631541218.63799</v>
      </c>
      <c r="D29" s="320">
        <v>1114979166.6666701</v>
      </c>
      <c r="E29" s="301">
        <v>854000000</v>
      </c>
      <c r="F29" s="312">
        <v>6.0681776999999997</v>
      </c>
      <c r="G29" s="301">
        <f>D29+E29</f>
        <v>1968979166.6666701</v>
      </c>
      <c r="H29" s="313">
        <v>0.55000000000000004</v>
      </c>
      <c r="I29" s="312" t="s">
        <v>145</v>
      </c>
      <c r="J29" s="312" t="s">
        <v>145</v>
      </c>
      <c r="K29" s="181">
        <f>E29/G29</f>
        <v>0.43372729100316287</v>
      </c>
    </row>
    <row r="30" spans="1:11">
      <c r="A30" s="306"/>
    </row>
    <row r="31" spans="1:11">
      <c r="A31" t="s">
        <v>1696</v>
      </c>
    </row>
    <row r="32" spans="1:11">
      <c r="A32" s="288" t="s">
        <v>1697</v>
      </c>
    </row>
    <row r="33" spans="1:11">
      <c r="A33" s="334"/>
      <c r="B33" s="334" t="s">
        <v>166</v>
      </c>
      <c r="C33" s="334"/>
      <c r="D33" s="334" t="s">
        <v>440</v>
      </c>
      <c r="E33" s="334"/>
      <c r="F33" s="334"/>
      <c r="G33" s="334"/>
      <c r="H33" s="334"/>
      <c r="I33" s="334"/>
      <c r="J33" s="334"/>
      <c r="K33" s="334"/>
    </row>
    <row r="34" spans="1:11">
      <c r="A34" s="306"/>
      <c r="B34" s="334" t="s">
        <v>864</v>
      </c>
      <c r="C34" s="334" t="s">
        <v>187</v>
      </c>
      <c r="D34" s="334" t="s">
        <v>185</v>
      </c>
      <c r="E34" s="334" t="s">
        <v>186</v>
      </c>
      <c r="F34" s="334" t="s">
        <v>439</v>
      </c>
      <c r="G34" s="334" t="s">
        <v>1430</v>
      </c>
      <c r="H34" s="334" t="s">
        <v>118</v>
      </c>
      <c r="I34" s="334" t="s">
        <v>144</v>
      </c>
      <c r="J34" s="334" t="s">
        <v>146</v>
      </c>
      <c r="K34" s="334"/>
    </row>
    <row r="35" spans="1:11">
      <c r="A35" s="306" t="s">
        <v>167</v>
      </c>
      <c r="B35" s="334">
        <v>1.4999999999999999E-2</v>
      </c>
      <c r="C35" s="301">
        <v>3130000000</v>
      </c>
      <c r="D35" s="301">
        <v>1010000000</v>
      </c>
      <c r="E35" s="334">
        <v>1181468750</v>
      </c>
    </row>
    <row r="36" spans="1:11">
      <c r="A36" s="306" t="s">
        <v>168</v>
      </c>
      <c r="B36" s="334">
        <v>4.4999999999999998E-2</v>
      </c>
      <c r="C36" s="301">
        <v>2390000000</v>
      </c>
      <c r="D36" s="301">
        <v>987000000</v>
      </c>
      <c r="E36" s="334">
        <v>966656250</v>
      </c>
    </row>
    <row r="37" spans="1:11">
      <c r="A37" s="306" t="s">
        <v>169</v>
      </c>
      <c r="B37" s="334">
        <v>7.4999999999999997E-2</v>
      </c>
      <c r="C37" s="301">
        <v>2270000000</v>
      </c>
      <c r="D37" s="301">
        <v>798000000</v>
      </c>
      <c r="E37" s="334">
        <v>925739583.33333313</v>
      </c>
    </row>
    <row r="38" spans="1:11">
      <c r="A38" s="306" t="s">
        <v>170</v>
      </c>
      <c r="B38" s="334">
        <v>0.105</v>
      </c>
      <c r="C38" s="301">
        <v>1710000000</v>
      </c>
      <c r="D38" s="301">
        <v>644000000</v>
      </c>
      <c r="E38" s="334">
        <v>710927083.33333349</v>
      </c>
    </row>
    <row r="39" spans="1:11">
      <c r="A39" s="306" t="s">
        <v>184</v>
      </c>
      <c r="B39" s="334">
        <v>0.13500000000000001</v>
      </c>
      <c r="C39" s="301">
        <v>2060000000</v>
      </c>
      <c r="D39" s="334">
        <v>767187500</v>
      </c>
      <c r="E39" s="334">
        <v>695583333.33333325</v>
      </c>
    </row>
    <row r="40" spans="1:11">
      <c r="A40" s="334" t="s">
        <v>171</v>
      </c>
      <c r="B40" s="334">
        <v>0.16500000000000001</v>
      </c>
      <c r="C40" s="301">
        <v>1720000000</v>
      </c>
      <c r="D40" s="334">
        <v>608635416.66666675</v>
      </c>
      <c r="E40" s="334">
        <v>598406250</v>
      </c>
    </row>
    <row r="41" spans="1:11">
      <c r="A41" s="334" t="s">
        <v>172</v>
      </c>
      <c r="B41" s="334">
        <v>0.19500000000000001</v>
      </c>
      <c r="C41" s="301">
        <v>1430000000</v>
      </c>
      <c r="D41" s="334">
        <v>552375000</v>
      </c>
      <c r="E41" s="334">
        <v>552375000</v>
      </c>
    </row>
    <row r="42" spans="1:11">
      <c r="A42" s="334" t="s">
        <v>173</v>
      </c>
      <c r="B42" s="334">
        <v>0.22500000000000001</v>
      </c>
      <c r="C42" s="301">
        <v>1480000000</v>
      </c>
      <c r="D42" s="334">
        <v>710927083.33333349</v>
      </c>
      <c r="E42" s="334">
        <v>685354166.66666675</v>
      </c>
    </row>
    <row r="43" spans="1:11">
      <c r="A43" s="334" t="s">
        <v>174</v>
      </c>
      <c r="B43" s="334">
        <v>0.255</v>
      </c>
      <c r="C43" s="301">
        <v>1660000000</v>
      </c>
      <c r="D43" s="334">
        <v>864364583.33333349</v>
      </c>
      <c r="E43" s="334">
        <v>823447916.66666651</v>
      </c>
    </row>
    <row r="44" spans="1:11">
      <c r="A44" t="s">
        <v>1698</v>
      </c>
      <c r="B44">
        <v>0.28499999999999998</v>
      </c>
      <c r="C44" s="301">
        <v>1810000000</v>
      </c>
      <c r="D44" s="334">
        <v>935968750</v>
      </c>
      <c r="E44" s="334">
        <v>915510416.66666651</v>
      </c>
    </row>
    <row r="45" spans="1:11">
      <c r="A45" s="334" t="s">
        <v>175</v>
      </c>
      <c r="B45" s="334">
        <v>0.315</v>
      </c>
      <c r="C45" s="301">
        <v>1670000000</v>
      </c>
      <c r="D45" s="334">
        <v>884822916.66666651</v>
      </c>
      <c r="E45" s="334">
        <v>833677083.33333349</v>
      </c>
    </row>
    <row r="46" spans="1:11">
      <c r="A46" s="334" t="s">
        <v>176</v>
      </c>
      <c r="B46" s="334">
        <v>0.34499999999999997</v>
      </c>
      <c r="C46" s="301">
        <v>1420000000</v>
      </c>
      <c r="D46" s="334">
        <v>787645833.33333349</v>
      </c>
      <c r="E46" s="334">
        <v>767187500</v>
      </c>
    </row>
    <row r="47" spans="1:11">
      <c r="A47" s="334" t="s">
        <v>177</v>
      </c>
      <c r="B47" s="334">
        <v>0.375</v>
      </c>
      <c r="C47" s="301">
        <v>1530000000</v>
      </c>
      <c r="D47" s="334">
        <v>716041666.66666675</v>
      </c>
      <c r="E47" s="334">
        <v>670010416.66666651</v>
      </c>
    </row>
    <row r="48" spans="1:11">
      <c r="A48" s="334" t="s">
        <v>178</v>
      </c>
      <c r="B48" s="334">
        <v>0.40500000000000003</v>
      </c>
      <c r="C48" s="301">
        <v>1250000000</v>
      </c>
      <c r="D48" s="334">
        <v>710927083.33333349</v>
      </c>
      <c r="E48" s="334">
        <v>613750000</v>
      </c>
    </row>
    <row r="49" spans="1:5">
      <c r="A49" s="334" t="s">
        <v>338</v>
      </c>
      <c r="B49" s="334">
        <v>0.435</v>
      </c>
      <c r="C49" s="301">
        <v>869000000</v>
      </c>
      <c r="D49" s="334">
        <v>654666666.66666651</v>
      </c>
      <c r="E49" s="334">
        <v>690468750</v>
      </c>
    </row>
    <row r="50" spans="1:5">
      <c r="A50" s="334" t="s">
        <v>339</v>
      </c>
      <c r="B50" s="334">
        <v>0.46500000000000002</v>
      </c>
      <c r="C50" s="301">
        <v>834000000</v>
      </c>
      <c r="D50" s="334">
        <v>629093749.99999988</v>
      </c>
      <c r="E50" s="334">
        <v>577947916.66666651</v>
      </c>
    </row>
    <row r="51" spans="1:5">
      <c r="A51" s="334" t="s">
        <v>340</v>
      </c>
      <c r="B51" s="334">
        <v>0.495</v>
      </c>
      <c r="C51" s="301">
        <v>721000000</v>
      </c>
      <c r="D51" s="334">
        <v>557489583.33333325</v>
      </c>
      <c r="E51" s="334">
        <v>511458333.33333325</v>
      </c>
    </row>
    <row r="52" spans="1:5">
      <c r="A52" s="334" t="s">
        <v>341</v>
      </c>
      <c r="B52" s="334">
        <v>0.52500000000000002</v>
      </c>
      <c r="C52" s="301">
        <v>752000000</v>
      </c>
      <c r="D52" s="334">
        <v>762072916.66666675</v>
      </c>
      <c r="E52" s="334">
        <v>429625000</v>
      </c>
    </row>
    <row r="53" spans="1:5">
      <c r="A53" s="334" t="s">
        <v>180</v>
      </c>
      <c r="B53" s="334">
        <v>0.55500000000000005</v>
      </c>
      <c r="C53" s="301">
        <v>563000000</v>
      </c>
      <c r="D53" s="334">
        <v>491000000</v>
      </c>
      <c r="E53" s="334">
        <v>429625000</v>
      </c>
    </row>
    <row r="54" spans="1:5">
      <c r="A54" t="s">
        <v>1699</v>
      </c>
      <c r="B54">
        <v>0.58499999999999996</v>
      </c>
      <c r="C54" s="301">
        <v>588000000</v>
      </c>
      <c r="D54" s="334">
        <v>455197916.66666675</v>
      </c>
      <c r="E54" s="334">
        <v>409166666.66666657</v>
      </c>
    </row>
    <row r="55" spans="1:5">
      <c r="A55" s="334" t="s">
        <v>450</v>
      </c>
      <c r="B55" s="334">
        <v>0.61499999999999999</v>
      </c>
      <c r="C55" s="334"/>
      <c r="D55" s="334"/>
      <c r="E55" s="334"/>
    </row>
    <row r="56" spans="1:5">
      <c r="A56" s="334" t="s">
        <v>342</v>
      </c>
      <c r="B56" s="334">
        <v>0.64500000000000002</v>
      </c>
      <c r="C56" s="301">
        <v>537000000</v>
      </c>
      <c r="D56" s="334">
        <v>358020833.33333337</v>
      </c>
      <c r="E56" s="334">
        <v>419395833.33333325</v>
      </c>
    </row>
    <row r="57" spans="1:5">
      <c r="A57" s="334" t="s">
        <v>181</v>
      </c>
      <c r="B57" s="334">
        <v>0.67500000000000004</v>
      </c>
      <c r="C57" s="301">
        <v>629000000</v>
      </c>
      <c r="D57" s="334">
        <v>434739583.33333325</v>
      </c>
      <c r="E57" s="334">
        <v>342677083.33333337</v>
      </c>
    </row>
    <row r="58" spans="1:5">
      <c r="A58" s="334" t="s">
        <v>182</v>
      </c>
      <c r="B58" s="334">
        <v>0.70499999999999996</v>
      </c>
    </row>
    <row r="59" spans="1:5">
      <c r="A59" s="334" t="s">
        <v>183</v>
      </c>
      <c r="B59" s="334">
        <v>0.73499999999999999</v>
      </c>
    </row>
    <row r="60" spans="1:5">
      <c r="A60" s="306"/>
      <c r="B60" s="334"/>
    </row>
    <row r="79" s="301" customFormat="1"/>
    <row r="81" spans="1:1">
      <c r="A81" s="318"/>
    </row>
    <row r="128" s="301" customFormat="1"/>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8"/>
  <sheetViews>
    <sheetView workbookViewId="0">
      <pane xSplit="2" ySplit="1" topLeftCell="C2" activePane="bottomRight" state="frozenSplit"/>
      <selection pane="topRight" activeCell="C1" sqref="C1"/>
      <selection pane="bottomLeft" activeCell="A2" sqref="A2"/>
      <selection pane="bottomRight" activeCell="E5" sqref="E5"/>
    </sheetView>
  </sheetViews>
  <sheetFormatPr baseColWidth="10" defaultRowHeight="13" x14ac:dyDescent="0"/>
  <cols>
    <col min="1" max="1" width="10.7109375" style="228"/>
    <col min="3" max="3" width="10.7109375" style="254"/>
    <col min="4" max="4" width="10.7109375" style="181"/>
    <col min="5" max="10" width="10.7109375" style="254"/>
    <col min="12" max="12" width="10.7109375" style="254"/>
    <col min="13" max="16384" width="10.7109375" style="228"/>
  </cols>
  <sheetData>
    <row r="1" spans="1:15" s="43" customFormat="1" ht="130">
      <c r="A1" s="43" t="s">
        <v>754</v>
      </c>
      <c r="B1" s="259" t="s">
        <v>1220</v>
      </c>
      <c r="C1" s="260" t="s">
        <v>753</v>
      </c>
      <c r="D1" s="261" t="s">
        <v>746</v>
      </c>
      <c r="E1" s="262" t="s">
        <v>885</v>
      </c>
      <c r="F1" s="262" t="s">
        <v>886</v>
      </c>
      <c r="G1" s="262" t="s">
        <v>747</v>
      </c>
      <c r="H1" s="260" t="s">
        <v>751</v>
      </c>
      <c r="I1" s="260" t="s">
        <v>752</v>
      </c>
      <c r="J1" s="260" t="s">
        <v>745</v>
      </c>
      <c r="K1" s="43" t="s">
        <v>755</v>
      </c>
      <c r="L1" s="260" t="s">
        <v>750</v>
      </c>
      <c r="M1" s="43" t="s">
        <v>575</v>
      </c>
      <c r="O1" s="43" t="s">
        <v>419</v>
      </c>
    </row>
    <row r="2" spans="1:15">
      <c r="A2" s="228">
        <v>1225</v>
      </c>
      <c r="B2" s="8">
        <v>0.8</v>
      </c>
      <c r="C2" s="254">
        <v>7516609.6984736901</v>
      </c>
    </row>
    <row r="3" spans="1:15">
      <c r="A3" s="228">
        <v>1225</v>
      </c>
      <c r="B3" s="248">
        <v>1</v>
      </c>
      <c r="C3" s="256">
        <v>7516609.6984736854</v>
      </c>
      <c r="D3" s="258">
        <v>0.2</v>
      </c>
      <c r="E3" s="254">
        <v>291492.48719638609</v>
      </c>
      <c r="G3" s="254">
        <f>E3+F3</f>
        <v>291492.48719638609</v>
      </c>
      <c r="O3" s="13"/>
    </row>
    <row r="4" spans="1:15">
      <c r="A4" s="228">
        <v>1225</v>
      </c>
      <c r="B4" s="8">
        <v>3.99</v>
      </c>
      <c r="C4" s="254">
        <v>854224.45424359513</v>
      </c>
      <c r="O4" s="327"/>
    </row>
    <row r="5" spans="1:15">
      <c r="A5" s="228">
        <v>1225</v>
      </c>
      <c r="B5" s="248">
        <v>4</v>
      </c>
      <c r="C5" s="256">
        <v>854224.45424359513</v>
      </c>
      <c r="D5" s="258">
        <v>0.01</v>
      </c>
      <c r="E5" s="254">
        <v>263740.78446805716</v>
      </c>
      <c r="G5" s="254">
        <f>E5+F5</f>
        <v>263740.78446805716</v>
      </c>
      <c r="O5" s="13"/>
    </row>
    <row r="6" spans="1:15">
      <c r="A6" s="228">
        <v>1225</v>
      </c>
      <c r="B6" s="248">
        <v>8</v>
      </c>
      <c r="C6" s="256">
        <v>1021153.4289247078</v>
      </c>
      <c r="D6" s="258">
        <v>0.37</v>
      </c>
      <c r="E6" s="254">
        <v>30385.663311136304</v>
      </c>
      <c r="G6" s="254">
        <f>E6+F6</f>
        <v>30385.663311136304</v>
      </c>
      <c r="O6" s="13"/>
    </row>
    <row r="7" spans="1:15">
      <c r="A7" s="228">
        <v>1225</v>
      </c>
      <c r="B7" s="248">
        <v>8</v>
      </c>
      <c r="C7" s="256">
        <v>1021153.4289247078</v>
      </c>
      <c r="D7" s="258">
        <v>0.37</v>
      </c>
      <c r="E7" s="254">
        <v>207291.65600633225</v>
      </c>
      <c r="G7" s="254">
        <f>E7+F7</f>
        <v>207291.65600633225</v>
      </c>
      <c r="O7" s="13"/>
    </row>
    <row r="8" spans="1:15">
      <c r="A8" s="228">
        <v>1225</v>
      </c>
      <c r="B8" s="8">
        <v>8.3699999999999992</v>
      </c>
      <c r="C8" s="301">
        <v>1021153.4289247078</v>
      </c>
      <c r="H8" s="301"/>
      <c r="I8" s="301"/>
      <c r="J8" s="301"/>
      <c r="L8" s="301"/>
      <c r="O8" s="327"/>
    </row>
    <row r="9" spans="1:15">
      <c r="A9" s="228">
        <v>1225</v>
      </c>
      <c r="B9" s="8">
        <v>8.8000000000000007</v>
      </c>
      <c r="C9" s="301">
        <v>2377842.0341580459</v>
      </c>
      <c r="H9" s="301"/>
      <c r="I9" s="301"/>
      <c r="J9" s="301"/>
      <c r="L9" s="301"/>
      <c r="O9" s="327"/>
    </row>
    <row r="10" spans="1:15">
      <c r="A10" s="228">
        <v>1225</v>
      </c>
      <c r="B10" s="8">
        <v>16.8</v>
      </c>
      <c r="C10" s="301">
        <v>604968.83148045372</v>
      </c>
      <c r="D10" s="301"/>
      <c r="H10" s="301"/>
      <c r="I10" s="301"/>
      <c r="J10" s="301"/>
      <c r="L10" s="301"/>
      <c r="O10" s="327"/>
    </row>
    <row r="11" spans="1:15">
      <c r="A11" s="228">
        <v>1225</v>
      </c>
      <c r="B11" s="248">
        <v>27</v>
      </c>
      <c r="C11" s="256">
        <v>1052856.057150631</v>
      </c>
      <c r="D11" s="258">
        <v>0.8</v>
      </c>
      <c r="E11" s="254">
        <v>148119.6271301884</v>
      </c>
      <c r="G11" s="254">
        <f>E11+F11</f>
        <v>148119.6271301884</v>
      </c>
      <c r="H11" s="301"/>
      <c r="I11" s="301"/>
      <c r="J11" s="301"/>
      <c r="L11" s="301"/>
      <c r="O11" s="13"/>
    </row>
    <row r="12" spans="1:15">
      <c r="A12" s="228">
        <v>1225</v>
      </c>
      <c r="B12" s="8">
        <v>27.8</v>
      </c>
      <c r="C12" s="301">
        <v>1052856.057150631</v>
      </c>
      <c r="D12" s="301"/>
      <c r="H12" s="301"/>
      <c r="I12" s="301"/>
      <c r="J12" s="301"/>
      <c r="L12" s="301"/>
      <c r="O12" s="327"/>
    </row>
    <row r="13" spans="1:15">
      <c r="A13" s="228">
        <v>1225</v>
      </c>
      <c r="B13" s="8">
        <v>35.799999999999997</v>
      </c>
      <c r="C13" s="254">
        <v>1776384.6020799133</v>
      </c>
      <c r="O13" s="327"/>
    </row>
    <row r="14" spans="1:15">
      <c r="A14" s="228">
        <v>1225</v>
      </c>
      <c r="B14" s="248">
        <v>46</v>
      </c>
      <c r="C14" s="256">
        <v>910307.24661365699</v>
      </c>
      <c r="D14" s="258">
        <v>0.8</v>
      </c>
      <c r="E14" s="254">
        <v>75702.332413213386</v>
      </c>
      <c r="G14" s="254">
        <f>E14+F14</f>
        <v>75702.332413213386</v>
      </c>
      <c r="O14" s="13"/>
    </row>
    <row r="15" spans="1:15">
      <c r="A15" s="228">
        <v>1225</v>
      </c>
      <c r="B15" s="8">
        <v>46.8</v>
      </c>
      <c r="C15" s="301">
        <v>910307.24661365699</v>
      </c>
      <c r="O15" s="327"/>
    </row>
    <row r="16" spans="1:15">
      <c r="A16" s="228">
        <v>1225</v>
      </c>
      <c r="B16" s="8">
        <v>56.3</v>
      </c>
      <c r="C16" s="301">
        <v>471916.32374982937</v>
      </c>
      <c r="H16" s="301"/>
      <c r="I16" s="301"/>
      <c r="J16" s="301"/>
      <c r="L16" s="301"/>
      <c r="O16" s="13"/>
    </row>
    <row r="17" spans="1:15">
      <c r="A17" s="228">
        <v>1225</v>
      </c>
      <c r="B17" s="248">
        <v>65</v>
      </c>
      <c r="C17" s="256">
        <v>752015.86008574103</v>
      </c>
      <c r="D17" s="258">
        <v>0.8</v>
      </c>
      <c r="E17" s="254">
        <v>84788.108366141605</v>
      </c>
      <c r="G17" s="254">
        <f>E17+F17</f>
        <v>84788.108366141605</v>
      </c>
      <c r="O17" s="13"/>
    </row>
    <row r="18" spans="1:15">
      <c r="A18" s="228">
        <v>1225</v>
      </c>
      <c r="B18" s="8">
        <v>65.8</v>
      </c>
      <c r="C18" s="301">
        <v>752015.86008574103</v>
      </c>
      <c r="O18" s="13"/>
    </row>
    <row r="19" spans="1:15">
      <c r="A19" s="228">
        <v>1225</v>
      </c>
      <c r="B19" s="8">
        <v>79.8</v>
      </c>
      <c r="C19" s="254">
        <v>1053309.4971193315</v>
      </c>
      <c r="O19" s="13"/>
    </row>
    <row r="20" spans="1:15">
      <c r="A20" s="228">
        <v>1225</v>
      </c>
      <c r="B20" s="248">
        <v>84</v>
      </c>
      <c r="C20" s="256">
        <v>1053309.4971193315</v>
      </c>
      <c r="D20" s="258">
        <v>4.2</v>
      </c>
      <c r="E20" s="254">
        <v>453649.04497634107</v>
      </c>
      <c r="G20" s="254">
        <f>E20+F20</f>
        <v>453649.04497634107</v>
      </c>
      <c r="O20" s="13"/>
    </row>
    <row r="21" spans="1:15">
      <c r="A21" s="228">
        <v>1225</v>
      </c>
      <c r="B21" s="8">
        <v>94.3</v>
      </c>
      <c r="C21" s="254">
        <v>3424829.849606859</v>
      </c>
      <c r="O21" s="13"/>
    </row>
    <row r="22" spans="1:15">
      <c r="A22" s="228">
        <v>1225</v>
      </c>
      <c r="B22" s="230">
        <v>103</v>
      </c>
      <c r="C22" s="256">
        <v>2346691.4985403363</v>
      </c>
      <c r="D22" s="258">
        <v>0.8</v>
      </c>
      <c r="E22" s="254">
        <v>505900.61149290367</v>
      </c>
      <c r="G22" s="254">
        <f>E22+F22</f>
        <v>505900.61149290367</v>
      </c>
      <c r="O22" s="13"/>
    </row>
    <row r="23" spans="1:15">
      <c r="A23" s="228">
        <v>1225</v>
      </c>
      <c r="B23" s="13">
        <v>103.8</v>
      </c>
      <c r="C23" s="254">
        <v>2346691.4985403363</v>
      </c>
      <c r="O23" s="13"/>
    </row>
    <row r="24" spans="1:15">
      <c r="A24" s="228">
        <v>1225</v>
      </c>
      <c r="B24" s="230">
        <v>122</v>
      </c>
      <c r="C24" s="256">
        <v>975077.19651637413</v>
      </c>
      <c r="D24" s="258">
        <v>0.8</v>
      </c>
      <c r="E24" s="254">
        <v>115439.49737614235</v>
      </c>
      <c r="G24" s="254">
        <f>E24+F24</f>
        <v>115439.49737614235</v>
      </c>
      <c r="H24" s="301"/>
      <c r="I24" s="301"/>
      <c r="J24" s="301"/>
      <c r="L24" s="301"/>
      <c r="O24" s="13"/>
    </row>
    <row r="25" spans="1:15">
      <c r="A25" s="228">
        <v>1225</v>
      </c>
      <c r="B25" s="13">
        <v>122.8</v>
      </c>
      <c r="C25" s="301">
        <v>975077.19651637413</v>
      </c>
      <c r="H25" s="301"/>
      <c r="I25" s="301"/>
      <c r="J25" s="301"/>
      <c r="L25" s="301"/>
      <c r="O25" s="13"/>
    </row>
    <row r="26" spans="1:15">
      <c r="A26" s="228">
        <v>1225</v>
      </c>
      <c r="B26" s="331">
        <v>141</v>
      </c>
      <c r="C26" s="301"/>
      <c r="E26" s="254">
        <v>331996.12846216146</v>
      </c>
      <c r="G26" s="254">
        <f>E26+F26</f>
        <v>331996.12846216146</v>
      </c>
      <c r="H26" s="301"/>
      <c r="I26" s="301"/>
      <c r="J26" s="301"/>
      <c r="L26" s="301"/>
      <c r="O26" s="13"/>
    </row>
    <row r="27" spans="1:15">
      <c r="A27" s="228">
        <v>1225</v>
      </c>
      <c r="B27" s="230">
        <v>160</v>
      </c>
      <c r="C27" s="256">
        <v>1432613.3702114061</v>
      </c>
      <c r="D27" s="258">
        <v>0.8</v>
      </c>
      <c r="E27" s="254">
        <v>237612.72885689398</v>
      </c>
      <c r="G27" s="254">
        <f>E27+F27</f>
        <v>237612.72885689398</v>
      </c>
      <c r="O27" s="13"/>
    </row>
    <row r="28" spans="1:15">
      <c r="A28" s="228">
        <v>1225</v>
      </c>
      <c r="B28" s="13">
        <v>160.80000000000001</v>
      </c>
      <c r="C28" s="254">
        <v>1432613.3702114061</v>
      </c>
      <c r="D28" s="258"/>
      <c r="O28" s="13"/>
    </row>
    <row r="29" spans="1:15">
      <c r="A29" s="228">
        <v>1225</v>
      </c>
      <c r="B29" s="13">
        <v>170.14</v>
      </c>
      <c r="C29" s="301">
        <v>1031582.5806224471</v>
      </c>
      <c r="D29" s="258"/>
      <c r="O29" s="13"/>
    </row>
    <row r="30" spans="1:15">
      <c r="A30" s="228">
        <v>1225</v>
      </c>
      <c r="B30" s="331">
        <v>179</v>
      </c>
      <c r="C30" s="301"/>
      <c r="D30" s="258"/>
      <c r="E30" s="254">
        <v>294916.47517505853</v>
      </c>
      <c r="G30" s="254">
        <f>E30+F30</f>
        <v>294916.47517505853</v>
      </c>
      <c r="O30" s="13"/>
    </row>
    <row r="31" spans="1:15">
      <c r="A31" s="228">
        <v>1225</v>
      </c>
      <c r="B31" s="230">
        <v>198</v>
      </c>
      <c r="C31" s="256">
        <v>500042.594646396</v>
      </c>
      <c r="D31" s="258">
        <v>0.8</v>
      </c>
      <c r="E31" s="254">
        <v>358092.97212126711</v>
      </c>
      <c r="G31" s="254">
        <f>E31+F31</f>
        <v>358092.97212126711</v>
      </c>
      <c r="O31" s="13"/>
    </row>
    <row r="32" spans="1:15">
      <c r="A32" s="228">
        <v>1225</v>
      </c>
      <c r="B32" s="13">
        <v>198.8</v>
      </c>
      <c r="C32" s="254">
        <v>500042.594646396</v>
      </c>
      <c r="D32" s="258"/>
      <c r="O32" s="13"/>
    </row>
    <row r="33" spans="1:15">
      <c r="A33" s="228">
        <v>1225</v>
      </c>
      <c r="B33" s="13">
        <v>209.8</v>
      </c>
      <c r="C33" s="301">
        <v>917603.37023088813</v>
      </c>
      <c r="D33" s="258"/>
      <c r="O33" s="13"/>
    </row>
    <row r="34" spans="1:15">
      <c r="A34" s="228">
        <v>1225</v>
      </c>
      <c r="B34" s="230">
        <v>218</v>
      </c>
      <c r="C34" s="256">
        <v>403121.53588113323</v>
      </c>
      <c r="D34" s="258">
        <v>1.3</v>
      </c>
      <c r="E34" s="254">
        <v>412392.67836414854</v>
      </c>
      <c r="G34" s="254">
        <f>E34+F34</f>
        <v>412392.67836414854</v>
      </c>
      <c r="O34" s="13"/>
    </row>
    <row r="35" spans="1:15">
      <c r="A35" s="228">
        <v>1225</v>
      </c>
      <c r="B35" s="327">
        <v>219.3</v>
      </c>
      <c r="C35" s="254">
        <v>403121.53588113323</v>
      </c>
      <c r="D35" s="258"/>
      <c r="O35" s="13"/>
    </row>
    <row r="36" spans="1:15">
      <c r="A36" s="228">
        <v>1225</v>
      </c>
      <c r="B36" s="230">
        <v>237</v>
      </c>
      <c r="C36" s="256">
        <v>1096369.6379404955</v>
      </c>
      <c r="D36" s="258">
        <v>1.3</v>
      </c>
      <c r="E36" s="254">
        <v>544102.73295727838</v>
      </c>
      <c r="G36" s="254">
        <f>E36+F36</f>
        <v>544102.73295727838</v>
      </c>
      <c r="O36" s="13"/>
    </row>
    <row r="37" spans="1:15">
      <c r="A37" s="228">
        <v>1225</v>
      </c>
      <c r="B37" s="229">
        <v>238.3</v>
      </c>
      <c r="C37" s="301">
        <v>1096369.6379404955</v>
      </c>
      <c r="D37" s="258"/>
      <c r="O37" s="13"/>
    </row>
    <row r="38" spans="1:15">
      <c r="A38" s="228">
        <v>1225</v>
      </c>
      <c r="B38" s="230">
        <v>266</v>
      </c>
      <c r="C38" s="256">
        <v>2196286.5400199294</v>
      </c>
      <c r="D38" s="258">
        <v>1.05</v>
      </c>
      <c r="E38" s="254">
        <v>106204.84873382335</v>
      </c>
      <c r="G38" s="254">
        <f>E38+F38</f>
        <v>106204.84873382335</v>
      </c>
      <c r="O38" s="13"/>
    </row>
    <row r="39" spans="1:15">
      <c r="A39" s="228">
        <v>1225</v>
      </c>
      <c r="B39" s="229">
        <v>267.05</v>
      </c>
      <c r="C39" s="254">
        <v>2196286.5400199294</v>
      </c>
      <c r="D39" s="258"/>
      <c r="O39" s="13"/>
    </row>
    <row r="40" spans="1:15">
      <c r="A40" s="228">
        <v>1225</v>
      </c>
      <c r="B40" s="229">
        <v>278.2</v>
      </c>
      <c r="C40" s="254">
        <v>393531.04608257866</v>
      </c>
      <c r="D40" s="258"/>
      <c r="O40" s="13"/>
    </row>
    <row r="41" spans="1:15">
      <c r="A41" s="228">
        <v>1225</v>
      </c>
      <c r="B41" s="230">
        <v>287</v>
      </c>
      <c r="C41" s="256">
        <v>819113.34213539888</v>
      </c>
      <c r="D41" s="258">
        <v>0.55000000000000004</v>
      </c>
      <c r="E41" s="254">
        <v>250528.83094882252</v>
      </c>
      <c r="G41" s="254">
        <f>E41+F41</f>
        <v>250528.83094882252</v>
      </c>
      <c r="O41" s="13"/>
    </row>
    <row r="42" spans="1:15">
      <c r="A42" s="228">
        <v>1225</v>
      </c>
      <c r="B42" s="327">
        <v>287.55</v>
      </c>
      <c r="C42" s="301">
        <v>819113.34213539888</v>
      </c>
      <c r="D42" s="258"/>
      <c r="H42" s="301"/>
      <c r="I42" s="301"/>
      <c r="J42" s="301"/>
      <c r="L42" s="301"/>
      <c r="O42" s="13"/>
    </row>
    <row r="43" spans="1:15">
      <c r="A43" s="228">
        <v>1225</v>
      </c>
      <c r="B43" s="230">
        <v>307</v>
      </c>
      <c r="C43" s="256">
        <v>205062.38302834646</v>
      </c>
      <c r="D43" s="258">
        <v>1.2</v>
      </c>
      <c r="E43" s="254">
        <v>184438.13002796666</v>
      </c>
      <c r="G43" s="254">
        <f>E43+F43</f>
        <v>184438.13002796666</v>
      </c>
      <c r="H43" s="301"/>
      <c r="I43" s="301"/>
      <c r="J43" s="301"/>
      <c r="L43" s="301"/>
      <c r="O43" s="13"/>
    </row>
    <row r="44" spans="1:15">
      <c r="A44" s="228">
        <v>1225</v>
      </c>
      <c r="B44" s="229">
        <v>308.2</v>
      </c>
      <c r="C44" s="254">
        <v>205062.38302834646</v>
      </c>
      <c r="D44" s="258"/>
      <c r="O44" s="13"/>
    </row>
    <row r="45" spans="1:15">
      <c r="A45" s="228">
        <v>1225</v>
      </c>
      <c r="B45" s="230">
        <v>320</v>
      </c>
      <c r="C45" s="256">
        <v>183589.99076861143</v>
      </c>
      <c r="D45" s="258">
        <v>0.13</v>
      </c>
      <c r="E45" s="254">
        <v>245228.00391056712</v>
      </c>
      <c r="G45" s="254">
        <f>E45+F45</f>
        <v>245228.00391056712</v>
      </c>
      <c r="H45" s="301"/>
      <c r="I45" s="301"/>
      <c r="J45" s="301"/>
      <c r="L45" s="301"/>
      <c r="O45" s="13"/>
    </row>
    <row r="46" spans="1:15">
      <c r="A46" s="228">
        <v>1225</v>
      </c>
      <c r="B46" s="327">
        <v>320.13</v>
      </c>
      <c r="C46" s="301">
        <v>183589.99076861143</v>
      </c>
      <c r="D46" s="258"/>
      <c r="H46" s="301"/>
      <c r="I46" s="301"/>
      <c r="J46" s="301"/>
      <c r="L46" s="301"/>
      <c r="O46" s="13"/>
    </row>
    <row r="47" spans="1:15">
      <c r="A47" s="228">
        <v>1226</v>
      </c>
      <c r="B47" s="13">
        <v>0.01</v>
      </c>
      <c r="C47" s="301">
        <v>462942937.05624115</v>
      </c>
      <c r="D47" s="258"/>
      <c r="H47" s="301"/>
      <c r="I47" s="301"/>
      <c r="J47" s="301"/>
      <c r="L47" s="301"/>
      <c r="O47" s="327"/>
    </row>
    <row r="48" spans="1:15">
      <c r="A48" s="228">
        <v>1226</v>
      </c>
      <c r="B48" s="13">
        <v>1</v>
      </c>
      <c r="C48" s="256">
        <v>3209217.393423113</v>
      </c>
      <c r="D48" s="258">
        <v>0.49</v>
      </c>
      <c r="E48" s="254">
        <v>132730.7648679642</v>
      </c>
      <c r="G48" s="254">
        <f>E48+F48</f>
        <v>132730.7648679642</v>
      </c>
      <c r="H48" s="301"/>
      <c r="I48" s="301"/>
      <c r="J48" s="301"/>
      <c r="L48" s="301"/>
      <c r="O48" s="13"/>
    </row>
    <row r="49" spans="1:15">
      <c r="A49" s="228">
        <v>1226</v>
      </c>
      <c r="B49" s="13">
        <v>1.49</v>
      </c>
      <c r="C49" s="301">
        <v>3209217.393423113</v>
      </c>
      <c r="D49" s="258"/>
      <c r="O49" s="327"/>
    </row>
    <row r="50" spans="1:15">
      <c r="A50" s="228">
        <v>1226</v>
      </c>
      <c r="B50" s="327">
        <v>4</v>
      </c>
      <c r="C50" s="256">
        <v>9740877.7823530156</v>
      </c>
      <c r="D50" s="258">
        <v>0.49</v>
      </c>
      <c r="E50" s="254">
        <v>438437.75814626564</v>
      </c>
      <c r="G50" s="254">
        <f>E50+F50</f>
        <v>438437.75814626564</v>
      </c>
      <c r="O50" s="13"/>
    </row>
    <row r="51" spans="1:15">
      <c r="A51" s="228">
        <v>1226</v>
      </c>
      <c r="B51" s="13">
        <v>4.49</v>
      </c>
      <c r="C51" s="301">
        <v>9740877.7823530156</v>
      </c>
      <c r="D51" s="258"/>
      <c r="O51" s="327"/>
    </row>
    <row r="52" spans="1:15">
      <c r="A52" s="228">
        <v>1226</v>
      </c>
      <c r="B52" s="229">
        <v>7</v>
      </c>
      <c r="C52" s="256">
        <v>7032301.5086931139</v>
      </c>
      <c r="D52" s="258">
        <v>0.34</v>
      </c>
      <c r="E52" s="254">
        <v>434969.3223641488</v>
      </c>
      <c r="G52" s="254">
        <f>E52+F52</f>
        <v>434969.3223641488</v>
      </c>
      <c r="O52" s="13"/>
    </row>
    <row r="53" spans="1:15">
      <c r="A53" s="228">
        <v>1226</v>
      </c>
      <c r="B53" s="229">
        <v>7.34</v>
      </c>
      <c r="C53" s="254">
        <v>7032301.5086931139</v>
      </c>
      <c r="D53" s="258"/>
      <c r="O53" s="327"/>
    </row>
    <row r="54" spans="1:15">
      <c r="A54" s="228">
        <v>1226</v>
      </c>
      <c r="B54" s="229">
        <v>8</v>
      </c>
      <c r="C54" s="256">
        <v>9718643.7925605942</v>
      </c>
      <c r="D54" s="258">
        <v>0.9</v>
      </c>
      <c r="E54" s="254">
        <v>6991461.6001142487</v>
      </c>
      <c r="G54" s="254">
        <f>E54+F54</f>
        <v>6991461.6001142487</v>
      </c>
      <c r="O54" s="13"/>
    </row>
    <row r="55" spans="1:15">
      <c r="A55" s="228">
        <v>1226</v>
      </c>
      <c r="B55" s="229">
        <v>8.9</v>
      </c>
      <c r="C55" s="254">
        <v>9718643.7925605942</v>
      </c>
      <c r="D55" s="258"/>
      <c r="O55" s="327"/>
    </row>
    <row r="56" spans="1:15">
      <c r="A56" s="228">
        <v>1226</v>
      </c>
      <c r="B56" s="229">
        <v>18.399999999999999</v>
      </c>
      <c r="C56" s="254">
        <v>5990842.8830607859</v>
      </c>
      <c r="D56" s="258"/>
      <c r="O56" s="327"/>
    </row>
    <row r="57" spans="1:15">
      <c r="A57" s="228">
        <v>1226</v>
      </c>
      <c r="B57" s="327">
        <v>27</v>
      </c>
      <c r="C57" s="256">
        <v>3338833.091677546</v>
      </c>
      <c r="D57" s="258">
        <v>0.9</v>
      </c>
      <c r="E57" s="254">
        <v>1564774.9750793334</v>
      </c>
      <c r="G57" s="254">
        <f>E57+F57</f>
        <v>1564774.9750793334</v>
      </c>
      <c r="H57" s="301"/>
      <c r="I57" s="301"/>
      <c r="J57" s="301"/>
      <c r="L57" s="301"/>
      <c r="O57" s="13"/>
    </row>
    <row r="58" spans="1:15">
      <c r="A58" s="228">
        <v>1226</v>
      </c>
      <c r="B58" s="327">
        <v>27.9</v>
      </c>
      <c r="C58" s="301">
        <v>3338833.091677546</v>
      </c>
      <c r="D58" s="258"/>
      <c r="H58" s="301"/>
      <c r="I58" s="301"/>
      <c r="J58" s="301"/>
      <c r="L58" s="301"/>
      <c r="O58" s="327"/>
    </row>
    <row r="59" spans="1:15">
      <c r="A59" s="228">
        <v>1226</v>
      </c>
      <c r="B59" s="327">
        <v>37.4</v>
      </c>
      <c r="C59" s="301">
        <v>3827443.1982973716</v>
      </c>
      <c r="D59" s="258"/>
      <c r="O59" s="327"/>
    </row>
    <row r="60" spans="1:15">
      <c r="A60" s="228">
        <v>1226</v>
      </c>
      <c r="B60" s="229">
        <v>46.9</v>
      </c>
      <c r="C60" s="301">
        <v>2692906.4468611642</v>
      </c>
      <c r="D60" s="258"/>
      <c r="O60" s="327"/>
    </row>
    <row r="61" spans="1:15">
      <c r="A61" s="228">
        <v>1226</v>
      </c>
      <c r="B61" s="327">
        <v>47</v>
      </c>
      <c r="C61" s="256">
        <v>2692906.4468611642</v>
      </c>
      <c r="D61" s="258">
        <v>0.1</v>
      </c>
      <c r="E61" s="254">
        <v>1083002.9865236287</v>
      </c>
      <c r="G61" s="254">
        <f>E61+F61</f>
        <v>1083002.9865236287</v>
      </c>
      <c r="O61" s="13"/>
    </row>
    <row r="62" spans="1:15">
      <c r="A62" s="228">
        <v>1226</v>
      </c>
      <c r="B62" s="229">
        <v>56.4</v>
      </c>
      <c r="C62" s="301">
        <v>10566836.563125249</v>
      </c>
      <c r="D62" s="258"/>
      <c r="O62" s="13"/>
    </row>
    <row r="63" spans="1:15">
      <c r="A63" s="228">
        <v>1226</v>
      </c>
      <c r="B63" s="229">
        <v>65.900000000000006</v>
      </c>
      <c r="C63" s="301">
        <v>9069383.6355773732</v>
      </c>
      <c r="D63" s="258"/>
      <c r="O63" s="13"/>
    </row>
    <row r="64" spans="1:15">
      <c r="A64" s="228">
        <v>1226</v>
      </c>
      <c r="B64" s="229">
        <v>66</v>
      </c>
      <c r="C64" s="256">
        <v>9069383.6355773732</v>
      </c>
      <c r="D64" s="258">
        <v>0.1</v>
      </c>
      <c r="E64" s="254">
        <v>1488615.5257022865</v>
      </c>
      <c r="G64" s="254">
        <f>E64+F64</f>
        <v>1488615.5257022865</v>
      </c>
      <c r="O64" s="13"/>
    </row>
    <row r="65" spans="1:15">
      <c r="A65" s="228">
        <v>1226</v>
      </c>
      <c r="B65" s="229">
        <v>75.400000000000006</v>
      </c>
      <c r="C65" s="254">
        <v>5546644.1783004692</v>
      </c>
      <c r="D65" s="258"/>
      <c r="O65" s="13"/>
    </row>
    <row r="66" spans="1:15">
      <c r="A66" s="228">
        <v>1226</v>
      </c>
      <c r="B66" s="327">
        <v>84.9</v>
      </c>
      <c r="C66" s="301">
        <v>4907704.3893367993</v>
      </c>
      <c r="D66" s="258"/>
      <c r="H66" s="301"/>
      <c r="I66" s="301"/>
      <c r="J66" s="301"/>
      <c r="L66" s="301"/>
      <c r="O66" s="13"/>
    </row>
    <row r="67" spans="1:15">
      <c r="A67" s="228">
        <v>1226</v>
      </c>
      <c r="B67" s="327">
        <v>85</v>
      </c>
      <c r="C67" s="256">
        <v>4907704.3893367993</v>
      </c>
      <c r="D67" s="258">
        <v>0.1</v>
      </c>
      <c r="E67" s="254">
        <v>1445024.9589970296</v>
      </c>
      <c r="G67" s="254">
        <f>E67+F67</f>
        <v>1445024.9589970296</v>
      </c>
      <c r="O67" s="13"/>
    </row>
    <row r="68" spans="1:15">
      <c r="A68" s="228">
        <v>1226</v>
      </c>
      <c r="B68" s="327">
        <v>94.4</v>
      </c>
      <c r="C68" s="254">
        <v>4989852.4197655646</v>
      </c>
      <c r="D68" s="258"/>
      <c r="O68" s="13"/>
    </row>
    <row r="69" spans="1:15">
      <c r="A69" s="228">
        <v>1226</v>
      </c>
      <c r="B69" s="327">
        <v>103.9</v>
      </c>
      <c r="C69" s="254">
        <v>1401637.6574005883</v>
      </c>
      <c r="D69" s="258"/>
      <c r="O69" s="13"/>
    </row>
    <row r="70" spans="1:15">
      <c r="A70" s="228">
        <v>1226</v>
      </c>
      <c r="B70" s="327">
        <v>104</v>
      </c>
      <c r="C70" s="256">
        <v>1401637.6574005883</v>
      </c>
      <c r="D70" s="258">
        <v>0.1</v>
      </c>
      <c r="E70" s="254">
        <v>1020707.1161974899</v>
      </c>
      <c r="G70" s="254">
        <f>E70+F70</f>
        <v>1020707.1161974899</v>
      </c>
      <c r="O70" s="13"/>
    </row>
    <row r="71" spans="1:15">
      <c r="A71" s="228">
        <v>1226</v>
      </c>
      <c r="B71" s="327">
        <v>113.4</v>
      </c>
      <c r="C71" s="301">
        <v>1856003.0568960814</v>
      </c>
      <c r="D71" s="258"/>
      <c r="H71" s="301"/>
      <c r="I71" s="301"/>
      <c r="J71" s="301"/>
      <c r="L71" s="301"/>
      <c r="O71" s="13"/>
    </row>
    <row r="72" spans="1:15">
      <c r="A72" s="228">
        <v>1226</v>
      </c>
      <c r="B72" s="327">
        <v>122.9</v>
      </c>
      <c r="C72" s="301">
        <v>1470905.5057868124</v>
      </c>
      <c r="D72" s="258"/>
      <c r="H72" s="301"/>
      <c r="I72" s="301"/>
      <c r="J72" s="301"/>
      <c r="L72" s="301"/>
      <c r="O72" s="13"/>
    </row>
    <row r="73" spans="1:15">
      <c r="A73" s="228">
        <v>1226</v>
      </c>
      <c r="B73" s="327">
        <v>132</v>
      </c>
      <c r="C73" s="256">
        <v>2103254.179323582</v>
      </c>
      <c r="D73" s="258">
        <v>0.4</v>
      </c>
      <c r="E73" s="254">
        <v>984566.50535303866</v>
      </c>
      <c r="G73" s="254">
        <f>E73+F73</f>
        <v>984566.50535303866</v>
      </c>
      <c r="H73" s="301"/>
      <c r="I73" s="301"/>
      <c r="J73" s="301"/>
      <c r="L73" s="301"/>
      <c r="O73" s="13"/>
    </row>
    <row r="74" spans="1:15">
      <c r="A74" s="228">
        <v>1226</v>
      </c>
      <c r="B74" s="229">
        <v>132.4</v>
      </c>
      <c r="C74" s="254">
        <v>2103254.179323582</v>
      </c>
      <c r="D74" s="258"/>
      <c r="O74" s="13"/>
    </row>
    <row r="75" spans="1:15">
      <c r="A75" s="228">
        <v>1226</v>
      </c>
      <c r="B75" s="229">
        <v>141.9</v>
      </c>
      <c r="C75" s="301">
        <v>1999732.9052673029</v>
      </c>
      <c r="D75" s="258"/>
      <c r="O75" s="13"/>
    </row>
    <row r="76" spans="1:15">
      <c r="A76" s="228">
        <v>1226</v>
      </c>
      <c r="B76" s="327">
        <v>160.9</v>
      </c>
      <c r="C76" s="301">
        <v>2999884.9699031995</v>
      </c>
      <c r="D76" s="258"/>
      <c r="H76" s="301"/>
      <c r="I76" s="301"/>
      <c r="J76" s="301"/>
      <c r="L76" s="301"/>
      <c r="O76" s="13"/>
    </row>
    <row r="77" spans="1:15">
      <c r="A77" s="228">
        <v>1226</v>
      </c>
      <c r="B77" s="327">
        <v>161</v>
      </c>
      <c r="C77" s="256">
        <v>2999884.9699031995</v>
      </c>
      <c r="D77" s="258">
        <v>0.1</v>
      </c>
      <c r="E77" s="254">
        <v>713952.44813053659</v>
      </c>
      <c r="G77" s="254">
        <f>E77+F77</f>
        <v>713952.44813053659</v>
      </c>
      <c r="H77" s="301"/>
      <c r="I77" s="301"/>
      <c r="J77" s="301"/>
      <c r="L77" s="301"/>
      <c r="O77" s="13"/>
    </row>
    <row r="78" spans="1:15">
      <c r="A78" s="228">
        <v>1226</v>
      </c>
      <c r="B78" s="327">
        <v>189.4</v>
      </c>
      <c r="C78" s="301">
        <v>1258958.6555100097</v>
      </c>
      <c r="D78" s="258"/>
      <c r="H78" s="301"/>
      <c r="I78" s="301"/>
      <c r="J78" s="301"/>
      <c r="L78" s="301"/>
      <c r="O78" s="13"/>
    </row>
    <row r="79" spans="1:15">
      <c r="A79" s="228">
        <v>1226</v>
      </c>
      <c r="B79" s="327">
        <v>199</v>
      </c>
      <c r="C79" s="256">
        <v>3608111.7667297246</v>
      </c>
      <c r="D79" s="258">
        <v>0.2</v>
      </c>
      <c r="E79" s="254">
        <v>1422335.7006407799</v>
      </c>
      <c r="G79" s="254">
        <f>E79+F79</f>
        <v>1422335.7006407799</v>
      </c>
      <c r="O79" s="13"/>
    </row>
    <row r="80" spans="1:15">
      <c r="A80" s="228">
        <v>1226</v>
      </c>
      <c r="B80" s="229">
        <v>199.2</v>
      </c>
      <c r="C80" s="254">
        <v>3608111.7667297246</v>
      </c>
      <c r="D80" s="258"/>
      <c r="O80" s="13"/>
    </row>
    <row r="81" spans="1:15">
      <c r="A81" s="228">
        <v>1226</v>
      </c>
      <c r="B81" s="327">
        <v>202</v>
      </c>
      <c r="C81" s="256">
        <v>3608111.7667297246</v>
      </c>
      <c r="D81" s="258">
        <f>B81-B80</f>
        <v>2.8000000000000114</v>
      </c>
      <c r="E81" s="254">
        <v>371526.78929011628</v>
      </c>
      <c r="G81" s="254">
        <f>E81+F81</f>
        <v>371526.78929011628</v>
      </c>
      <c r="H81" s="301"/>
      <c r="I81" s="301"/>
      <c r="J81" s="301"/>
      <c r="L81" s="301"/>
      <c r="O81" s="13"/>
    </row>
    <row r="82" spans="1:15">
      <c r="A82" s="228">
        <v>1226</v>
      </c>
      <c r="B82" s="327">
        <v>217.9</v>
      </c>
      <c r="C82" s="301">
        <v>2191081.5969802034</v>
      </c>
      <c r="D82" s="258"/>
      <c r="H82" s="301"/>
      <c r="I82" s="301"/>
      <c r="J82" s="301"/>
      <c r="L82" s="301"/>
      <c r="O82" s="13"/>
    </row>
    <row r="83" spans="1:15">
      <c r="A83" s="228">
        <v>1226</v>
      </c>
      <c r="B83" s="229">
        <v>218</v>
      </c>
      <c r="C83" s="256">
        <v>2191081.5969802034</v>
      </c>
      <c r="D83" s="258">
        <v>0.1</v>
      </c>
      <c r="E83" s="254">
        <v>1958754.7450722985</v>
      </c>
      <c r="G83" s="254">
        <f>E83+F83</f>
        <v>1958754.7450722985</v>
      </c>
      <c r="O83" s="13"/>
    </row>
    <row r="84" spans="1:15">
      <c r="A84" s="228">
        <v>1226</v>
      </c>
      <c r="B84" s="327">
        <v>236.9</v>
      </c>
      <c r="C84" s="301">
        <v>3545149.0314520355</v>
      </c>
      <c r="D84" s="258"/>
      <c r="H84" s="301"/>
      <c r="I84" s="301"/>
      <c r="J84" s="301"/>
      <c r="L84" s="301"/>
      <c r="O84" s="13"/>
    </row>
    <row r="85" spans="1:15">
      <c r="A85" s="228">
        <v>1226</v>
      </c>
      <c r="B85" s="327">
        <v>246</v>
      </c>
      <c r="C85" s="256">
        <v>1385649.3150039311</v>
      </c>
      <c r="D85" s="258">
        <f>B86-B85</f>
        <v>1.9000000000000057</v>
      </c>
      <c r="E85" s="254">
        <v>1352041.2160964643</v>
      </c>
      <c r="G85" s="254">
        <f>E85+F85</f>
        <v>1352041.2160964643</v>
      </c>
      <c r="H85" s="301"/>
      <c r="I85" s="301"/>
      <c r="J85" s="301"/>
      <c r="L85" s="301"/>
      <c r="O85" s="13"/>
    </row>
    <row r="86" spans="1:15">
      <c r="A86" s="228">
        <v>1226</v>
      </c>
      <c r="B86" s="327">
        <v>247.9</v>
      </c>
      <c r="C86" s="301">
        <v>1385649.3150039311</v>
      </c>
      <c r="D86" s="258"/>
      <c r="H86" s="301"/>
      <c r="I86" s="301"/>
      <c r="J86" s="301"/>
      <c r="L86" s="301"/>
      <c r="O86" s="13"/>
    </row>
    <row r="87" spans="1:15">
      <c r="A87" s="228">
        <v>1226</v>
      </c>
      <c r="B87" s="327">
        <v>257.39999999999998</v>
      </c>
      <c r="C87" s="301">
        <v>1580176.2636604016</v>
      </c>
      <c r="D87" s="258"/>
      <c r="H87" s="301"/>
      <c r="I87" s="301"/>
      <c r="J87" s="301"/>
      <c r="L87" s="301"/>
      <c r="O87" s="13"/>
    </row>
    <row r="88" spans="1:15">
      <c r="A88" s="228">
        <v>1226</v>
      </c>
      <c r="B88" s="327">
        <v>276</v>
      </c>
      <c r="C88" s="256">
        <v>1450361.7097133796</v>
      </c>
      <c r="D88" s="258">
        <v>0.4</v>
      </c>
      <c r="E88" s="254">
        <v>859451.73687718727</v>
      </c>
      <c r="G88" s="254">
        <f>E88+F88</f>
        <v>859451.73687718727</v>
      </c>
      <c r="H88" s="301"/>
      <c r="I88" s="301"/>
      <c r="J88" s="301"/>
      <c r="L88" s="301"/>
      <c r="O88" s="13"/>
    </row>
    <row r="89" spans="1:15">
      <c r="A89" s="228">
        <v>1226</v>
      </c>
      <c r="B89" s="327">
        <v>276.39999999999998</v>
      </c>
      <c r="C89" s="301">
        <v>1450361.7097133796</v>
      </c>
      <c r="D89" s="258"/>
      <c r="H89" s="301"/>
      <c r="I89" s="301"/>
      <c r="J89" s="301"/>
      <c r="L89" s="301"/>
      <c r="O89" s="13"/>
    </row>
    <row r="90" spans="1:15">
      <c r="A90" s="228">
        <v>1226</v>
      </c>
      <c r="B90" s="327">
        <v>283</v>
      </c>
      <c r="C90" s="301"/>
      <c r="D90" s="258"/>
      <c r="E90" s="254">
        <v>339684.57833674696</v>
      </c>
      <c r="G90" s="254">
        <f>E90+F90</f>
        <v>339684.57833674696</v>
      </c>
      <c r="H90" s="301"/>
      <c r="I90" s="301"/>
      <c r="J90" s="301"/>
      <c r="L90" s="301"/>
      <c r="O90" s="13"/>
    </row>
    <row r="91" spans="1:15">
      <c r="A91" s="228">
        <v>1226</v>
      </c>
      <c r="B91" s="229">
        <v>295.3</v>
      </c>
      <c r="C91" s="301">
        <v>2854611.6897802125</v>
      </c>
      <c r="D91" s="258"/>
      <c r="O91" s="13"/>
    </row>
    <row r="92" spans="1:15">
      <c r="A92" s="228">
        <v>1226</v>
      </c>
      <c r="B92" s="327">
        <v>310</v>
      </c>
      <c r="C92" s="256">
        <v>1157790.1486272989</v>
      </c>
      <c r="D92" s="258">
        <v>4.6500000000000004</v>
      </c>
      <c r="E92" s="254">
        <v>248379.95699882123</v>
      </c>
      <c r="G92" s="254">
        <f>E92+F92</f>
        <v>248379.95699882123</v>
      </c>
      <c r="H92" s="301"/>
      <c r="I92" s="301"/>
      <c r="J92" s="301"/>
      <c r="L92" s="301"/>
      <c r="O92" s="13"/>
    </row>
    <row r="93" spans="1:15">
      <c r="A93" s="228">
        <v>1226</v>
      </c>
      <c r="B93" s="327">
        <v>314.64999999999998</v>
      </c>
      <c r="C93" s="301">
        <v>1157790.1486272989</v>
      </c>
      <c r="D93" s="258"/>
      <c r="H93" s="301"/>
      <c r="I93" s="301"/>
      <c r="J93" s="301"/>
      <c r="L93" s="301"/>
      <c r="O93" s="13"/>
    </row>
    <row r="94" spans="1:15">
      <c r="A94" s="228">
        <v>1226</v>
      </c>
      <c r="B94" s="327">
        <v>321</v>
      </c>
      <c r="C94" s="301"/>
      <c r="D94" s="258"/>
      <c r="E94" s="254">
        <v>425167.15641855117</v>
      </c>
      <c r="G94" s="254">
        <f>E94+F94</f>
        <v>425167.15641855117</v>
      </c>
      <c r="H94" s="301"/>
      <c r="I94" s="301"/>
      <c r="J94" s="301"/>
      <c r="L94" s="301"/>
      <c r="O94" s="13"/>
    </row>
    <row r="95" spans="1:15">
      <c r="A95" s="228">
        <v>1226</v>
      </c>
      <c r="B95" s="327">
        <v>340.84</v>
      </c>
      <c r="C95" s="254">
        <v>2279093.5828553829</v>
      </c>
      <c r="D95" s="258"/>
      <c r="O95" s="13"/>
    </row>
    <row r="96" spans="1:15">
      <c r="A96" s="228">
        <v>1226</v>
      </c>
      <c r="B96" s="327">
        <v>368.4</v>
      </c>
      <c r="C96" s="301">
        <v>2079598.397536705</v>
      </c>
      <c r="D96" s="258"/>
      <c r="H96" s="301"/>
      <c r="I96" s="301"/>
      <c r="J96" s="301"/>
      <c r="L96" s="301"/>
      <c r="O96" s="13"/>
    </row>
    <row r="97" spans="1:15">
      <c r="A97" s="228">
        <v>1226</v>
      </c>
      <c r="B97" s="327">
        <v>381</v>
      </c>
      <c r="C97" s="301">
        <v>2553413.7888139286</v>
      </c>
      <c r="D97" s="258"/>
      <c r="H97" s="301"/>
      <c r="I97" s="301"/>
      <c r="J97" s="301"/>
      <c r="L97" s="301"/>
      <c r="O97" s="13"/>
    </row>
    <row r="98" spans="1:15">
      <c r="A98" s="228">
        <v>1226</v>
      </c>
      <c r="B98" s="327">
        <v>401</v>
      </c>
      <c r="C98" s="256">
        <v>2525921.2696262728</v>
      </c>
      <c r="D98" s="258">
        <v>0.7</v>
      </c>
      <c r="E98" s="254">
        <v>1535607.5083089177</v>
      </c>
      <c r="G98" s="254">
        <f>E98+F98</f>
        <v>1535607.5083089177</v>
      </c>
      <c r="H98" s="301"/>
      <c r="I98" s="301"/>
      <c r="J98" s="301"/>
      <c r="L98" s="301"/>
      <c r="O98" s="13"/>
    </row>
    <row r="99" spans="1:15">
      <c r="A99" s="228">
        <v>1226</v>
      </c>
      <c r="B99" s="327">
        <v>401.7</v>
      </c>
      <c r="C99" s="301">
        <v>2525921.2696262728</v>
      </c>
      <c r="D99" s="258"/>
      <c r="H99" s="301"/>
      <c r="I99" s="301"/>
      <c r="J99" s="301"/>
      <c r="L99" s="301"/>
      <c r="O99" s="13"/>
    </row>
    <row r="100" spans="1:15">
      <c r="A100" s="228">
        <v>1226</v>
      </c>
      <c r="B100" s="327">
        <v>411</v>
      </c>
      <c r="C100" s="256">
        <v>1139203.6054832372</v>
      </c>
      <c r="D100" s="258">
        <v>0.3</v>
      </c>
      <c r="E100" s="254">
        <v>950250.3718117472</v>
      </c>
      <c r="G100" s="254">
        <f>E100+F100</f>
        <v>950250.3718117472</v>
      </c>
      <c r="H100" s="301"/>
      <c r="I100" s="301"/>
      <c r="J100" s="301"/>
      <c r="L100" s="301"/>
      <c r="O100" s="13"/>
    </row>
    <row r="101" spans="1:15">
      <c r="A101" s="228">
        <v>1226</v>
      </c>
      <c r="B101" s="327">
        <v>411.3</v>
      </c>
      <c r="C101" s="301">
        <v>1139203.6054832372</v>
      </c>
      <c r="D101" s="258"/>
      <c r="H101" s="301"/>
      <c r="I101" s="301"/>
      <c r="J101" s="301"/>
      <c r="L101" s="301"/>
      <c r="O101" s="13"/>
    </row>
    <row r="102" spans="1:15">
      <c r="A102" s="228">
        <v>1226</v>
      </c>
      <c r="B102" s="229">
        <v>419.4</v>
      </c>
      <c r="C102" s="254">
        <v>1448694.6759140373</v>
      </c>
      <c r="D102" s="258"/>
      <c r="O102" s="13"/>
    </row>
    <row r="103" spans="1:15">
      <c r="A103" s="228">
        <v>1226</v>
      </c>
      <c r="B103" s="327">
        <v>421</v>
      </c>
      <c r="C103" s="256">
        <v>1448694.6759140373</v>
      </c>
      <c r="D103" s="258">
        <f>B103-B102</f>
        <v>1.6000000000000227</v>
      </c>
      <c r="E103" s="254">
        <v>268457.0153050645</v>
      </c>
      <c r="G103" s="254">
        <f>E103+F103</f>
        <v>268457.0153050645</v>
      </c>
      <c r="H103" s="301"/>
      <c r="I103" s="301"/>
      <c r="J103" s="301"/>
      <c r="L103" s="301"/>
      <c r="O103" s="13"/>
    </row>
    <row r="104" spans="1:15">
      <c r="A104" s="228">
        <v>1227</v>
      </c>
      <c r="B104" s="13">
        <v>0.15</v>
      </c>
      <c r="C104" s="301">
        <v>48619392.164123654</v>
      </c>
      <c r="D104" s="258"/>
      <c r="H104" s="301"/>
      <c r="I104" s="301"/>
      <c r="J104" s="301"/>
      <c r="L104" s="301"/>
      <c r="O104" s="327"/>
    </row>
    <row r="105" spans="1:15">
      <c r="A105" s="228">
        <v>1227</v>
      </c>
      <c r="B105" s="332">
        <v>0.35</v>
      </c>
      <c r="C105" s="256">
        <v>48619392.164123654</v>
      </c>
      <c r="D105" s="264">
        <v>0.2</v>
      </c>
      <c r="H105" s="255">
        <v>14296001.995665399</v>
      </c>
      <c r="I105" s="255">
        <v>13204190.0566124</v>
      </c>
      <c r="J105" s="253">
        <f>H105+I105</f>
        <v>27500192.0522778</v>
      </c>
      <c r="L105" s="255">
        <v>70005006.477124497</v>
      </c>
      <c r="O105" s="13"/>
    </row>
    <row r="106" spans="1:15">
      <c r="A106" s="228">
        <v>1227</v>
      </c>
      <c r="B106" s="333">
        <v>0.6</v>
      </c>
      <c r="C106" s="256"/>
      <c r="D106" s="264"/>
      <c r="H106" s="255">
        <v>47326010.7989375</v>
      </c>
      <c r="I106" s="255">
        <v>9653880.05233947</v>
      </c>
      <c r="J106" s="253">
        <f>H106+I106</f>
        <v>56979890.851276971</v>
      </c>
      <c r="L106" s="255">
        <v>114843362.17340399</v>
      </c>
      <c r="O106" s="13"/>
    </row>
    <row r="107" spans="1:15">
      <c r="A107" s="228">
        <v>1227</v>
      </c>
      <c r="B107" s="13">
        <v>1</v>
      </c>
      <c r="C107" s="301"/>
      <c r="D107" s="258"/>
      <c r="E107" s="254">
        <v>573420.36266276392</v>
      </c>
      <c r="G107" s="254">
        <f>E107+F107</f>
        <v>573420.36266276392</v>
      </c>
      <c r="H107" s="301"/>
      <c r="I107" s="301"/>
      <c r="J107" s="301"/>
      <c r="L107" s="301"/>
      <c r="O107" s="327"/>
    </row>
    <row r="108" spans="1:15">
      <c r="A108" s="228">
        <v>1227</v>
      </c>
      <c r="B108" s="13">
        <v>2</v>
      </c>
      <c r="C108" s="301"/>
      <c r="D108" s="258"/>
      <c r="E108" s="254">
        <v>223759.27729649353</v>
      </c>
      <c r="G108" s="254">
        <f>E108+F108</f>
        <v>223759.27729649353</v>
      </c>
      <c r="O108" s="327"/>
    </row>
    <row r="109" spans="1:15">
      <c r="A109" s="228">
        <v>1227</v>
      </c>
      <c r="B109" s="13">
        <v>3.28</v>
      </c>
      <c r="C109" s="301">
        <v>93072464.529758841</v>
      </c>
      <c r="D109" s="258"/>
      <c r="H109" s="301"/>
      <c r="I109" s="301"/>
      <c r="J109" s="301"/>
      <c r="L109" s="301"/>
      <c r="O109" s="327"/>
    </row>
    <row r="110" spans="1:15">
      <c r="A110" s="228">
        <v>1227</v>
      </c>
      <c r="B110" s="251">
        <v>3.49</v>
      </c>
      <c r="C110" s="256">
        <v>93072464.529758841</v>
      </c>
      <c r="D110" s="258">
        <f>B110-B$109</f>
        <v>0.21000000000000041</v>
      </c>
      <c r="H110" s="255">
        <v>20398666.3368164</v>
      </c>
      <c r="I110" s="255">
        <v>8550091.7322941292</v>
      </c>
      <c r="J110" s="253">
        <f>H110+I110</f>
        <v>28948758.069110528</v>
      </c>
      <c r="L110" s="255">
        <v>51040012.751614101</v>
      </c>
      <c r="O110" s="13"/>
    </row>
    <row r="111" spans="1:15">
      <c r="A111" s="228">
        <v>1227</v>
      </c>
      <c r="B111" s="252">
        <v>3.6</v>
      </c>
      <c r="C111" s="256">
        <v>93072464.529758841</v>
      </c>
      <c r="D111" s="258">
        <f>B111-B$109</f>
        <v>0.32000000000000028</v>
      </c>
      <c r="H111" s="255">
        <v>72244518.098389298</v>
      </c>
      <c r="I111" s="255">
        <v>8078211.7295576204</v>
      </c>
      <c r="J111" s="253">
        <f>H111+I111</f>
        <v>80322729.827946916</v>
      </c>
      <c r="L111" s="255">
        <v>134215569.49217799</v>
      </c>
      <c r="O111" s="13"/>
    </row>
    <row r="112" spans="1:15">
      <c r="A112" s="228">
        <v>1227</v>
      </c>
      <c r="B112" s="327">
        <v>4</v>
      </c>
      <c r="C112" s="256">
        <v>93072464.529758841</v>
      </c>
      <c r="D112" s="258">
        <f>B112-B$109</f>
        <v>0.7200000000000002</v>
      </c>
      <c r="E112" s="254">
        <v>622893.7417816103</v>
      </c>
      <c r="G112" s="254">
        <f>E112+F112</f>
        <v>622893.7417816103</v>
      </c>
      <c r="H112" s="301"/>
      <c r="I112" s="301"/>
      <c r="J112" s="301"/>
      <c r="L112" s="301"/>
      <c r="O112" s="13"/>
    </row>
    <row r="113" spans="1:15">
      <c r="A113" s="228">
        <v>1227</v>
      </c>
      <c r="B113" s="327">
        <v>6</v>
      </c>
      <c r="C113" s="256">
        <v>25876194.261187751</v>
      </c>
      <c r="D113" s="258">
        <v>0.28000000000000003</v>
      </c>
      <c r="E113" s="254">
        <v>207528.59956118526</v>
      </c>
      <c r="G113" s="254">
        <f>E113+F113</f>
        <v>207528.59956118526</v>
      </c>
      <c r="H113" s="301"/>
      <c r="I113" s="301"/>
      <c r="J113" s="301"/>
      <c r="L113" s="301"/>
      <c r="O113" s="13"/>
    </row>
    <row r="114" spans="1:15">
      <c r="A114" s="228">
        <v>1227</v>
      </c>
      <c r="B114" s="327">
        <v>6.28</v>
      </c>
      <c r="C114" s="301">
        <v>25876194.261187751</v>
      </c>
      <c r="D114" s="258"/>
      <c r="H114" s="301"/>
      <c r="I114" s="301"/>
      <c r="J114" s="301"/>
      <c r="L114" s="301"/>
      <c r="O114" s="327"/>
    </row>
    <row r="115" spans="1:15">
      <c r="A115" s="228">
        <v>1227</v>
      </c>
      <c r="B115" s="252">
        <v>6.49</v>
      </c>
      <c r="C115" s="256">
        <v>25876194.261187751</v>
      </c>
      <c r="D115" s="264">
        <v>0.21</v>
      </c>
      <c r="H115" s="255"/>
      <c r="I115" s="255">
        <v>9079735.3052618094</v>
      </c>
      <c r="J115" s="253"/>
      <c r="L115" s="255">
        <v>192322098.03120399</v>
      </c>
      <c r="O115" s="13"/>
    </row>
    <row r="116" spans="1:15">
      <c r="A116">
        <v>1227</v>
      </c>
      <c r="B116" s="252">
        <v>6.6</v>
      </c>
      <c r="C116" s="256">
        <v>25876194.261187751</v>
      </c>
      <c r="D116" s="264">
        <f>B116-B114</f>
        <v>0.3199999999999994</v>
      </c>
      <c r="H116" s="255">
        <v>9570704.3038197309</v>
      </c>
      <c r="I116" s="255">
        <v>3598928.6095680702</v>
      </c>
      <c r="J116" s="253">
        <f>H116+I116</f>
        <v>13169632.913387801</v>
      </c>
      <c r="L116" s="255">
        <v>15722365.8738735</v>
      </c>
      <c r="O116" s="13"/>
    </row>
    <row r="117" spans="1:15">
      <c r="A117">
        <v>1227</v>
      </c>
      <c r="B117" s="251">
        <v>7.86</v>
      </c>
      <c r="C117" s="256">
        <v>14151391.816178009</v>
      </c>
      <c r="D117" s="264">
        <f>B$119-B117</f>
        <v>0.54</v>
      </c>
      <c r="H117" s="255">
        <v>4606696.1684773397</v>
      </c>
      <c r="I117" s="255">
        <v>1176585.7104264901</v>
      </c>
      <c r="J117" s="253">
        <f>H117+I117</f>
        <v>5783281.8789038295</v>
      </c>
      <c r="L117" s="255">
        <v>7362775.6879907604</v>
      </c>
      <c r="O117" s="13"/>
    </row>
    <row r="118" spans="1:15">
      <c r="A118">
        <v>1227</v>
      </c>
      <c r="B118" s="327">
        <v>8</v>
      </c>
      <c r="C118" s="256">
        <v>14151391.816178009</v>
      </c>
      <c r="D118" s="264">
        <f>B$119-B118</f>
        <v>0.40000000000000036</v>
      </c>
      <c r="E118" s="254">
        <v>588859.58538045944</v>
      </c>
      <c r="G118" s="254">
        <f>E118+F118</f>
        <v>588859.58538045944</v>
      </c>
      <c r="H118" s="301"/>
      <c r="I118" s="301"/>
      <c r="J118" s="301"/>
      <c r="L118" s="301"/>
      <c r="O118" s="13"/>
    </row>
    <row r="119" spans="1:15">
      <c r="A119">
        <v>1227</v>
      </c>
      <c r="B119" s="229">
        <v>8.4</v>
      </c>
      <c r="C119" s="301">
        <v>14151391.816178009</v>
      </c>
      <c r="D119" s="258"/>
      <c r="O119" s="327"/>
    </row>
    <row r="120" spans="1:15">
      <c r="A120">
        <v>1227</v>
      </c>
      <c r="B120" s="252">
        <v>8.6000000000000014</v>
      </c>
      <c r="C120" s="256">
        <v>14151391.816178009</v>
      </c>
      <c r="D120" s="264">
        <f>B120-B$119</f>
        <v>0.20000000000000107</v>
      </c>
      <c r="H120" s="255">
        <v>5197720.2158884397</v>
      </c>
      <c r="I120" s="255">
        <v>373589.99054071668</v>
      </c>
      <c r="J120" s="253">
        <f>H120+I120</f>
        <v>5571310.2064291565</v>
      </c>
      <c r="L120" s="255">
        <v>5200222.1702158898</v>
      </c>
      <c r="O120" s="13"/>
    </row>
    <row r="121" spans="1:15">
      <c r="A121">
        <v>1227</v>
      </c>
      <c r="B121" s="251">
        <v>11.8</v>
      </c>
      <c r="C121" s="253"/>
      <c r="D121" s="264"/>
      <c r="H121" s="255">
        <v>479021.90485900582</v>
      </c>
      <c r="I121" s="255">
        <v>296291.85075000452</v>
      </c>
      <c r="J121" s="253">
        <f>H121+I121</f>
        <v>775313.75560901035</v>
      </c>
      <c r="L121" s="255">
        <v>1505720.53525323</v>
      </c>
      <c r="O121" s="327"/>
    </row>
    <row r="122" spans="1:15">
      <c r="A122">
        <v>1227</v>
      </c>
      <c r="B122" s="252">
        <v>11.9</v>
      </c>
      <c r="C122" s="253"/>
      <c r="D122" s="264"/>
      <c r="H122" s="255">
        <v>4088348.4016021099</v>
      </c>
      <c r="I122" s="255">
        <v>569776.97934035945</v>
      </c>
      <c r="J122" s="253">
        <f>H122+I122</f>
        <v>4658125.3809424695</v>
      </c>
      <c r="L122" s="255">
        <v>8310399.4362516096</v>
      </c>
      <c r="O122" s="327"/>
    </row>
    <row r="123" spans="1:15">
      <c r="A123">
        <v>1227</v>
      </c>
      <c r="B123" s="251">
        <v>16.8</v>
      </c>
      <c r="C123" s="256">
        <v>3530691.020348622</v>
      </c>
      <c r="D123" s="264">
        <v>1.2</v>
      </c>
      <c r="H123" s="255">
        <v>1142502.3107423901</v>
      </c>
      <c r="I123" s="255">
        <v>165853.6704244414</v>
      </c>
      <c r="J123" s="253">
        <f>H123+I123</f>
        <v>1308355.9811668315</v>
      </c>
      <c r="L123" s="255">
        <v>1366806.66254626</v>
      </c>
      <c r="O123" s="13"/>
    </row>
    <row r="124" spans="1:15">
      <c r="A124">
        <v>1227</v>
      </c>
      <c r="B124" s="252">
        <v>16.899999999999999</v>
      </c>
      <c r="C124" s="256">
        <v>3530691.020348622</v>
      </c>
      <c r="D124" s="264">
        <v>1.1000000000000001</v>
      </c>
      <c r="H124" s="255">
        <v>988313.88863863703</v>
      </c>
      <c r="I124" s="255">
        <v>46655.827703561656</v>
      </c>
      <c r="J124" s="253">
        <f>H124+I124</f>
        <v>1034969.7163421987</v>
      </c>
      <c r="L124" s="255">
        <v>1012646.5757542599</v>
      </c>
      <c r="O124" s="13"/>
    </row>
    <row r="125" spans="1:15">
      <c r="A125">
        <v>1227</v>
      </c>
      <c r="B125" s="327">
        <v>17</v>
      </c>
      <c r="C125" s="256">
        <v>3530691.020348622</v>
      </c>
      <c r="D125" s="258">
        <v>0.9</v>
      </c>
      <c r="E125" s="254">
        <v>589085.86679350014</v>
      </c>
      <c r="G125" s="254">
        <f>E125+F125</f>
        <v>589085.86679350014</v>
      </c>
      <c r="H125" s="301"/>
      <c r="I125" s="301"/>
      <c r="J125" s="301"/>
      <c r="L125" s="301"/>
      <c r="O125" s="13"/>
    </row>
    <row r="126" spans="1:15">
      <c r="A126">
        <v>1227</v>
      </c>
      <c r="B126" s="327">
        <v>17.899999999999999</v>
      </c>
      <c r="C126" s="301">
        <v>3530691.020348622</v>
      </c>
      <c r="D126" s="258"/>
      <c r="H126" s="301"/>
      <c r="I126" s="301"/>
      <c r="J126" s="301"/>
      <c r="L126" s="301"/>
      <c r="O126" s="327"/>
    </row>
    <row r="127" spans="1:15">
      <c r="A127">
        <v>1227</v>
      </c>
      <c r="B127" s="327">
        <v>17.899999999999999</v>
      </c>
      <c r="C127" s="301">
        <v>3765217.8198272204</v>
      </c>
      <c r="D127" s="258"/>
      <c r="H127" s="301"/>
      <c r="I127" s="301"/>
      <c r="J127" s="301"/>
      <c r="L127" s="301"/>
      <c r="O127" s="327"/>
    </row>
    <row r="128" spans="1:15">
      <c r="A128">
        <v>1227</v>
      </c>
      <c r="B128" s="251">
        <v>21.3</v>
      </c>
      <c r="C128" s="253"/>
      <c r="D128" s="264"/>
      <c r="H128" s="255">
        <v>887765.87170827331</v>
      </c>
      <c r="I128" s="255">
        <v>86516.135498179749</v>
      </c>
      <c r="J128" s="253">
        <f>H128+I128</f>
        <v>974282.00720645301</v>
      </c>
      <c r="L128" s="255">
        <v>663364.83446368587</v>
      </c>
      <c r="O128" s="327"/>
    </row>
    <row r="129" spans="1:15">
      <c r="A129">
        <v>1227</v>
      </c>
      <c r="B129" s="252">
        <v>21.4</v>
      </c>
      <c r="C129" s="253"/>
      <c r="D129" s="264"/>
      <c r="H129" s="255">
        <v>824988.50718493864</v>
      </c>
      <c r="I129" s="255">
        <v>97737.351246595295</v>
      </c>
      <c r="J129" s="253">
        <f>H129+I129</f>
        <v>922725.85843153391</v>
      </c>
      <c r="L129" s="255">
        <v>998504.20576699241</v>
      </c>
      <c r="O129" s="327"/>
    </row>
    <row r="130" spans="1:15">
      <c r="A130">
        <v>1227</v>
      </c>
      <c r="B130" s="229">
        <v>22</v>
      </c>
      <c r="D130" s="258"/>
      <c r="E130" s="254">
        <v>444994.07009511208</v>
      </c>
      <c r="G130" s="254">
        <f>E130+F130</f>
        <v>444994.07009511208</v>
      </c>
      <c r="O130" s="327"/>
    </row>
    <row r="131" spans="1:15">
      <c r="A131">
        <v>1227</v>
      </c>
      <c r="B131" s="327">
        <v>25.95</v>
      </c>
      <c r="C131" s="301">
        <v>5544398.8669525469</v>
      </c>
      <c r="D131" s="258"/>
      <c r="H131" s="301"/>
      <c r="I131" s="301"/>
      <c r="J131" s="301"/>
      <c r="L131" s="301"/>
      <c r="O131" s="327"/>
    </row>
    <row r="132" spans="1:15">
      <c r="A132">
        <v>1227</v>
      </c>
      <c r="B132" s="251">
        <v>29.35</v>
      </c>
      <c r="C132" s="256">
        <v>10050455.059383195</v>
      </c>
      <c r="D132" s="264">
        <f>B$135-B132</f>
        <v>1.9599999999999973</v>
      </c>
      <c r="H132" s="255">
        <v>260026.09196084607</v>
      </c>
      <c r="I132" s="255">
        <v>8492.9766260049801</v>
      </c>
      <c r="J132" s="253">
        <f>H132+I132</f>
        <v>268519.06858685106</v>
      </c>
      <c r="L132" s="255">
        <v>93070.903270060706</v>
      </c>
      <c r="O132" s="13"/>
    </row>
    <row r="133" spans="1:15">
      <c r="A133">
        <v>1227</v>
      </c>
      <c r="B133" s="252">
        <v>31.2</v>
      </c>
      <c r="C133" s="256">
        <v>10050455.059383195</v>
      </c>
      <c r="D133" s="264">
        <f>B$135-B133</f>
        <v>0.10999999999999943</v>
      </c>
      <c r="H133" s="255"/>
      <c r="I133" s="255">
        <v>48581.342956900502</v>
      </c>
      <c r="J133" s="253"/>
      <c r="L133" s="255">
        <v>35226934.297073103</v>
      </c>
      <c r="O133" s="13"/>
    </row>
    <row r="134" spans="1:15">
      <c r="A134">
        <v>1227</v>
      </c>
      <c r="B134" s="252">
        <v>31.3</v>
      </c>
      <c r="C134" s="256">
        <v>10050455.059383195</v>
      </c>
      <c r="D134" s="264">
        <f>B$135-B134</f>
        <v>9.9999999999980105E-3</v>
      </c>
      <c r="H134" s="255">
        <v>325309.61410861841</v>
      </c>
      <c r="I134" s="255">
        <v>20282.58159689208</v>
      </c>
      <c r="J134" s="253">
        <f>H134+I134</f>
        <v>345592.1957055105</v>
      </c>
      <c r="L134" s="255">
        <v>379241.53740206733</v>
      </c>
      <c r="O134" s="13"/>
    </row>
    <row r="135" spans="1:15">
      <c r="A135">
        <v>1227</v>
      </c>
      <c r="B135" s="327">
        <v>31.31</v>
      </c>
      <c r="C135" s="301">
        <v>10050455.059383195</v>
      </c>
      <c r="D135" s="258"/>
      <c r="H135" s="301"/>
      <c r="I135" s="301"/>
      <c r="J135" s="301"/>
      <c r="L135" s="301"/>
      <c r="O135" s="327"/>
    </row>
    <row r="136" spans="1:15">
      <c r="A136">
        <v>1227</v>
      </c>
      <c r="B136" s="327">
        <v>32</v>
      </c>
      <c r="C136" s="256">
        <v>13026199.203323534</v>
      </c>
      <c r="D136" s="258">
        <v>0.49</v>
      </c>
      <c r="E136" s="254">
        <v>385514.14262093254</v>
      </c>
      <c r="G136" s="254">
        <f>E136+F136</f>
        <v>385514.14262093254</v>
      </c>
      <c r="H136" s="301"/>
      <c r="I136" s="301"/>
      <c r="J136" s="301"/>
      <c r="L136" s="301"/>
      <c r="O136" s="13"/>
    </row>
    <row r="137" spans="1:15">
      <c r="A137">
        <v>1227</v>
      </c>
      <c r="B137" s="229">
        <v>32.49</v>
      </c>
      <c r="C137" s="301">
        <v>13026199.203323534</v>
      </c>
      <c r="D137" s="258"/>
      <c r="O137" s="327"/>
    </row>
    <row r="138" spans="1:15">
      <c r="A138">
        <v>1227</v>
      </c>
      <c r="B138" s="251">
        <v>34.22</v>
      </c>
      <c r="C138" s="256">
        <v>6728715.3965597898</v>
      </c>
      <c r="D138" s="264">
        <f>B141-B138</f>
        <v>1.2899999999999991</v>
      </c>
      <c r="H138" s="255">
        <v>850401.4837357254</v>
      </c>
      <c r="I138" s="255">
        <v>38221.026137833884</v>
      </c>
      <c r="J138" s="253">
        <f>H138+I138</f>
        <v>888622.50987355923</v>
      </c>
      <c r="L138" s="255">
        <v>1133060.26395034</v>
      </c>
      <c r="O138" s="13"/>
    </row>
    <row r="139" spans="1:15">
      <c r="A139">
        <v>1227</v>
      </c>
      <c r="B139" s="252">
        <v>34.300000000000004</v>
      </c>
      <c r="C139" s="256">
        <v>6728715.3965597898</v>
      </c>
      <c r="D139" s="264">
        <f>B141-B139</f>
        <v>1.2099999999999937</v>
      </c>
      <c r="H139" s="255">
        <v>462614.13515675225</v>
      </c>
      <c r="I139" s="255">
        <v>50214.356145489495</v>
      </c>
      <c r="J139" s="253">
        <f>H139+I139</f>
        <v>512828.49130224175</v>
      </c>
      <c r="L139" s="255">
        <v>574251.18292249634</v>
      </c>
      <c r="O139" s="13"/>
    </row>
    <row r="140" spans="1:15">
      <c r="A140">
        <v>1227</v>
      </c>
      <c r="B140" s="327">
        <v>35</v>
      </c>
      <c r="C140" s="256">
        <v>6728715.3965597898</v>
      </c>
      <c r="D140" s="258">
        <v>0.51</v>
      </c>
      <c r="E140" s="254">
        <v>257221.81816003393</v>
      </c>
      <c r="G140" s="254">
        <f>E140+F140</f>
        <v>257221.81816003393</v>
      </c>
      <c r="H140" s="301"/>
      <c r="I140" s="301"/>
      <c r="J140" s="301"/>
      <c r="L140" s="301"/>
      <c r="O140" s="13"/>
    </row>
    <row r="141" spans="1:15">
      <c r="A141">
        <v>1227</v>
      </c>
      <c r="B141" s="327">
        <v>35.51</v>
      </c>
      <c r="C141" s="301">
        <v>6728715.3965597898</v>
      </c>
      <c r="D141" s="258"/>
      <c r="H141" s="301"/>
      <c r="I141" s="301"/>
      <c r="J141" s="301"/>
      <c r="L141" s="301"/>
      <c r="O141" s="327"/>
    </row>
    <row r="142" spans="1:15">
      <c r="A142">
        <v>1227</v>
      </c>
      <c r="B142" s="251">
        <v>37.300000000000004</v>
      </c>
      <c r="C142" s="256">
        <v>3096294.4431956285</v>
      </c>
      <c r="D142" s="264">
        <v>0.05</v>
      </c>
      <c r="H142" s="255">
        <v>545433.88228819182</v>
      </c>
      <c r="I142" s="255">
        <v>48755.106873058139</v>
      </c>
      <c r="J142" s="253">
        <f>H142+I142</f>
        <v>594188.98916124995</v>
      </c>
      <c r="L142" s="255">
        <v>424932.66083222354</v>
      </c>
      <c r="O142" s="13"/>
    </row>
    <row r="143" spans="1:15">
      <c r="A143">
        <v>1227</v>
      </c>
      <c r="B143" s="229">
        <v>37.35</v>
      </c>
      <c r="C143" s="301">
        <v>3096294.4431956285</v>
      </c>
      <c r="D143" s="258"/>
      <c r="O143" s="327"/>
    </row>
    <row r="144" spans="1:15">
      <c r="A144">
        <v>1227</v>
      </c>
      <c r="B144" s="252">
        <v>37.4</v>
      </c>
      <c r="C144" s="256">
        <v>3096294.4431956285</v>
      </c>
      <c r="D144" s="264">
        <v>0.04</v>
      </c>
      <c r="H144" s="255">
        <v>838298.90425066638</v>
      </c>
      <c r="I144" s="255">
        <v>29817.546039056189</v>
      </c>
      <c r="J144" s="253">
        <f>H144+I144</f>
        <v>868116.45028972253</v>
      </c>
      <c r="L144" s="255">
        <v>1325952.2924007699</v>
      </c>
      <c r="O144" s="13"/>
    </row>
    <row r="145" spans="1:15">
      <c r="A145">
        <v>1227</v>
      </c>
      <c r="B145" s="251">
        <v>37.700000000000003</v>
      </c>
      <c r="C145" s="256">
        <v>3096294.4431956285</v>
      </c>
      <c r="D145" s="264">
        <f>B145-B143</f>
        <v>0.35000000000000142</v>
      </c>
      <c r="H145" s="255">
        <v>6334868.9859134601</v>
      </c>
      <c r="I145" s="255">
        <v>29004.16079651863</v>
      </c>
      <c r="J145" s="253">
        <f>H145+I145</f>
        <v>6363873.1467099786</v>
      </c>
      <c r="L145" s="255">
        <v>21031083.006719101</v>
      </c>
      <c r="O145" s="13"/>
    </row>
    <row r="146" spans="1:15">
      <c r="A146">
        <v>1227</v>
      </c>
      <c r="B146" s="252">
        <v>37.800000000000004</v>
      </c>
      <c r="C146" s="256">
        <v>3096294.4431956285</v>
      </c>
      <c r="D146" s="264">
        <f>B146-B143</f>
        <v>0.45000000000000284</v>
      </c>
      <c r="H146" s="255">
        <v>546648.16990111931</v>
      </c>
      <c r="I146" s="255">
        <v>28837.784924510601</v>
      </c>
      <c r="J146" s="253">
        <f>H146+I146</f>
        <v>575485.95482562995</v>
      </c>
      <c r="L146" s="255">
        <v>401187.96692807716</v>
      </c>
      <c r="O146" s="13"/>
    </row>
    <row r="147" spans="1:15">
      <c r="A147">
        <v>1227</v>
      </c>
      <c r="B147" s="327">
        <v>38</v>
      </c>
      <c r="C147" s="256">
        <v>4975755.5049001593</v>
      </c>
      <c r="D147" s="258">
        <v>0.4</v>
      </c>
      <c r="E147" s="254">
        <v>673766.58990829263</v>
      </c>
      <c r="G147" s="254">
        <f>E147+F147</f>
        <v>673766.58990829263</v>
      </c>
      <c r="H147" s="301"/>
      <c r="I147" s="301"/>
      <c r="J147" s="301"/>
      <c r="L147" s="301"/>
      <c r="O147" s="13"/>
    </row>
    <row r="148" spans="1:15">
      <c r="A148">
        <v>1227</v>
      </c>
      <c r="B148" s="327">
        <v>38.4</v>
      </c>
      <c r="C148" s="254">
        <v>4975755.5049001593</v>
      </c>
      <c r="D148" s="258"/>
      <c r="O148" s="327"/>
    </row>
    <row r="149" spans="1:15">
      <c r="A149">
        <v>1227</v>
      </c>
      <c r="B149" s="251">
        <v>40.300000000000004</v>
      </c>
      <c r="C149" s="256">
        <v>2928753.0418893769</v>
      </c>
      <c r="D149" s="264">
        <v>1.1000000000000001</v>
      </c>
      <c r="H149" s="255">
        <v>411614.04085497197</v>
      </c>
      <c r="I149" s="255">
        <v>31261.742452808099</v>
      </c>
      <c r="J149" s="253">
        <f>H149+I149</f>
        <v>442875.78330778005</v>
      </c>
      <c r="L149" s="255">
        <v>531438.70464811439</v>
      </c>
      <c r="O149" s="13"/>
    </row>
    <row r="150" spans="1:15">
      <c r="A150">
        <v>1227</v>
      </c>
      <c r="B150" s="252">
        <v>40.4</v>
      </c>
      <c r="C150" s="256">
        <v>2928753.0418893769</v>
      </c>
      <c r="D150" s="264">
        <v>1</v>
      </c>
      <c r="H150" s="255">
        <v>6127860.9008945199</v>
      </c>
      <c r="I150" s="255">
        <v>1489735.7223147601</v>
      </c>
      <c r="J150" s="253">
        <f>H150+I150</f>
        <v>7617596.62320928</v>
      </c>
      <c r="L150" s="255">
        <v>1173794.03583167</v>
      </c>
      <c r="O150" s="13"/>
    </row>
    <row r="151" spans="1:15">
      <c r="A151">
        <v>1227</v>
      </c>
      <c r="B151" s="327">
        <v>41</v>
      </c>
      <c r="C151" s="256">
        <v>2928753.0418893769</v>
      </c>
      <c r="D151" s="264">
        <v>0.4</v>
      </c>
      <c r="E151" s="254">
        <v>375009.64209142159</v>
      </c>
      <c r="G151" s="254">
        <f>E151+F151</f>
        <v>375009.64209142159</v>
      </c>
      <c r="H151" s="301"/>
      <c r="I151" s="301"/>
      <c r="J151" s="301"/>
      <c r="L151" s="301"/>
      <c r="O151" s="13"/>
    </row>
    <row r="152" spans="1:15">
      <c r="A152">
        <v>1227</v>
      </c>
      <c r="B152" s="327">
        <v>41.4</v>
      </c>
      <c r="C152" s="301">
        <v>2928753.0418893769</v>
      </c>
      <c r="D152" s="258"/>
      <c r="H152" s="301"/>
      <c r="I152" s="301"/>
      <c r="J152" s="301"/>
      <c r="L152" s="301"/>
      <c r="O152" s="327"/>
    </row>
    <row r="153" spans="1:15">
      <c r="A153">
        <v>1227</v>
      </c>
      <c r="B153" s="252">
        <v>42.2</v>
      </c>
      <c r="C153" s="256">
        <v>2928753.0418893769</v>
      </c>
      <c r="D153" s="258">
        <f t="shared" ref="D153:D158" si="0">B153-B$152</f>
        <v>0.80000000000000426</v>
      </c>
      <c r="H153" s="255">
        <v>395095.33191748371</v>
      </c>
      <c r="I153" s="255">
        <v>176.48314392542153</v>
      </c>
      <c r="J153" s="253">
        <f>H153+I153</f>
        <v>395271.81506140914</v>
      </c>
      <c r="L153" s="255">
        <v>269331.96428578673</v>
      </c>
      <c r="O153" s="13"/>
    </row>
    <row r="154" spans="1:15">
      <c r="A154">
        <v>1227</v>
      </c>
      <c r="B154" s="251">
        <v>42.2</v>
      </c>
      <c r="C154" s="256">
        <v>2928753.0418893769</v>
      </c>
      <c r="D154" s="258">
        <f t="shared" si="0"/>
        <v>0.80000000000000426</v>
      </c>
      <c r="H154" s="255">
        <v>578145.56334653869</v>
      </c>
      <c r="I154" s="255">
        <v>35541.099900298403</v>
      </c>
      <c r="J154" s="253">
        <f>H154+I154</f>
        <v>613686.6632468371</v>
      </c>
      <c r="L154" s="255">
        <v>448931.62177203037</v>
      </c>
      <c r="O154" s="13"/>
    </row>
    <row r="155" spans="1:15">
      <c r="A155">
        <v>1227</v>
      </c>
      <c r="B155" s="327">
        <v>43</v>
      </c>
      <c r="C155" s="256">
        <v>2928753.0418893769</v>
      </c>
      <c r="D155" s="258">
        <f t="shared" si="0"/>
        <v>1.6000000000000014</v>
      </c>
      <c r="E155" s="254">
        <v>332768.67823168129</v>
      </c>
      <c r="G155" s="254">
        <f>E155+F155</f>
        <v>332768.67823168129</v>
      </c>
      <c r="H155" s="301"/>
      <c r="I155" s="301"/>
      <c r="J155" s="301"/>
      <c r="L155" s="301"/>
      <c r="O155" s="13"/>
    </row>
    <row r="156" spans="1:15">
      <c r="A156">
        <v>1227</v>
      </c>
      <c r="B156" s="252">
        <v>45.300000000000004</v>
      </c>
      <c r="C156" s="256">
        <v>2928753.0418893769</v>
      </c>
      <c r="D156" s="258">
        <f t="shared" si="0"/>
        <v>3.9000000000000057</v>
      </c>
      <c r="H156" s="255"/>
      <c r="I156" s="255">
        <v>28782.313200974564</v>
      </c>
      <c r="J156" s="253"/>
      <c r="L156" s="255">
        <v>15123292.829815401</v>
      </c>
      <c r="O156" s="13"/>
    </row>
    <row r="157" spans="1:15">
      <c r="A157">
        <v>1227</v>
      </c>
      <c r="B157" s="252">
        <v>45.4</v>
      </c>
      <c r="C157" s="256">
        <v>2928753.0418893769</v>
      </c>
      <c r="D157" s="258">
        <f t="shared" si="0"/>
        <v>4</v>
      </c>
      <c r="H157" s="255">
        <v>1065770.9993290601</v>
      </c>
      <c r="I157" s="255">
        <v>148565.93202041881</v>
      </c>
      <c r="J157" s="253">
        <f>H157+I157</f>
        <v>1214336.9313494789</v>
      </c>
      <c r="L157" s="255">
        <v>327176.34654011269</v>
      </c>
      <c r="O157" s="13"/>
    </row>
    <row r="158" spans="1:15">
      <c r="A158">
        <v>1227</v>
      </c>
      <c r="B158" s="229">
        <v>46</v>
      </c>
      <c r="C158" s="256">
        <v>2928753.0418893769</v>
      </c>
      <c r="D158" s="258">
        <f t="shared" si="0"/>
        <v>4.6000000000000014</v>
      </c>
      <c r="E158" s="254">
        <v>500462.29441329965</v>
      </c>
      <c r="G158" s="254">
        <f>E158+F158</f>
        <v>500462.29441329965</v>
      </c>
      <c r="O158" s="13"/>
    </row>
    <row r="159" spans="1:15">
      <c r="A159">
        <v>1227</v>
      </c>
      <c r="B159" s="252">
        <v>48.4</v>
      </c>
      <c r="C159" s="253"/>
      <c r="D159" s="264"/>
      <c r="H159" s="255">
        <v>118953.41058973648</v>
      </c>
      <c r="I159" s="255">
        <v>94525.844301500169</v>
      </c>
      <c r="J159" s="253">
        <f>H159+I159</f>
        <v>213479.25489123666</v>
      </c>
      <c r="L159" s="255">
        <v>198120.7204035105</v>
      </c>
      <c r="O159" s="327"/>
    </row>
    <row r="160" spans="1:15">
      <c r="A160">
        <v>1227</v>
      </c>
      <c r="B160" s="251">
        <v>50</v>
      </c>
      <c r="C160" s="253"/>
      <c r="D160" s="264"/>
      <c r="H160" s="255">
        <v>193593.624741309</v>
      </c>
      <c r="I160" s="255">
        <v>620.85290573872976</v>
      </c>
      <c r="J160" s="253">
        <f>H160+I160</f>
        <v>194214.47764704772</v>
      </c>
      <c r="L160" s="255">
        <v>95787.326383027117</v>
      </c>
      <c r="O160" s="327"/>
    </row>
    <row r="161" spans="1:15">
      <c r="A161">
        <v>1227</v>
      </c>
      <c r="B161" s="251">
        <v>54.800000000000004</v>
      </c>
      <c r="C161" s="253"/>
      <c r="D161" s="264"/>
      <c r="H161" s="255">
        <v>35181626.987897903</v>
      </c>
      <c r="I161" s="255">
        <v>4823.1961001259133</v>
      </c>
      <c r="J161" s="253">
        <f>H161+I161</f>
        <v>35186450.183998026</v>
      </c>
      <c r="L161" s="255">
        <v>30342050.001424398</v>
      </c>
      <c r="O161" s="327"/>
    </row>
    <row r="162" spans="1:15">
      <c r="A162">
        <v>1227</v>
      </c>
      <c r="B162" s="252">
        <v>54.9</v>
      </c>
      <c r="C162" s="253"/>
      <c r="D162" s="264"/>
      <c r="H162" s="255">
        <v>198522.11732411615</v>
      </c>
      <c r="I162" s="255">
        <v>135.99571723470419</v>
      </c>
      <c r="J162" s="253">
        <f>H162+I162</f>
        <v>198658.11304135085</v>
      </c>
      <c r="L162" s="255">
        <v>170521.01085160644</v>
      </c>
      <c r="O162" s="327"/>
    </row>
    <row r="163" spans="1:15">
      <c r="A163">
        <v>1227</v>
      </c>
      <c r="B163" s="229">
        <v>55</v>
      </c>
      <c r="C163" s="301"/>
      <c r="D163" s="258"/>
      <c r="E163" s="254">
        <v>1356114.8005212585</v>
      </c>
      <c r="G163" s="254">
        <f>E163+F163</f>
        <v>1356114.8005212585</v>
      </c>
      <c r="O163" s="13"/>
    </row>
    <row r="164" spans="1:15">
      <c r="A164">
        <v>1227</v>
      </c>
      <c r="B164" s="327">
        <v>65</v>
      </c>
      <c r="C164" s="301"/>
      <c r="D164" s="258"/>
      <c r="E164" s="254">
        <v>539981.96741825878</v>
      </c>
      <c r="G164" s="254">
        <f>E164+F164</f>
        <v>539981.96741825878</v>
      </c>
      <c r="H164" s="301"/>
      <c r="I164" s="301"/>
      <c r="J164" s="301"/>
      <c r="L164" s="301"/>
      <c r="O164" s="13"/>
    </row>
    <row r="165" spans="1:15">
      <c r="A165">
        <v>1227</v>
      </c>
      <c r="B165" s="252">
        <v>65.3</v>
      </c>
      <c r="C165" s="253"/>
      <c r="D165" s="264"/>
      <c r="H165" s="255">
        <v>160861.79053884378</v>
      </c>
      <c r="I165" s="255">
        <v>1057.8868819794509</v>
      </c>
      <c r="J165" s="253">
        <f>H165+I165</f>
        <v>161919.67742082322</v>
      </c>
      <c r="L165" s="255">
        <v>159688.5945088646</v>
      </c>
      <c r="O165" s="13"/>
    </row>
    <row r="166" spans="1:15">
      <c r="A166">
        <v>1227</v>
      </c>
      <c r="B166" s="251">
        <v>75.3</v>
      </c>
      <c r="C166" s="253"/>
      <c r="D166" s="264"/>
      <c r="H166" s="255">
        <v>24368017.672047801</v>
      </c>
      <c r="I166" s="255">
        <v>15512.490705079981</v>
      </c>
      <c r="J166" s="253">
        <f>H166+I166</f>
        <v>24383530.162752882</v>
      </c>
      <c r="L166" s="255">
        <v>23563630.336117499</v>
      </c>
      <c r="O166" s="13"/>
    </row>
    <row r="167" spans="1:15">
      <c r="A167">
        <v>1227</v>
      </c>
      <c r="B167" s="252">
        <v>75.400000000000006</v>
      </c>
      <c r="C167" s="253"/>
      <c r="D167" s="264"/>
      <c r="H167" s="255">
        <v>82697.027335431456</v>
      </c>
      <c r="I167" s="255">
        <v>822.48988398448989</v>
      </c>
      <c r="J167" s="253">
        <f>H167+I167</f>
        <v>83519.517219415939</v>
      </c>
      <c r="L167" s="255">
        <v>235646.99094943833</v>
      </c>
      <c r="O167" s="13"/>
    </row>
    <row r="168" spans="1:15">
      <c r="A168">
        <v>1227</v>
      </c>
      <c r="B168" s="229">
        <v>76</v>
      </c>
      <c r="D168" s="258"/>
      <c r="E168" s="254">
        <v>876158.25392738276</v>
      </c>
      <c r="G168" s="254">
        <f>E168+F168</f>
        <v>876158.25392738276</v>
      </c>
      <c r="O168" s="13"/>
    </row>
    <row r="169" spans="1:15">
      <c r="A169">
        <v>1227</v>
      </c>
      <c r="B169" s="251">
        <v>83.3</v>
      </c>
      <c r="C169" s="256">
        <v>2082705.7414706196</v>
      </c>
      <c r="D169" s="264">
        <f>B$172-B169</f>
        <v>1.1000000000000085</v>
      </c>
      <c r="H169" s="255">
        <v>81181.483106502768</v>
      </c>
      <c r="I169" s="255">
        <v>1689.6003125451648</v>
      </c>
      <c r="J169" s="253">
        <f>H169+I169</f>
        <v>82871.083419047936</v>
      </c>
      <c r="L169" s="255">
        <v>66810.078369581868</v>
      </c>
      <c r="O169" s="13"/>
    </row>
    <row r="170" spans="1:15">
      <c r="A170">
        <v>1227</v>
      </c>
      <c r="B170" s="252">
        <v>83.4</v>
      </c>
      <c r="C170" s="256">
        <v>2082705.7414706196</v>
      </c>
      <c r="D170" s="264">
        <f>B$172-B170</f>
        <v>1</v>
      </c>
      <c r="H170" s="255">
        <v>114157.09234556937</v>
      </c>
      <c r="I170" s="255">
        <v>58.336257657416603</v>
      </c>
      <c r="J170" s="253">
        <f>H170+I170</f>
        <v>114215.42860322678</v>
      </c>
      <c r="L170" s="255">
        <v>56798.373398302989</v>
      </c>
      <c r="O170" s="13"/>
    </row>
    <row r="171" spans="1:15">
      <c r="A171">
        <v>1227</v>
      </c>
      <c r="B171" s="327">
        <v>84</v>
      </c>
      <c r="C171" s="256">
        <v>2082705.7414706196</v>
      </c>
      <c r="D171" s="264">
        <f>B$172-B171</f>
        <v>0.40000000000000568</v>
      </c>
      <c r="E171" s="254">
        <v>323821.98639052652</v>
      </c>
      <c r="G171" s="254">
        <f>E171+F171</f>
        <v>323821.98639052652</v>
      </c>
      <c r="H171" s="301"/>
      <c r="I171" s="301"/>
      <c r="J171" s="301"/>
      <c r="L171" s="301"/>
      <c r="O171" s="13"/>
    </row>
    <row r="172" spans="1:15">
      <c r="A172">
        <v>1227</v>
      </c>
      <c r="B172" s="327">
        <v>84.4</v>
      </c>
      <c r="C172" s="301">
        <v>2082705.7414706196</v>
      </c>
      <c r="D172" s="258"/>
      <c r="H172" s="301"/>
      <c r="I172" s="301"/>
      <c r="J172" s="301"/>
      <c r="L172" s="301"/>
      <c r="O172" s="13"/>
    </row>
    <row r="173" spans="1:15">
      <c r="A173">
        <v>1227</v>
      </c>
      <c r="B173" s="251">
        <v>92.8</v>
      </c>
      <c r="C173" s="253"/>
      <c r="D173" s="264"/>
      <c r="H173" s="255">
        <v>198108.80604150251</v>
      </c>
      <c r="I173" s="255">
        <v>3504.2475678498718</v>
      </c>
      <c r="J173" s="253">
        <f>H173+I173</f>
        <v>201613.05360935238</v>
      </c>
      <c r="L173" s="255">
        <v>202442.07522223191</v>
      </c>
      <c r="O173" s="13"/>
    </row>
    <row r="174" spans="1:15">
      <c r="A174">
        <v>1227</v>
      </c>
      <c r="B174" s="252">
        <v>92.9</v>
      </c>
      <c r="C174" s="253"/>
      <c r="D174" s="264"/>
      <c r="H174" s="255">
        <v>879532.51334194303</v>
      </c>
      <c r="I174" s="255">
        <v>1125.964155408936</v>
      </c>
      <c r="J174" s="253">
        <f>H174+I174</f>
        <v>880658.47749735194</v>
      </c>
      <c r="L174" s="255">
        <v>968536.29130893771</v>
      </c>
      <c r="O174" s="13"/>
    </row>
    <row r="175" spans="1:15">
      <c r="A175">
        <v>1227</v>
      </c>
      <c r="B175" s="327">
        <v>93</v>
      </c>
      <c r="C175" s="301"/>
      <c r="D175" s="258"/>
      <c r="E175" s="254">
        <v>477178.99206435791</v>
      </c>
      <c r="G175" s="254">
        <f>E175+F175</f>
        <v>477178.99206435791</v>
      </c>
      <c r="H175" s="301"/>
      <c r="I175" s="301"/>
      <c r="J175" s="301"/>
      <c r="L175" s="301"/>
      <c r="O175" s="13"/>
    </row>
    <row r="176" spans="1:15">
      <c r="A176">
        <v>1227</v>
      </c>
      <c r="B176" s="251">
        <v>102.3</v>
      </c>
      <c r="C176" s="253"/>
      <c r="D176" s="264"/>
      <c r="H176" s="255">
        <v>61258.004432710986</v>
      </c>
      <c r="I176" s="255">
        <v>1930.46016739889</v>
      </c>
      <c r="J176" s="253">
        <f>H176+I176</f>
        <v>63188.464600109874</v>
      </c>
      <c r="L176" s="255">
        <v>134586.29724790747</v>
      </c>
      <c r="O176" s="13"/>
    </row>
    <row r="177" spans="1:15">
      <c r="A177">
        <v>1227</v>
      </c>
      <c r="B177" s="252">
        <v>102.4</v>
      </c>
      <c r="C177" s="253"/>
      <c r="D177" s="264"/>
      <c r="H177" s="255">
        <v>126239.39324612819</v>
      </c>
      <c r="I177" s="255">
        <v>113.7990312888506</v>
      </c>
      <c r="J177" s="253">
        <f>H177+I177</f>
        <v>126353.19227741705</v>
      </c>
      <c r="L177" s="255">
        <v>104721.0283973289</v>
      </c>
      <c r="O177" s="13"/>
    </row>
    <row r="178" spans="1:15">
      <c r="A178">
        <v>1227</v>
      </c>
      <c r="B178" s="327">
        <v>103</v>
      </c>
      <c r="C178" s="301"/>
      <c r="D178" s="258"/>
      <c r="E178" s="254">
        <v>735248.49048050807</v>
      </c>
      <c r="G178" s="254">
        <f>E178+F178</f>
        <v>735248.49048050807</v>
      </c>
      <c r="H178" s="301"/>
      <c r="I178" s="301"/>
      <c r="J178" s="301"/>
      <c r="L178" s="301"/>
      <c r="O178" s="13"/>
    </row>
    <row r="179" spans="1:15">
      <c r="A179">
        <v>1227</v>
      </c>
      <c r="B179" s="251">
        <v>113.3</v>
      </c>
      <c r="C179" s="253"/>
      <c r="D179" s="264"/>
      <c r="H179" s="255">
        <v>125537.580666291</v>
      </c>
      <c r="I179" s="255">
        <v>529.74283096815907</v>
      </c>
      <c r="J179" s="253">
        <f>H179+I179</f>
        <v>126067.32349725916</v>
      </c>
      <c r="L179" s="255">
        <v>69853.433009197135</v>
      </c>
      <c r="O179" s="13"/>
    </row>
    <row r="180" spans="1:15">
      <c r="A180">
        <v>1227</v>
      </c>
      <c r="B180" s="252">
        <v>113.4</v>
      </c>
      <c r="C180" s="253"/>
      <c r="D180" s="264"/>
      <c r="H180" s="255">
        <v>281668.25192278938</v>
      </c>
      <c r="I180" s="255">
        <v>3033.8066467202698</v>
      </c>
      <c r="J180" s="253">
        <f>H180+I180</f>
        <v>284702.05856950965</v>
      </c>
      <c r="L180" s="255">
        <v>2894155.7457844801</v>
      </c>
      <c r="O180" s="13"/>
    </row>
    <row r="181" spans="1:15">
      <c r="A181">
        <v>1227</v>
      </c>
      <c r="B181" s="327">
        <v>114</v>
      </c>
      <c r="C181" s="301"/>
      <c r="D181" s="258"/>
      <c r="E181" s="254">
        <v>290359.85416356887</v>
      </c>
      <c r="G181" s="254">
        <f>E181+F181</f>
        <v>290359.85416356887</v>
      </c>
      <c r="H181" s="301"/>
      <c r="I181" s="301"/>
      <c r="J181" s="301"/>
      <c r="L181" s="301"/>
      <c r="O181" s="13"/>
    </row>
    <row r="182" spans="1:15">
      <c r="A182">
        <v>1227</v>
      </c>
      <c r="B182" s="251">
        <v>121.3</v>
      </c>
      <c r="C182" s="253"/>
      <c r="D182" s="264"/>
      <c r="H182" s="255">
        <v>242000.6634396147</v>
      </c>
      <c r="I182" s="255">
        <v>1551.2991573629042</v>
      </c>
      <c r="J182" s="253">
        <f>H182+I182</f>
        <v>243551.9625969776</v>
      </c>
      <c r="L182" s="255">
        <v>178351.00322576545</v>
      </c>
      <c r="O182" s="13"/>
    </row>
    <row r="183" spans="1:15">
      <c r="A183">
        <v>1227</v>
      </c>
      <c r="B183" s="252">
        <v>121.4</v>
      </c>
      <c r="C183" s="253"/>
      <c r="D183" s="264"/>
      <c r="H183" s="255">
        <v>44299.711559201176</v>
      </c>
      <c r="I183" s="255">
        <v>9.1844234441550139</v>
      </c>
      <c r="J183" s="253">
        <f>H183+I183</f>
        <v>44308.895982645328</v>
      </c>
      <c r="L183" s="255">
        <v>35708.523945966073</v>
      </c>
      <c r="O183" s="13"/>
    </row>
    <row r="184" spans="1:15">
      <c r="A184">
        <v>1227</v>
      </c>
      <c r="B184" s="229">
        <v>123</v>
      </c>
      <c r="C184" s="301"/>
      <c r="D184" s="258"/>
      <c r="E184" s="254">
        <v>328521.59053726966</v>
      </c>
      <c r="G184" s="254">
        <f>E184+F184</f>
        <v>328521.59053726966</v>
      </c>
      <c r="O184" s="13"/>
    </row>
    <row r="185" spans="1:15">
      <c r="A185">
        <v>1227</v>
      </c>
      <c r="B185" s="327">
        <v>144</v>
      </c>
      <c r="C185" s="256">
        <v>1766391.9217025267</v>
      </c>
      <c r="D185" s="258">
        <v>0.67</v>
      </c>
      <c r="E185" s="254">
        <v>320116.06358201237</v>
      </c>
      <c r="G185" s="254">
        <f>E185+F185</f>
        <v>320116.06358201237</v>
      </c>
      <c r="H185" s="301"/>
      <c r="I185" s="301"/>
      <c r="J185" s="301"/>
      <c r="L185" s="301"/>
      <c r="O185" s="13"/>
    </row>
    <row r="186" spans="1:15">
      <c r="A186">
        <v>1227</v>
      </c>
      <c r="B186" s="327">
        <v>144.33000000000001</v>
      </c>
      <c r="C186" s="301">
        <v>1766391.9217025267</v>
      </c>
      <c r="D186" s="258"/>
      <c r="H186" s="301"/>
      <c r="I186" s="301"/>
      <c r="J186" s="301"/>
      <c r="L186" s="301"/>
      <c r="O186" s="13"/>
    </row>
    <row r="187" spans="1:15">
      <c r="A187">
        <v>1229</v>
      </c>
      <c r="B187" s="13">
        <v>0.01</v>
      </c>
      <c r="C187" s="254">
        <v>992493007.49245822</v>
      </c>
      <c r="D187" s="258"/>
      <c r="O187" s="4">
        <v>22.53</v>
      </c>
    </row>
    <row r="188" spans="1:15">
      <c r="A188">
        <v>1229</v>
      </c>
      <c r="B188" s="13">
        <v>0.01</v>
      </c>
      <c r="C188" s="301">
        <v>430712050.80844676</v>
      </c>
      <c r="D188" s="258"/>
      <c r="H188" s="301"/>
      <c r="I188" s="301"/>
      <c r="J188" s="301"/>
      <c r="L188" s="301"/>
      <c r="O188" s="4">
        <v>22.53</v>
      </c>
    </row>
    <row r="189" spans="1:15">
      <c r="A189">
        <v>1229</v>
      </c>
      <c r="B189" s="333">
        <v>0.5</v>
      </c>
      <c r="C189" s="253"/>
      <c r="D189" s="264"/>
      <c r="H189" s="255">
        <v>22760570.323328398</v>
      </c>
      <c r="I189" s="255">
        <v>9183032.89863896</v>
      </c>
      <c r="J189" s="253">
        <f>H189+I189</f>
        <v>31943603.221967358</v>
      </c>
      <c r="L189" s="255">
        <v>16368057.4313566</v>
      </c>
      <c r="O189" s="4">
        <v>18.37</v>
      </c>
    </row>
    <row r="190" spans="1:15">
      <c r="A190">
        <v>1229</v>
      </c>
      <c r="B190" s="13">
        <v>1</v>
      </c>
      <c r="C190" s="301"/>
      <c r="D190" s="258"/>
      <c r="E190" s="254">
        <v>214781.22198332316</v>
      </c>
      <c r="G190" s="254">
        <f>E190+F190</f>
        <v>214781.22198332316</v>
      </c>
      <c r="H190" s="301"/>
      <c r="I190" s="301"/>
      <c r="J190" s="301"/>
      <c r="L190" s="301"/>
      <c r="O190" s="4">
        <v>16.47</v>
      </c>
    </row>
    <row r="191" spans="1:15">
      <c r="A191">
        <v>1229</v>
      </c>
      <c r="B191" s="333">
        <v>3.8</v>
      </c>
      <c r="C191" s="253"/>
      <c r="D191" s="264"/>
      <c r="H191" s="255">
        <v>1305822.478193</v>
      </c>
      <c r="I191" s="255">
        <v>430139.31603668811</v>
      </c>
      <c r="J191" s="253">
        <f>H191+I191</f>
        <v>1735961.7942296881</v>
      </c>
      <c r="L191" s="255">
        <v>5375849.9741868703</v>
      </c>
      <c r="O191" s="4">
        <v>14.27</v>
      </c>
    </row>
    <row r="192" spans="1:15">
      <c r="A192">
        <v>1229</v>
      </c>
      <c r="B192" s="13">
        <v>4</v>
      </c>
      <c r="C192" s="301"/>
      <c r="D192" s="258"/>
      <c r="E192" s="254">
        <v>599326.04722460196</v>
      </c>
      <c r="G192" s="254">
        <f>E192+F192</f>
        <v>599326.04722460196</v>
      </c>
      <c r="H192" s="301"/>
      <c r="I192" s="301"/>
      <c r="J192" s="301"/>
      <c r="L192" s="301"/>
      <c r="O192" s="4">
        <v>15.32</v>
      </c>
    </row>
    <row r="193" spans="1:15">
      <c r="A193">
        <v>1229</v>
      </c>
      <c r="B193" s="327">
        <v>6.28</v>
      </c>
      <c r="C193" s="301">
        <v>43153471.083323047</v>
      </c>
      <c r="D193" s="258"/>
      <c r="H193" s="301"/>
      <c r="I193" s="301"/>
      <c r="J193" s="301"/>
      <c r="L193" s="301"/>
      <c r="O193" s="4">
        <v>15.7</v>
      </c>
    </row>
    <row r="194" spans="1:15">
      <c r="A194">
        <v>1229</v>
      </c>
      <c r="B194" s="252">
        <v>6.5</v>
      </c>
      <c r="C194" s="256">
        <v>43153471.083323047</v>
      </c>
      <c r="D194" s="264">
        <f>B194-B193</f>
        <v>0.21999999999999975</v>
      </c>
      <c r="H194" s="255">
        <v>10925218.7202319</v>
      </c>
      <c r="I194" s="255">
        <v>1562050.75175391</v>
      </c>
      <c r="J194" s="253">
        <f>H194+I194</f>
        <v>12487269.47198581</v>
      </c>
      <c r="L194" s="255"/>
      <c r="O194" s="4">
        <v>15.7</v>
      </c>
    </row>
    <row r="195" spans="1:15">
      <c r="A195">
        <v>1229</v>
      </c>
      <c r="B195" s="252">
        <v>6.8</v>
      </c>
      <c r="C195" s="256">
        <v>44551375.753410995</v>
      </c>
      <c r="D195" s="264">
        <f>B198-B195</f>
        <v>0.8100000000000005</v>
      </c>
      <c r="H195" s="255">
        <v>5483282.7371917097</v>
      </c>
      <c r="I195" s="255">
        <v>795892.00153355475</v>
      </c>
      <c r="J195" s="253">
        <f>H195+I195</f>
        <v>6279174.7387252646</v>
      </c>
      <c r="L195" s="255">
        <v>3680062.0395721099</v>
      </c>
      <c r="O195" s="4">
        <v>15.18</v>
      </c>
    </row>
    <row r="196" spans="1:15">
      <c r="A196">
        <v>1229</v>
      </c>
      <c r="B196" s="327">
        <v>7</v>
      </c>
      <c r="C196" s="256">
        <v>44551375.753410995</v>
      </c>
      <c r="D196" s="258">
        <v>0.61</v>
      </c>
      <c r="E196" s="254">
        <v>902047.00316451711</v>
      </c>
      <c r="G196" s="254">
        <f>E196+F196</f>
        <v>902047.00316451711</v>
      </c>
      <c r="H196" s="301"/>
      <c r="I196" s="301"/>
      <c r="J196" s="301"/>
      <c r="L196" s="301"/>
      <c r="O196" s="4">
        <v>15.18</v>
      </c>
    </row>
    <row r="197" spans="1:15">
      <c r="A197">
        <v>1229</v>
      </c>
      <c r="B197" s="327">
        <v>7</v>
      </c>
      <c r="C197" s="256">
        <v>44551375.753410995</v>
      </c>
      <c r="D197" s="258">
        <v>0.61</v>
      </c>
      <c r="E197" s="254">
        <v>2879271.446427675</v>
      </c>
      <c r="G197" s="254">
        <f>E197+F197</f>
        <v>2879271.446427675</v>
      </c>
      <c r="H197" s="301"/>
      <c r="I197" s="301"/>
      <c r="J197" s="301"/>
      <c r="L197" s="301"/>
      <c r="O197" s="4">
        <v>15.18</v>
      </c>
    </row>
    <row r="198" spans="1:15">
      <c r="A198">
        <v>1229</v>
      </c>
      <c r="B198" s="327">
        <v>7.61</v>
      </c>
      <c r="C198" s="301">
        <v>44551375.753410995</v>
      </c>
      <c r="D198" s="258"/>
      <c r="H198" s="301"/>
      <c r="I198" s="301"/>
      <c r="J198" s="301"/>
      <c r="L198" s="301"/>
      <c r="O198" s="4">
        <v>15.18</v>
      </c>
    </row>
    <row r="199" spans="1:15">
      <c r="A199">
        <v>1229</v>
      </c>
      <c r="B199" s="252">
        <v>11.2</v>
      </c>
      <c r="C199" s="256">
        <v>26195400.237999383</v>
      </c>
      <c r="D199" s="264">
        <v>0.48</v>
      </c>
      <c r="H199" s="255">
        <v>4347615.6179272402</v>
      </c>
      <c r="I199" s="255">
        <v>1384319.9366008299</v>
      </c>
      <c r="J199" s="253">
        <f>H199+I199</f>
        <v>5731935.5545280706</v>
      </c>
      <c r="L199" s="255">
        <v>1286669.89670343</v>
      </c>
      <c r="O199" s="4">
        <v>14.33</v>
      </c>
    </row>
    <row r="200" spans="1:15">
      <c r="A200">
        <v>1229</v>
      </c>
      <c r="B200" s="327">
        <v>11.68</v>
      </c>
      <c r="C200" s="301">
        <v>26195400.237999383</v>
      </c>
      <c r="D200" s="258"/>
      <c r="O200" s="4">
        <v>14.33</v>
      </c>
    </row>
    <row r="201" spans="1:15">
      <c r="A201">
        <v>1229</v>
      </c>
      <c r="B201" s="327">
        <v>13</v>
      </c>
      <c r="C201" s="256">
        <v>26195400.237999383</v>
      </c>
      <c r="D201" s="258">
        <f>B201-B200</f>
        <v>1.3200000000000003</v>
      </c>
      <c r="E201" s="254">
        <v>475747.23677305615</v>
      </c>
      <c r="G201" s="254">
        <f>E201+F201</f>
        <v>475747.23677305615</v>
      </c>
      <c r="H201" s="301"/>
      <c r="I201" s="301"/>
      <c r="J201" s="301"/>
      <c r="L201" s="301"/>
      <c r="O201" s="4">
        <v>13.31</v>
      </c>
    </row>
    <row r="202" spans="1:15">
      <c r="A202">
        <v>1229</v>
      </c>
      <c r="B202" s="252">
        <v>16.2</v>
      </c>
      <c r="C202" s="256">
        <v>22987415.200734541</v>
      </c>
      <c r="D202" s="264">
        <v>0.72</v>
      </c>
      <c r="H202" s="255">
        <v>1230456.1469409899</v>
      </c>
      <c r="I202" s="255">
        <v>798965.09590820223</v>
      </c>
      <c r="J202" s="253">
        <f>H202+I202</f>
        <v>2029421.2428491921</v>
      </c>
      <c r="L202" s="255">
        <v>449191097.28245598</v>
      </c>
      <c r="O202" s="4">
        <v>12.71</v>
      </c>
    </row>
    <row r="203" spans="1:15">
      <c r="A203">
        <v>1229</v>
      </c>
      <c r="B203" s="327">
        <v>16.920000000000002</v>
      </c>
      <c r="C203" s="301">
        <v>22987415.200734541</v>
      </c>
      <c r="D203" s="258"/>
      <c r="O203" s="4">
        <v>12.71</v>
      </c>
    </row>
    <row r="204" spans="1:15">
      <c r="A204">
        <v>1229</v>
      </c>
      <c r="B204" s="327">
        <v>17</v>
      </c>
      <c r="C204" s="256">
        <v>22987415.200734541</v>
      </c>
      <c r="D204" s="258">
        <v>0.08</v>
      </c>
      <c r="E204" s="254">
        <v>3673429.3629296971</v>
      </c>
      <c r="G204" s="254">
        <f>E204+F204</f>
        <v>3673429.3629296971</v>
      </c>
      <c r="O204" s="4">
        <v>8.43</v>
      </c>
    </row>
    <row r="205" spans="1:15">
      <c r="A205">
        <v>1229</v>
      </c>
      <c r="B205" s="252">
        <v>20.7</v>
      </c>
      <c r="C205" s="256">
        <v>14978139.971110297</v>
      </c>
      <c r="D205" s="264">
        <v>0.28000000000000003</v>
      </c>
      <c r="H205" s="255">
        <v>6015297.9014943698</v>
      </c>
      <c r="I205" s="255">
        <v>1081645.9791552401</v>
      </c>
      <c r="J205" s="253">
        <f>H205+I205</f>
        <v>7096943.8806496095</v>
      </c>
      <c r="L205" s="255">
        <v>2181931.6409883299</v>
      </c>
      <c r="O205" s="4">
        <v>6.14</v>
      </c>
    </row>
    <row r="206" spans="1:15">
      <c r="A206">
        <v>1229</v>
      </c>
      <c r="B206" s="327">
        <v>20.98</v>
      </c>
      <c r="C206" s="301">
        <v>14978139.971110297</v>
      </c>
      <c r="D206" s="258"/>
      <c r="H206" s="301"/>
      <c r="I206" s="301"/>
      <c r="J206" s="301"/>
      <c r="L206" s="301"/>
      <c r="O206" s="4">
        <v>6.14</v>
      </c>
    </row>
    <row r="207" spans="1:15">
      <c r="A207">
        <v>1229</v>
      </c>
      <c r="B207" s="252">
        <v>25.7</v>
      </c>
      <c r="C207" s="256">
        <v>118083205.89871101</v>
      </c>
      <c r="D207" s="264">
        <f>B210-B207</f>
        <v>4.1099999999999994</v>
      </c>
      <c r="H207" s="255">
        <v>1236095.8267982299</v>
      </c>
      <c r="I207" s="255">
        <v>548949.17938699899</v>
      </c>
      <c r="J207" s="253">
        <f>H207+I207</f>
        <v>1785045.0061852289</v>
      </c>
      <c r="L207" s="255">
        <v>1074190.08690716</v>
      </c>
      <c r="O207" s="4">
        <v>2.88</v>
      </c>
    </row>
    <row r="208" spans="1:15">
      <c r="A208">
        <v>1229</v>
      </c>
      <c r="B208" s="327">
        <v>26</v>
      </c>
      <c r="C208" s="256">
        <v>118083205.89871101</v>
      </c>
      <c r="D208" s="258">
        <f>B210-B208</f>
        <v>3.8099999999999987</v>
      </c>
      <c r="E208" s="254">
        <v>1291926.2312181545</v>
      </c>
      <c r="G208" s="254">
        <f>E208+F208</f>
        <v>1291926.2312181545</v>
      </c>
      <c r="O208" s="4">
        <v>2.88</v>
      </c>
    </row>
    <row r="209" spans="1:15">
      <c r="A209">
        <v>1229</v>
      </c>
      <c r="B209" s="327">
        <v>29</v>
      </c>
      <c r="C209" s="256">
        <v>118083205.89871101</v>
      </c>
      <c r="D209" s="258">
        <v>0.81</v>
      </c>
      <c r="E209" s="254">
        <v>274777.95263496996</v>
      </c>
      <c r="G209" s="254">
        <f>E209+F209</f>
        <v>274777.95263496996</v>
      </c>
      <c r="H209" s="301"/>
      <c r="I209" s="301"/>
      <c r="J209" s="301"/>
      <c r="L209" s="301"/>
      <c r="O209" s="4">
        <v>1.35</v>
      </c>
    </row>
    <row r="210" spans="1:15">
      <c r="A210">
        <v>1229</v>
      </c>
      <c r="B210" s="327">
        <v>29.81</v>
      </c>
      <c r="C210" s="301">
        <v>118083205.89871101</v>
      </c>
      <c r="D210" s="258"/>
      <c r="H210" s="301"/>
      <c r="I210" s="301"/>
      <c r="J210" s="301"/>
      <c r="L210" s="301"/>
      <c r="O210" s="4">
        <v>1.35</v>
      </c>
    </row>
    <row r="211" spans="1:15">
      <c r="A211">
        <v>1229</v>
      </c>
      <c r="B211" s="252">
        <v>30</v>
      </c>
      <c r="C211" s="256">
        <v>118083205.89871101</v>
      </c>
      <c r="D211" s="264">
        <v>0.19</v>
      </c>
      <c r="H211" s="255"/>
      <c r="I211" s="255">
        <v>5480480.9065833902</v>
      </c>
      <c r="J211" s="253"/>
      <c r="L211" s="255"/>
      <c r="O211" s="4">
        <v>0.73</v>
      </c>
    </row>
    <row r="212" spans="1:15">
      <c r="A212">
        <v>1229</v>
      </c>
      <c r="B212" s="252">
        <v>30.1</v>
      </c>
      <c r="C212" s="256">
        <v>118083205.89871101</v>
      </c>
      <c r="D212" s="264">
        <v>0.28999999999999998</v>
      </c>
      <c r="H212" s="255">
        <v>104083.19850129379</v>
      </c>
      <c r="I212" s="255">
        <v>87127.976867793957</v>
      </c>
      <c r="J212" s="253">
        <f>H212+I212</f>
        <v>191211.17536908775</v>
      </c>
      <c r="L212" s="255">
        <v>328073.86100151413</v>
      </c>
      <c r="O212" s="4">
        <v>0.73</v>
      </c>
    </row>
    <row r="213" spans="1:15">
      <c r="A213">
        <v>1229</v>
      </c>
      <c r="B213" s="252">
        <v>30.2</v>
      </c>
      <c r="C213" s="256">
        <v>86492480.112921551</v>
      </c>
      <c r="D213" s="264">
        <v>0.37</v>
      </c>
      <c r="H213" s="255">
        <v>3859811.8952126498</v>
      </c>
      <c r="I213" s="255">
        <v>606823.1495131331</v>
      </c>
      <c r="J213" s="253">
        <f>H213+I213</f>
        <v>4466635.0447257832</v>
      </c>
      <c r="L213" s="255">
        <v>2599364.24142252</v>
      </c>
      <c r="O213" s="4">
        <v>0.73</v>
      </c>
    </row>
    <row r="214" spans="1:15">
      <c r="A214">
        <v>1229</v>
      </c>
      <c r="B214" s="249">
        <v>30.2</v>
      </c>
      <c r="C214" s="256">
        <v>86492480.112921551</v>
      </c>
      <c r="D214" s="264">
        <v>0.37</v>
      </c>
      <c r="H214" s="255">
        <v>17850100.6407093</v>
      </c>
      <c r="I214" s="255">
        <v>4415575.7108852603</v>
      </c>
      <c r="J214" s="253">
        <f>H214+I214</f>
        <v>22265676.35159456</v>
      </c>
      <c r="L214" s="255">
        <v>38558192.664463103</v>
      </c>
      <c r="O214" s="4">
        <v>0.73</v>
      </c>
    </row>
    <row r="215" spans="1:15">
      <c r="A215">
        <v>1229</v>
      </c>
      <c r="B215" s="327">
        <v>30.57</v>
      </c>
      <c r="C215" s="301">
        <v>86492480.112921551</v>
      </c>
      <c r="D215" s="258"/>
      <c r="O215" s="4">
        <v>0.73</v>
      </c>
    </row>
    <row r="216" spans="1:15">
      <c r="A216">
        <v>1229</v>
      </c>
      <c r="B216" s="327">
        <v>30.87</v>
      </c>
      <c r="C216" s="301">
        <v>81886789.560731426</v>
      </c>
      <c r="D216" s="258"/>
      <c r="H216" s="301"/>
      <c r="I216" s="301"/>
      <c r="J216" s="301"/>
      <c r="L216" s="301"/>
      <c r="O216" s="4">
        <v>0.73</v>
      </c>
    </row>
    <row r="217" spans="1:15">
      <c r="A217">
        <v>1229</v>
      </c>
      <c r="B217" s="327">
        <v>31</v>
      </c>
      <c r="C217" s="256">
        <v>86492480.112921551</v>
      </c>
      <c r="D217" s="264">
        <v>0.13</v>
      </c>
      <c r="E217" s="254">
        <v>967232.5038523823</v>
      </c>
      <c r="G217" s="254">
        <f>E217+F217</f>
        <v>967232.5038523823</v>
      </c>
      <c r="H217" s="301"/>
      <c r="I217" s="301"/>
      <c r="J217" s="301"/>
      <c r="L217" s="301"/>
      <c r="O217" s="4">
        <v>1</v>
      </c>
    </row>
    <row r="218" spans="1:15">
      <c r="A218">
        <v>1229</v>
      </c>
      <c r="B218" s="252">
        <v>31.5</v>
      </c>
      <c r="C218" s="256">
        <v>86492480.112921551</v>
      </c>
      <c r="D218" s="264">
        <v>0.5</v>
      </c>
      <c r="H218" s="255"/>
      <c r="I218" s="255">
        <v>3062514.52767601</v>
      </c>
      <c r="J218" s="253"/>
      <c r="L218" s="255"/>
      <c r="O218" s="4">
        <v>0.62</v>
      </c>
    </row>
    <row r="219" spans="1:15">
      <c r="A219">
        <v>1229</v>
      </c>
      <c r="B219" s="249">
        <v>31.6</v>
      </c>
      <c r="C219" s="256">
        <v>86492480.112921551</v>
      </c>
      <c r="D219" s="264">
        <v>0.6</v>
      </c>
      <c r="H219" s="255">
        <v>26494709.2235744</v>
      </c>
      <c r="I219" s="255">
        <v>3212741.8030680399</v>
      </c>
      <c r="J219" s="253">
        <f>H219+I219</f>
        <v>29707451.026642442</v>
      </c>
      <c r="L219" s="255">
        <v>39037244.7487555</v>
      </c>
      <c r="O219" s="4">
        <v>0.62</v>
      </c>
    </row>
    <row r="220" spans="1:15">
      <c r="A220">
        <v>1229</v>
      </c>
      <c r="B220" s="252">
        <v>32.1</v>
      </c>
      <c r="C220" s="256">
        <v>86492480.112921551</v>
      </c>
      <c r="D220" s="264">
        <f>B$220-B216</f>
        <v>1.2300000000000004</v>
      </c>
      <c r="H220" s="255"/>
      <c r="I220" s="255">
        <v>1058856.6496339999</v>
      </c>
      <c r="J220" s="253"/>
      <c r="L220" s="255"/>
      <c r="O220" s="4">
        <v>0.62</v>
      </c>
    </row>
    <row r="221" spans="1:15">
      <c r="A221">
        <v>1229</v>
      </c>
      <c r="B221" s="249">
        <v>32.200000000000003</v>
      </c>
      <c r="C221" s="256">
        <v>86492480.112921551</v>
      </c>
      <c r="D221" s="264">
        <f>B$220-B217</f>
        <v>1.1000000000000014</v>
      </c>
      <c r="H221" s="255">
        <v>20391124.127094001</v>
      </c>
      <c r="I221" s="255">
        <v>1043637.08158662</v>
      </c>
      <c r="J221" s="253">
        <f>H221+I221</f>
        <v>21434761.208680622</v>
      </c>
      <c r="L221" s="255">
        <v>47848923.150023498</v>
      </c>
      <c r="O221" s="4">
        <v>0.62</v>
      </c>
    </row>
    <row r="222" spans="1:15">
      <c r="A222">
        <v>1229</v>
      </c>
      <c r="B222" s="327">
        <v>37.590000000000003</v>
      </c>
      <c r="C222" s="301">
        <v>39704433.152838625</v>
      </c>
      <c r="D222" s="258"/>
      <c r="O222" s="4">
        <v>0</v>
      </c>
    </row>
    <row r="223" spans="1:15">
      <c r="A223">
        <v>1229</v>
      </c>
      <c r="B223" s="252">
        <v>39.700000000000003</v>
      </c>
      <c r="C223" s="256">
        <v>21945263.585962635</v>
      </c>
      <c r="D223" s="264">
        <f>B225-B223</f>
        <v>0.64999999999999858</v>
      </c>
      <c r="H223" s="255">
        <v>4807763.9890573705</v>
      </c>
      <c r="I223" s="255">
        <v>172969.61026541344</v>
      </c>
      <c r="J223" s="253">
        <f>H223+I223</f>
        <v>4980733.5993227838</v>
      </c>
      <c r="L223" s="255">
        <v>2511430.36106196</v>
      </c>
      <c r="O223" s="3">
        <v>0</v>
      </c>
    </row>
    <row r="224" spans="1:15">
      <c r="A224">
        <v>1229</v>
      </c>
      <c r="B224" s="327">
        <v>40</v>
      </c>
      <c r="C224" s="256">
        <v>21945263.585962635</v>
      </c>
      <c r="D224" s="258">
        <v>0.35</v>
      </c>
      <c r="E224" s="254">
        <v>5524215.861875603</v>
      </c>
      <c r="G224" s="254">
        <f>E224+F224</f>
        <v>5524215.861875603</v>
      </c>
      <c r="H224" s="301"/>
      <c r="I224" s="301"/>
      <c r="J224" s="301"/>
      <c r="L224" s="301"/>
      <c r="O224" s="4">
        <v>0</v>
      </c>
    </row>
    <row r="225" spans="1:15">
      <c r="A225">
        <v>1229</v>
      </c>
      <c r="B225" s="327">
        <v>40.35</v>
      </c>
      <c r="C225" s="301">
        <v>21945263.585962635</v>
      </c>
      <c r="D225" s="258"/>
      <c r="H225" s="301"/>
      <c r="I225" s="301"/>
      <c r="J225" s="301"/>
      <c r="L225" s="301"/>
      <c r="O225" s="3">
        <v>0</v>
      </c>
    </row>
    <row r="226" spans="1:15">
      <c r="A226">
        <v>1229</v>
      </c>
      <c r="B226" s="252">
        <v>41.7</v>
      </c>
      <c r="C226" s="256">
        <v>7097378.6204197761</v>
      </c>
      <c r="D226" s="264">
        <f>B$230-B226</f>
        <v>0.76999999999999602</v>
      </c>
      <c r="H226" s="255">
        <v>331195.28103099315</v>
      </c>
      <c r="I226" s="255">
        <v>49193.773839341302</v>
      </c>
      <c r="J226" s="253">
        <f>H226+I226</f>
        <v>380389.05487033445</v>
      </c>
      <c r="L226" s="255">
        <v>623598.61247462546</v>
      </c>
      <c r="O226" s="4">
        <v>0</v>
      </c>
    </row>
    <row r="227" spans="1:15">
      <c r="A227">
        <v>1229</v>
      </c>
      <c r="B227" s="327">
        <v>42</v>
      </c>
      <c r="C227" s="256">
        <v>7097378.6204197761</v>
      </c>
      <c r="D227" s="264">
        <f>B$230-B227</f>
        <v>0.46999999999999886</v>
      </c>
      <c r="E227" s="254">
        <v>3249587.335275949</v>
      </c>
      <c r="G227" s="254">
        <f>E227+F227</f>
        <v>3249587.335275949</v>
      </c>
      <c r="H227" s="301"/>
      <c r="I227" s="301"/>
      <c r="J227" s="301"/>
      <c r="L227" s="301"/>
      <c r="O227" s="3">
        <v>0</v>
      </c>
    </row>
    <row r="228" spans="1:15">
      <c r="A228">
        <v>1229</v>
      </c>
      <c r="B228" s="252">
        <v>42.2</v>
      </c>
      <c r="C228" s="256">
        <v>7097378.6204197761</v>
      </c>
      <c r="D228" s="264">
        <f>B$230-B228</f>
        <v>0.26999999999999602</v>
      </c>
      <c r="H228" s="255"/>
      <c r="I228" s="255">
        <v>666797.47557539458</v>
      </c>
      <c r="J228" s="253"/>
      <c r="L228" s="255"/>
      <c r="O228" s="4">
        <v>0</v>
      </c>
    </row>
    <row r="229" spans="1:15">
      <c r="A229">
        <v>1229</v>
      </c>
      <c r="B229" s="249">
        <v>42.300000000000004</v>
      </c>
      <c r="C229" s="256">
        <v>7097378.6204197761</v>
      </c>
      <c r="D229" s="264">
        <f>B$230-B229</f>
        <v>0.1699999999999946</v>
      </c>
      <c r="H229" s="255">
        <v>38980189.579095401</v>
      </c>
      <c r="I229" s="255">
        <v>669774.5073989497</v>
      </c>
      <c r="J229" s="253">
        <f>H229+I229</f>
        <v>39649964.086494349</v>
      </c>
      <c r="L229" s="255">
        <v>38201282.816748098</v>
      </c>
      <c r="O229" s="3">
        <v>0</v>
      </c>
    </row>
    <row r="230" spans="1:15">
      <c r="A230">
        <v>1229</v>
      </c>
      <c r="B230" s="229">
        <v>42.47</v>
      </c>
      <c r="C230" s="301">
        <v>7097378.6204197761</v>
      </c>
      <c r="D230" s="258"/>
      <c r="O230" s="4">
        <v>0</v>
      </c>
    </row>
    <row r="231" spans="1:15">
      <c r="A231">
        <v>1229</v>
      </c>
      <c r="B231" s="229">
        <v>50</v>
      </c>
      <c r="C231" s="256">
        <v>26030575.648851238</v>
      </c>
      <c r="D231" s="264">
        <f>B232-B231</f>
        <v>3.8599999999999994</v>
      </c>
      <c r="E231" s="254">
        <v>1073697.8280259273</v>
      </c>
      <c r="G231" s="254">
        <f>E231+F231</f>
        <v>1073697.8280259273</v>
      </c>
      <c r="O231" s="3">
        <v>0</v>
      </c>
    </row>
    <row r="232" spans="1:15">
      <c r="A232">
        <v>1229</v>
      </c>
      <c r="B232" s="327">
        <v>53.86</v>
      </c>
      <c r="C232" s="301">
        <v>26030575.648851238</v>
      </c>
      <c r="D232" s="258"/>
      <c r="H232" s="301"/>
      <c r="I232" s="301"/>
      <c r="J232" s="301"/>
      <c r="L232" s="301"/>
      <c r="O232" s="4">
        <v>0</v>
      </c>
    </row>
    <row r="233" spans="1:15">
      <c r="A233">
        <v>1229</v>
      </c>
      <c r="B233" s="327">
        <v>54</v>
      </c>
      <c r="C233" s="256">
        <v>26030575.648851238</v>
      </c>
      <c r="D233" s="258">
        <v>0.14000000000000001</v>
      </c>
      <c r="E233" s="254">
        <v>1705918.3688995529</v>
      </c>
      <c r="G233" s="254">
        <f>E233+F233</f>
        <v>1705918.3688995529</v>
      </c>
      <c r="H233" s="301"/>
      <c r="I233" s="301"/>
      <c r="J233" s="301"/>
      <c r="L233" s="301"/>
      <c r="O233" s="3">
        <v>0</v>
      </c>
    </row>
    <row r="234" spans="1:15">
      <c r="A234" s="228">
        <v>1229</v>
      </c>
      <c r="B234" s="252">
        <v>55</v>
      </c>
      <c r="C234" s="256">
        <v>26030575.648851238</v>
      </c>
      <c r="D234" s="264">
        <f>B234-B$232</f>
        <v>1.1400000000000006</v>
      </c>
      <c r="H234" s="255">
        <v>411076.49054560892</v>
      </c>
      <c r="I234" s="255">
        <v>208034.11369439188</v>
      </c>
      <c r="J234" s="253">
        <f>H234+I234</f>
        <v>619110.60424000083</v>
      </c>
      <c r="L234" s="255">
        <v>477367.82100166986</v>
      </c>
      <c r="O234" s="4">
        <v>0</v>
      </c>
    </row>
    <row r="235" spans="1:15">
      <c r="A235" s="228">
        <v>1229</v>
      </c>
      <c r="B235" s="249">
        <v>55.5</v>
      </c>
      <c r="C235" s="256">
        <v>26030575.648851238</v>
      </c>
      <c r="D235" s="264">
        <f>B235-B$232</f>
        <v>1.6400000000000006</v>
      </c>
      <c r="H235" s="255">
        <v>8568929.2479142006</v>
      </c>
      <c r="I235" s="255">
        <v>216303.1730194946</v>
      </c>
      <c r="J235" s="253">
        <f>H235+I235</f>
        <v>8785232.4209336955</v>
      </c>
      <c r="L235" s="255">
        <v>20469420.934687499</v>
      </c>
      <c r="O235" s="3">
        <v>0</v>
      </c>
    </row>
    <row r="236" spans="1:15">
      <c r="A236" s="228">
        <v>1229</v>
      </c>
      <c r="B236" s="252">
        <v>60.7</v>
      </c>
      <c r="C236" s="256">
        <v>6771702.5032536993</v>
      </c>
      <c r="D236" s="264">
        <f>B238-B236</f>
        <v>0.53999999999999915</v>
      </c>
      <c r="H236" s="255">
        <v>30332.111250514838</v>
      </c>
      <c r="I236" s="255">
        <v>6738.5295967126522</v>
      </c>
      <c r="J236" s="253">
        <f>H236+I236</f>
        <v>37070.640847227492</v>
      </c>
      <c r="L236" s="255">
        <v>43090.857861809651</v>
      </c>
      <c r="O236" s="4">
        <v>0</v>
      </c>
    </row>
    <row r="237" spans="1:15">
      <c r="A237" s="228">
        <v>1229</v>
      </c>
      <c r="B237" s="327">
        <v>61</v>
      </c>
      <c r="C237" s="256">
        <v>6771702.5032536993</v>
      </c>
      <c r="D237" s="258">
        <v>0.24</v>
      </c>
      <c r="E237" s="254">
        <v>2674895.7779823858</v>
      </c>
      <c r="G237" s="254">
        <f>E237+F237</f>
        <v>2674895.7779823858</v>
      </c>
      <c r="H237" s="301"/>
      <c r="I237" s="301"/>
      <c r="J237" s="301"/>
      <c r="L237" s="301"/>
      <c r="O237" s="3">
        <v>0</v>
      </c>
    </row>
    <row r="238" spans="1:15">
      <c r="A238" s="228">
        <v>1229</v>
      </c>
      <c r="B238" s="327">
        <v>61.24</v>
      </c>
      <c r="C238" s="301">
        <v>6771702.5032536993</v>
      </c>
      <c r="D238" s="258"/>
      <c r="H238" s="301"/>
      <c r="I238" s="301"/>
      <c r="J238" s="301"/>
      <c r="L238" s="301"/>
      <c r="O238" s="4">
        <v>0</v>
      </c>
    </row>
    <row r="239" spans="1:15">
      <c r="A239" s="228">
        <v>1229</v>
      </c>
      <c r="B239" s="252">
        <v>65.2</v>
      </c>
      <c r="C239" s="256">
        <v>31660183.574510597</v>
      </c>
      <c r="D239" s="264">
        <v>0.48</v>
      </c>
      <c r="H239" s="255">
        <v>60228.582247048937</v>
      </c>
      <c r="I239" s="255">
        <v>47260.48130356265</v>
      </c>
      <c r="J239" s="253">
        <f>H239+I239</f>
        <v>107489.06355061158</v>
      </c>
      <c r="L239" s="255">
        <v>71494.583455507847</v>
      </c>
      <c r="O239" s="3">
        <v>0</v>
      </c>
    </row>
    <row r="240" spans="1:15">
      <c r="A240" s="228">
        <v>1229</v>
      </c>
      <c r="B240" s="327">
        <v>65.680000000000007</v>
      </c>
      <c r="C240" s="301">
        <v>31660183.574510597</v>
      </c>
      <c r="D240" s="258"/>
      <c r="H240" s="301"/>
      <c r="I240" s="301"/>
      <c r="J240" s="301"/>
      <c r="L240" s="301"/>
      <c r="O240" s="4">
        <v>0</v>
      </c>
    </row>
    <row r="241" spans="1:15">
      <c r="A241" s="228">
        <v>1229</v>
      </c>
      <c r="B241" s="252">
        <v>70.2</v>
      </c>
      <c r="C241" s="256">
        <v>55462571.295791067</v>
      </c>
      <c r="D241" s="264">
        <v>0.68</v>
      </c>
      <c r="H241" s="255">
        <v>1984280.8459286999</v>
      </c>
      <c r="I241" s="255">
        <v>64052.950581911377</v>
      </c>
      <c r="J241" s="253">
        <f>H241+I241</f>
        <v>2048333.7965106114</v>
      </c>
      <c r="L241" s="255">
        <v>1724714.20462736</v>
      </c>
      <c r="O241" s="3">
        <v>0</v>
      </c>
    </row>
    <row r="242" spans="1:15">
      <c r="A242" s="228">
        <v>1229</v>
      </c>
      <c r="B242" s="327">
        <v>70.88</v>
      </c>
      <c r="C242" s="301">
        <v>55462571.295791067</v>
      </c>
      <c r="D242" s="258"/>
      <c r="H242" s="301"/>
      <c r="I242" s="301"/>
      <c r="J242" s="301"/>
      <c r="L242" s="301"/>
      <c r="O242" s="4">
        <v>0</v>
      </c>
    </row>
    <row r="243" spans="1:15">
      <c r="A243" s="228">
        <v>1229</v>
      </c>
      <c r="B243" s="327">
        <v>71</v>
      </c>
      <c r="C243" s="256">
        <v>55462571.295791067</v>
      </c>
      <c r="D243" s="258">
        <v>0.12</v>
      </c>
      <c r="E243" s="254">
        <v>3258944.762785661</v>
      </c>
      <c r="G243" s="254">
        <f>E243+F243</f>
        <v>3258944.762785661</v>
      </c>
      <c r="H243" s="301"/>
      <c r="I243" s="301"/>
      <c r="J243" s="301"/>
      <c r="L243" s="301"/>
      <c r="O243" s="3">
        <v>0</v>
      </c>
    </row>
    <row r="244" spans="1:15">
      <c r="A244" s="228">
        <v>1229</v>
      </c>
      <c r="B244" s="327">
        <v>74.98</v>
      </c>
      <c r="C244" s="301">
        <v>99169804.001384929</v>
      </c>
      <c r="D244" s="258"/>
      <c r="H244" s="301"/>
      <c r="I244" s="301"/>
      <c r="J244" s="301"/>
      <c r="L244" s="301"/>
      <c r="O244" s="4">
        <v>0</v>
      </c>
    </row>
    <row r="245" spans="1:15">
      <c r="A245" s="228">
        <v>1229</v>
      </c>
      <c r="B245" s="252">
        <v>75.3</v>
      </c>
      <c r="C245" s="256">
        <v>99169804.001384929</v>
      </c>
      <c r="D245" s="264">
        <v>0.32</v>
      </c>
      <c r="H245" s="255">
        <v>385143.1164066855</v>
      </c>
      <c r="I245" s="255">
        <v>4335.4396005419194</v>
      </c>
      <c r="J245" s="253">
        <f>H245+I245</f>
        <v>389478.55600722739</v>
      </c>
      <c r="L245" s="255">
        <v>313049.59062878811</v>
      </c>
      <c r="O245" s="3">
        <v>0</v>
      </c>
    </row>
    <row r="246" spans="1:15">
      <c r="A246" s="228">
        <v>1229</v>
      </c>
      <c r="B246" s="252">
        <v>81.099999999999994</v>
      </c>
      <c r="C246" s="256">
        <v>41783036.664662287</v>
      </c>
      <c r="D246" s="264">
        <v>0.79</v>
      </c>
      <c r="H246" s="255">
        <v>15727.653705056651</v>
      </c>
      <c r="I246" s="255">
        <v>7400.1627562191634</v>
      </c>
      <c r="J246" s="253">
        <f>H246+I246</f>
        <v>23127.816461275816</v>
      </c>
      <c r="L246" s="255">
        <v>9932.8513982967434</v>
      </c>
      <c r="O246" s="4">
        <v>0</v>
      </c>
    </row>
    <row r="247" spans="1:15">
      <c r="A247" s="228">
        <v>1229</v>
      </c>
      <c r="B247" s="252">
        <v>81.2</v>
      </c>
      <c r="C247" s="256">
        <v>41783036.664662287</v>
      </c>
      <c r="D247" s="264">
        <v>0.69</v>
      </c>
      <c r="H247" s="255">
        <v>3556.0277402215843</v>
      </c>
      <c r="I247" s="255">
        <v>5022.0049934220933</v>
      </c>
      <c r="J247" s="253">
        <f>H247+I247</f>
        <v>8578.0327336436785</v>
      </c>
      <c r="L247" s="255">
        <v>19420.71165475919</v>
      </c>
      <c r="O247" s="3">
        <v>0</v>
      </c>
    </row>
    <row r="248" spans="1:15">
      <c r="A248" s="228">
        <v>1229</v>
      </c>
      <c r="B248" s="327">
        <v>81.89</v>
      </c>
      <c r="C248" s="301">
        <v>41783036.664662287</v>
      </c>
      <c r="D248" s="258"/>
      <c r="H248" s="301"/>
      <c r="I248" s="301"/>
      <c r="J248" s="301"/>
      <c r="L248" s="301"/>
      <c r="O248" s="4">
        <v>0</v>
      </c>
    </row>
    <row r="249" spans="1:15">
      <c r="A249" s="228">
        <v>1229</v>
      </c>
      <c r="B249" s="327">
        <v>82</v>
      </c>
      <c r="C249" s="256">
        <v>41783036.664662287</v>
      </c>
      <c r="D249" s="258">
        <f>B249-B248</f>
        <v>0.10999999999999943</v>
      </c>
      <c r="E249" s="254">
        <v>728691.5536234004</v>
      </c>
      <c r="G249" s="254">
        <f>E249+F249</f>
        <v>728691.5536234004</v>
      </c>
      <c r="H249" s="301"/>
      <c r="I249" s="301"/>
      <c r="J249" s="301"/>
      <c r="L249" s="301"/>
      <c r="O249" s="3">
        <v>0</v>
      </c>
    </row>
    <row r="250" spans="1:15">
      <c r="A250" s="228">
        <v>1229</v>
      </c>
      <c r="B250" s="252">
        <v>84.2</v>
      </c>
      <c r="C250" s="256">
        <v>36643757.464783385</v>
      </c>
      <c r="D250" s="264">
        <v>0.28000000000000003</v>
      </c>
      <c r="H250" s="255">
        <v>2566348.5512874699</v>
      </c>
      <c r="I250" s="255">
        <v>40527.71703424913</v>
      </c>
      <c r="J250" s="253">
        <f>H250+I250</f>
        <v>2606876.268321719</v>
      </c>
      <c r="L250" s="255">
        <v>1008312.47457747</v>
      </c>
      <c r="O250" s="4">
        <v>0</v>
      </c>
    </row>
    <row r="251" spans="1:15">
      <c r="A251" s="228">
        <v>1229</v>
      </c>
      <c r="B251" s="327">
        <v>84.48</v>
      </c>
      <c r="C251" s="301">
        <v>36643757.464783385</v>
      </c>
      <c r="D251" s="258"/>
      <c r="H251" s="301"/>
      <c r="I251" s="301"/>
      <c r="J251" s="301"/>
      <c r="L251" s="301"/>
      <c r="O251" s="3">
        <v>0</v>
      </c>
    </row>
    <row r="252" spans="1:15">
      <c r="A252" s="228">
        <v>1229</v>
      </c>
      <c r="B252" s="327">
        <v>85</v>
      </c>
      <c r="C252" s="256">
        <v>36643757.464783385</v>
      </c>
      <c r="D252" s="258">
        <f>B252-B$251</f>
        <v>0.51999999999999602</v>
      </c>
      <c r="E252" s="254">
        <v>415687.45765582658</v>
      </c>
      <c r="G252" s="254">
        <f>E252+F252</f>
        <v>415687.45765582658</v>
      </c>
      <c r="H252" s="301"/>
      <c r="I252" s="301"/>
      <c r="J252" s="301"/>
      <c r="L252" s="301"/>
      <c r="O252" s="4">
        <v>0</v>
      </c>
    </row>
    <row r="253" spans="1:15">
      <c r="A253" s="228">
        <v>1229</v>
      </c>
      <c r="B253" s="252">
        <v>85.1</v>
      </c>
      <c r="C253" s="256">
        <v>36643757.464783385</v>
      </c>
      <c r="D253" s="258">
        <f>B253-B$251</f>
        <v>0.61999999999999034</v>
      </c>
      <c r="H253" s="255"/>
      <c r="I253" s="255">
        <v>140145.40507058793</v>
      </c>
      <c r="J253" s="253"/>
      <c r="L253" s="255"/>
      <c r="O253" s="3">
        <v>0</v>
      </c>
    </row>
    <row r="254" spans="1:15">
      <c r="A254" s="228">
        <v>1229</v>
      </c>
      <c r="B254" s="249">
        <v>85.2</v>
      </c>
      <c r="C254" s="256">
        <v>36643757.464783385</v>
      </c>
      <c r="D254" s="258">
        <f>B254-B$251</f>
        <v>0.71999999999999886</v>
      </c>
      <c r="H254" s="255">
        <v>12607148.347306</v>
      </c>
      <c r="I254" s="255">
        <v>134937.97750089029</v>
      </c>
      <c r="J254" s="253">
        <f>H254+I254</f>
        <v>12742086.32480689</v>
      </c>
      <c r="L254" s="255">
        <v>17983526.663791101</v>
      </c>
      <c r="O254" s="4">
        <v>0</v>
      </c>
    </row>
    <row r="255" spans="1:15">
      <c r="A255" s="228">
        <v>1229</v>
      </c>
      <c r="B255" s="252">
        <v>86.6</v>
      </c>
      <c r="C255" s="256">
        <v>36643757.464783385</v>
      </c>
      <c r="D255" s="258">
        <f>B255-B$251</f>
        <v>2.1199999999999903</v>
      </c>
      <c r="H255" s="255">
        <v>239922.58953018818</v>
      </c>
      <c r="I255" s="255">
        <v>7532.3728075857625</v>
      </c>
      <c r="J255" s="253">
        <f>H255+I255</f>
        <v>247454.96233777393</v>
      </c>
      <c r="L255" s="255">
        <v>675331.70662928501</v>
      </c>
      <c r="O255" s="3">
        <v>0</v>
      </c>
    </row>
    <row r="256" spans="1:15">
      <c r="A256" s="228">
        <v>1229</v>
      </c>
      <c r="B256" s="327">
        <v>87</v>
      </c>
      <c r="C256" s="256">
        <v>36643757.464783385</v>
      </c>
      <c r="D256" s="258">
        <f>B256-B$251</f>
        <v>2.519999999999996</v>
      </c>
      <c r="E256" s="254">
        <v>210766.20968875685</v>
      </c>
      <c r="G256" s="254">
        <f>E256+F256</f>
        <v>210766.20968875685</v>
      </c>
      <c r="H256" s="301"/>
      <c r="I256" s="301"/>
      <c r="J256" s="301"/>
      <c r="L256" s="301"/>
      <c r="O256" s="4">
        <v>0</v>
      </c>
    </row>
    <row r="257" spans="1:15">
      <c r="A257" s="228">
        <v>1229</v>
      </c>
      <c r="B257" s="252">
        <v>89.8</v>
      </c>
      <c r="C257" s="256">
        <v>9484513274.5354176</v>
      </c>
      <c r="D257" s="264">
        <f>B$262-B257</f>
        <v>0.65000000000000568</v>
      </c>
      <c r="H257" s="255"/>
      <c r="I257" s="255">
        <v>28145.150938989224</v>
      </c>
      <c r="J257" s="253"/>
      <c r="L257" s="255"/>
      <c r="O257" s="3">
        <v>0</v>
      </c>
    </row>
    <row r="258" spans="1:15">
      <c r="A258" s="228">
        <v>1229</v>
      </c>
      <c r="B258" s="249">
        <v>89.9</v>
      </c>
      <c r="C258" s="256">
        <v>9484513274.5354176</v>
      </c>
      <c r="D258" s="264">
        <f>B$262-B258</f>
        <v>0.54999999999999716</v>
      </c>
      <c r="H258" s="255">
        <v>38627290.765351497</v>
      </c>
      <c r="I258" s="255">
        <v>28145.150938989224</v>
      </c>
      <c r="J258" s="253">
        <f>H258+I258</f>
        <v>38655435.916290484</v>
      </c>
      <c r="L258" s="255">
        <v>29779695.225544401</v>
      </c>
      <c r="O258" s="4">
        <v>0</v>
      </c>
    </row>
    <row r="259" spans="1:15">
      <c r="A259" s="228">
        <v>1229</v>
      </c>
      <c r="B259" s="252">
        <v>90</v>
      </c>
      <c r="C259" s="256">
        <v>9484513274.5354176</v>
      </c>
      <c r="D259" s="264">
        <f>B$262-B259</f>
        <v>0.45000000000000284</v>
      </c>
      <c r="H259" s="255"/>
      <c r="I259" s="255"/>
      <c r="J259" s="253"/>
      <c r="L259" s="255"/>
      <c r="O259" s="4">
        <v>0.62</v>
      </c>
    </row>
    <row r="260" spans="1:15">
      <c r="A260" s="228">
        <v>1229</v>
      </c>
      <c r="B260" s="252">
        <v>90.2</v>
      </c>
      <c r="C260" s="256">
        <v>9484513274.5354176</v>
      </c>
      <c r="D260" s="264">
        <f>B$262-B260</f>
        <v>0.25</v>
      </c>
      <c r="H260" s="255"/>
      <c r="I260" s="255"/>
      <c r="J260" s="253"/>
      <c r="L260" s="255"/>
      <c r="O260" s="4">
        <v>0.62</v>
      </c>
    </row>
    <row r="261" spans="1:15">
      <c r="A261" s="228">
        <v>1229</v>
      </c>
      <c r="B261" s="252">
        <v>90.4</v>
      </c>
      <c r="C261" s="256">
        <v>9484513274.5354176</v>
      </c>
      <c r="D261" s="264">
        <f>B$262-B261</f>
        <v>4.9999999999997158E-2</v>
      </c>
      <c r="H261" s="255"/>
      <c r="I261" s="255"/>
      <c r="J261" s="253"/>
      <c r="L261" s="255"/>
      <c r="O261" s="4">
        <v>0.62</v>
      </c>
    </row>
    <row r="262" spans="1:15">
      <c r="A262" s="228">
        <v>1229</v>
      </c>
      <c r="B262" s="327">
        <v>90.45</v>
      </c>
      <c r="C262" s="301">
        <v>9484513274.5354176</v>
      </c>
      <c r="D262" s="258"/>
      <c r="H262" s="301"/>
      <c r="I262" s="301"/>
      <c r="J262" s="301"/>
      <c r="L262" s="301"/>
      <c r="O262" s="4">
        <v>0.62</v>
      </c>
    </row>
    <row r="263" spans="1:15">
      <c r="A263" s="228">
        <v>1229</v>
      </c>
      <c r="B263" s="327">
        <v>91</v>
      </c>
      <c r="C263" s="256">
        <v>580960283.23562849</v>
      </c>
      <c r="D263" s="258">
        <v>0.14000000000000001</v>
      </c>
      <c r="E263" s="254">
        <v>246364.3908371244</v>
      </c>
      <c r="G263" s="254">
        <f>E263+F263</f>
        <v>246364.3908371244</v>
      </c>
      <c r="H263" s="301"/>
      <c r="I263" s="301"/>
      <c r="J263" s="301"/>
      <c r="L263" s="301"/>
      <c r="O263" s="4">
        <v>0.95</v>
      </c>
    </row>
    <row r="264" spans="1:15">
      <c r="A264" s="228">
        <v>1229</v>
      </c>
      <c r="B264" s="327">
        <v>91</v>
      </c>
      <c r="C264" s="256">
        <v>580960283.23562849</v>
      </c>
      <c r="D264" s="258">
        <v>0.14000000000000001</v>
      </c>
      <c r="E264" s="254">
        <v>498691.43220272847</v>
      </c>
      <c r="G264" s="254">
        <f>E264+F264</f>
        <v>498691.43220272847</v>
      </c>
      <c r="H264" s="301"/>
      <c r="I264" s="301"/>
      <c r="J264" s="301"/>
      <c r="L264" s="301"/>
      <c r="O264" s="4">
        <v>0.95</v>
      </c>
    </row>
    <row r="265" spans="1:15">
      <c r="A265" s="228">
        <v>1229</v>
      </c>
      <c r="B265" s="327">
        <v>91.14</v>
      </c>
      <c r="C265" s="301">
        <v>580960283.23562849</v>
      </c>
      <c r="D265" s="258"/>
      <c r="H265" s="301"/>
      <c r="I265" s="301"/>
      <c r="J265" s="301"/>
      <c r="L265" s="301"/>
      <c r="O265" s="4">
        <v>0.95</v>
      </c>
    </row>
    <row r="266" spans="1:15">
      <c r="A266" s="228">
        <v>1229</v>
      </c>
      <c r="B266" s="327">
        <v>91.28</v>
      </c>
      <c r="C266" s="301">
        <v>2062530172.1905682</v>
      </c>
      <c r="D266" s="258"/>
      <c r="H266" s="301"/>
      <c r="I266" s="301"/>
      <c r="J266" s="301"/>
      <c r="L266" s="301"/>
      <c r="O266" s="4">
        <v>0.95</v>
      </c>
    </row>
    <row r="267" spans="1:15">
      <c r="A267" s="228">
        <v>1229</v>
      </c>
      <c r="B267" s="252">
        <v>92.6</v>
      </c>
      <c r="C267" s="256">
        <v>2062530172.1905682</v>
      </c>
      <c r="D267" s="264">
        <f>B267-B$266</f>
        <v>1.3199999999999932</v>
      </c>
      <c r="H267" s="255">
        <v>6777926.4861249598</v>
      </c>
      <c r="I267" s="255">
        <v>9087.7531288216724</v>
      </c>
      <c r="J267" s="253">
        <f>H267+I267</f>
        <v>6787014.2392537817</v>
      </c>
      <c r="L267" s="255">
        <v>1790627.0473193501</v>
      </c>
      <c r="O267" s="4">
        <v>1.33</v>
      </c>
    </row>
    <row r="268" spans="1:15">
      <c r="A268" s="228">
        <v>1229</v>
      </c>
      <c r="B268" s="252">
        <v>95.2</v>
      </c>
      <c r="C268" s="256">
        <v>2062530172.1905682</v>
      </c>
      <c r="D268" s="264">
        <f>B268-B$266</f>
        <v>3.9200000000000017</v>
      </c>
      <c r="H268" s="255">
        <v>7949762.2426929502</v>
      </c>
      <c r="I268" s="255">
        <v>10733.412169890109</v>
      </c>
      <c r="J268" s="253">
        <f>H268+I268</f>
        <v>7960495.6548628407</v>
      </c>
      <c r="L268" s="255">
        <v>3830238.8247753298</v>
      </c>
      <c r="O268" s="4">
        <v>1.7</v>
      </c>
    </row>
    <row r="269" spans="1:15">
      <c r="A269" s="228">
        <v>1229</v>
      </c>
      <c r="B269" s="252">
        <v>101.7</v>
      </c>
      <c r="C269" s="256">
        <v>9540072.2370659243</v>
      </c>
      <c r="D269" s="264">
        <f>B271-B269</f>
        <v>0.73000000000000398</v>
      </c>
      <c r="H269" s="255">
        <v>11597.012898599241</v>
      </c>
      <c r="I269" s="255">
        <v>32.277493836469326</v>
      </c>
      <c r="J269" s="253">
        <f>H269+I269</f>
        <v>11629.290392435711</v>
      </c>
      <c r="L269" s="255">
        <v>61969.093068532224</v>
      </c>
      <c r="O269" s="4">
        <v>3.33</v>
      </c>
    </row>
    <row r="270" spans="1:15">
      <c r="A270" s="228">
        <v>1229</v>
      </c>
      <c r="B270" s="327">
        <v>102</v>
      </c>
      <c r="C270" s="256">
        <v>9540072.2370659243</v>
      </c>
      <c r="D270" s="258">
        <v>0.43</v>
      </c>
      <c r="E270" s="254">
        <v>1482522.8838759938</v>
      </c>
      <c r="G270" s="254">
        <f>E270+F270</f>
        <v>1482522.8838759938</v>
      </c>
      <c r="H270" s="301"/>
      <c r="I270" s="301"/>
      <c r="J270" s="301"/>
      <c r="L270" s="301"/>
      <c r="O270" s="4">
        <v>3.79</v>
      </c>
    </row>
    <row r="271" spans="1:15">
      <c r="A271" s="228">
        <v>1229</v>
      </c>
      <c r="B271" s="327">
        <v>102.43</v>
      </c>
      <c r="C271" s="301">
        <v>9540072.2370659243</v>
      </c>
      <c r="D271" s="258"/>
      <c r="H271" s="301"/>
      <c r="I271" s="301"/>
      <c r="J271" s="301"/>
      <c r="L271" s="301"/>
      <c r="O271" s="4">
        <v>3.79</v>
      </c>
    </row>
    <row r="272" spans="1:15">
      <c r="A272" s="228">
        <v>1229</v>
      </c>
      <c r="B272" s="252">
        <v>109.4</v>
      </c>
      <c r="C272" s="253"/>
      <c r="D272" s="264"/>
      <c r="H272" s="255"/>
      <c r="I272" s="255">
        <v>87076.918171369063</v>
      </c>
      <c r="J272" s="253"/>
      <c r="L272" s="255"/>
      <c r="O272" s="4">
        <v>5.17</v>
      </c>
    </row>
    <row r="273" spans="1:15">
      <c r="A273" s="228">
        <v>1229</v>
      </c>
      <c r="B273" s="252">
        <v>109.4</v>
      </c>
      <c r="C273" s="253"/>
      <c r="D273" s="264"/>
      <c r="H273" s="255"/>
      <c r="I273" s="255"/>
      <c r="J273" s="253"/>
      <c r="L273" s="255"/>
      <c r="O273" s="4">
        <v>5.17</v>
      </c>
    </row>
    <row r="274" spans="1:15">
      <c r="A274" s="228">
        <v>1229</v>
      </c>
      <c r="B274" s="249">
        <v>109.5</v>
      </c>
      <c r="C274" s="253"/>
      <c r="D274" s="264"/>
      <c r="H274" s="255">
        <v>31553827.725063201</v>
      </c>
      <c r="I274" s="255">
        <v>87076.918171369063</v>
      </c>
      <c r="J274" s="253">
        <f>H274+I274</f>
        <v>31640904.64323457</v>
      </c>
      <c r="L274" s="255">
        <v>23742751.6653644</v>
      </c>
      <c r="O274" s="4">
        <v>5.17</v>
      </c>
    </row>
    <row r="275" spans="1:15">
      <c r="A275" s="228">
        <v>1229</v>
      </c>
      <c r="B275" s="252">
        <v>111</v>
      </c>
      <c r="C275" s="253"/>
      <c r="D275" s="264"/>
      <c r="H275" s="255">
        <v>399950.86481311783</v>
      </c>
      <c r="I275" s="255">
        <v>5974.8793520066911</v>
      </c>
      <c r="J275" s="253">
        <f>H275+I275</f>
        <v>405925.74416512455</v>
      </c>
      <c r="L275" s="255">
        <v>181734.39946177375</v>
      </c>
      <c r="O275" s="4">
        <v>5.55</v>
      </c>
    </row>
    <row r="276" spans="1:15">
      <c r="A276" s="228">
        <v>1229</v>
      </c>
      <c r="B276" s="327">
        <v>112</v>
      </c>
      <c r="C276" s="301"/>
      <c r="D276" s="258"/>
      <c r="E276" s="254">
        <v>1755880.6378742086</v>
      </c>
      <c r="G276" s="254">
        <f>E276+F276</f>
        <v>1755880.6378742086</v>
      </c>
      <c r="H276" s="301"/>
      <c r="I276" s="301"/>
      <c r="J276" s="301"/>
      <c r="L276" s="301"/>
      <c r="O276" s="4">
        <v>5.98</v>
      </c>
    </row>
    <row r="277" spans="1:15">
      <c r="A277" s="228">
        <v>1229</v>
      </c>
      <c r="B277" s="252">
        <v>120.7</v>
      </c>
      <c r="C277" s="256">
        <v>17392465.487313174</v>
      </c>
      <c r="D277" s="264">
        <f>B279-B277</f>
        <v>0.67999999999999261</v>
      </c>
      <c r="H277" s="255">
        <v>5785316.7279511904</v>
      </c>
      <c r="I277" s="255">
        <v>12670.803042232063</v>
      </c>
      <c r="J277" s="253">
        <f>H277+I277</f>
        <v>5797987.5309934225</v>
      </c>
      <c r="L277" s="255">
        <v>2636180.48177638</v>
      </c>
      <c r="O277" s="4">
        <v>8.7200000000000006</v>
      </c>
    </row>
    <row r="278" spans="1:15">
      <c r="A278" s="228">
        <v>1229</v>
      </c>
      <c r="B278" s="327">
        <v>121</v>
      </c>
      <c r="C278" s="256">
        <v>17392465.487313174</v>
      </c>
      <c r="D278" s="258">
        <v>0.38</v>
      </c>
      <c r="E278" s="254">
        <v>1597064.7796947625</v>
      </c>
      <c r="G278" s="254">
        <f>E278+F278</f>
        <v>1597064.7796947625</v>
      </c>
      <c r="H278" s="301"/>
      <c r="I278" s="301"/>
      <c r="J278" s="301"/>
      <c r="L278" s="301"/>
      <c r="O278" s="4">
        <v>8.7200000000000006</v>
      </c>
    </row>
    <row r="279" spans="1:15">
      <c r="A279" s="228">
        <v>1229</v>
      </c>
      <c r="B279" s="229">
        <v>121.38</v>
      </c>
      <c r="C279" s="301">
        <v>17392465.487313174</v>
      </c>
      <c r="D279" s="258"/>
      <c r="O279" s="4">
        <v>8.7200000000000006</v>
      </c>
    </row>
    <row r="280" spans="1:15">
      <c r="A280" s="228">
        <v>1229</v>
      </c>
      <c r="B280" s="252">
        <v>157.19999999999999</v>
      </c>
      <c r="C280" s="256">
        <v>3537513.9957919596</v>
      </c>
      <c r="D280" s="264">
        <v>0.78</v>
      </c>
      <c r="H280" s="255">
        <v>12387855.767518301</v>
      </c>
      <c r="I280" s="255">
        <v>6116.2628358771672</v>
      </c>
      <c r="J280" s="253">
        <f>H280+I280</f>
        <v>12393972.030354178</v>
      </c>
      <c r="L280" s="255">
        <v>3293708.3454622398</v>
      </c>
      <c r="O280" s="4">
        <v>26.94</v>
      </c>
    </row>
    <row r="281" spans="1:15">
      <c r="A281" s="228">
        <v>1229</v>
      </c>
      <c r="B281" s="327">
        <v>157.97999999999999</v>
      </c>
      <c r="C281" s="301">
        <v>3537513.9957919596</v>
      </c>
      <c r="D281" s="258"/>
      <c r="H281" s="301"/>
      <c r="I281" s="301"/>
      <c r="J281" s="301"/>
      <c r="L281" s="301"/>
      <c r="O281" s="4">
        <v>26.94</v>
      </c>
    </row>
    <row r="282" spans="1:15">
      <c r="A282" s="228">
        <v>1229</v>
      </c>
      <c r="B282" s="327">
        <v>158</v>
      </c>
      <c r="C282" s="256">
        <v>3537513.9957919596</v>
      </c>
      <c r="D282" s="258">
        <v>0.02</v>
      </c>
      <c r="E282" s="254">
        <v>1249433.4765287812</v>
      </c>
      <c r="G282" s="254">
        <f>E282+F282</f>
        <v>1249433.4765287812</v>
      </c>
      <c r="H282" s="301"/>
      <c r="I282" s="301"/>
      <c r="J282" s="301"/>
      <c r="L282" s="301"/>
      <c r="O282" s="4">
        <v>28.08</v>
      </c>
    </row>
    <row r="283" spans="1:15">
      <c r="A283" s="228">
        <v>1229</v>
      </c>
      <c r="B283" s="327">
        <v>186</v>
      </c>
      <c r="C283" s="301"/>
      <c r="D283" s="258"/>
      <c r="E283" s="254">
        <v>3207395.6478934102</v>
      </c>
      <c r="G283" s="254">
        <f>E283+F283</f>
        <v>3207395.6478934102</v>
      </c>
      <c r="H283" s="301"/>
      <c r="I283" s="301"/>
      <c r="J283" s="301"/>
      <c r="L283" s="301"/>
      <c r="O283" s="4">
        <v>38.03</v>
      </c>
    </row>
    <row r="284" spans="1:15">
      <c r="A284" s="228">
        <v>1229</v>
      </c>
      <c r="B284" s="252">
        <v>187.4</v>
      </c>
      <c r="C284" s="253"/>
      <c r="D284" s="264"/>
      <c r="H284" s="255">
        <v>970050.04511247971</v>
      </c>
      <c r="I284" s="255">
        <v>858.58205441499035</v>
      </c>
      <c r="J284" s="253">
        <f>H284+I284</f>
        <v>970908.62716689473</v>
      </c>
      <c r="L284" s="255">
        <v>353630.03189504007</v>
      </c>
      <c r="O284" s="4">
        <v>38.03</v>
      </c>
    </row>
    <row r="285" spans="1:15">
      <c r="A285" s="228">
        <v>1230</v>
      </c>
      <c r="B285" s="13">
        <v>0.01</v>
      </c>
      <c r="C285" s="301">
        <v>420796335.52066875</v>
      </c>
      <c r="D285" s="258"/>
      <c r="H285" s="301"/>
      <c r="I285" s="301"/>
      <c r="J285" s="301"/>
      <c r="L285" s="301"/>
      <c r="O285" s="4">
        <v>28.84</v>
      </c>
    </row>
    <row r="286" spans="1:15">
      <c r="A286" s="228">
        <v>1230</v>
      </c>
      <c r="B286" s="13">
        <v>0.1</v>
      </c>
      <c r="C286" s="301"/>
      <c r="D286" s="258"/>
      <c r="E286" s="254">
        <v>133089.12580626487</v>
      </c>
      <c r="G286" s="254">
        <f>E286+F286</f>
        <v>133089.12580626487</v>
      </c>
      <c r="H286" s="301"/>
      <c r="I286" s="301"/>
      <c r="J286" s="301"/>
      <c r="L286" s="301"/>
      <c r="O286" s="4">
        <v>28.84</v>
      </c>
    </row>
    <row r="287" spans="1:15">
      <c r="A287" s="228">
        <v>1230</v>
      </c>
      <c r="B287" s="13">
        <v>0.2</v>
      </c>
      <c r="C287" s="256"/>
      <c r="D287" s="258"/>
      <c r="E287" s="254">
        <v>120102.61773536235</v>
      </c>
      <c r="G287" s="254">
        <f>E287+F287</f>
        <v>120102.61773536235</v>
      </c>
      <c r="H287" s="301"/>
      <c r="I287" s="301"/>
      <c r="J287" s="301"/>
      <c r="L287" s="301"/>
      <c r="O287" s="4">
        <v>28.84</v>
      </c>
    </row>
    <row r="288" spans="1:15">
      <c r="A288" s="228">
        <v>1230</v>
      </c>
      <c r="B288" s="333">
        <v>0.3</v>
      </c>
      <c r="C288" s="256"/>
      <c r="D288" s="264"/>
      <c r="H288" s="255">
        <v>167199855.776274</v>
      </c>
      <c r="I288" s="255">
        <v>1006603.7990693901</v>
      </c>
      <c r="J288" s="253">
        <f>H288+I288</f>
        <v>168206459.5753434</v>
      </c>
      <c r="L288" s="255">
        <v>167370879.58586901</v>
      </c>
      <c r="O288" s="4">
        <v>28.27</v>
      </c>
    </row>
    <row r="289" spans="1:15">
      <c r="A289" s="228">
        <v>1230</v>
      </c>
      <c r="B289" s="13">
        <v>1</v>
      </c>
      <c r="C289" s="256">
        <v>140619057.28402838</v>
      </c>
      <c r="D289" s="258">
        <v>0.11</v>
      </c>
      <c r="E289" s="254">
        <v>128394.49825013154</v>
      </c>
      <c r="G289" s="254">
        <f>E289+F289</f>
        <v>128394.49825013154</v>
      </c>
      <c r="H289" s="301"/>
      <c r="I289" s="301"/>
      <c r="J289" s="301"/>
      <c r="L289" s="301"/>
      <c r="O289" s="4">
        <v>26.09</v>
      </c>
    </row>
    <row r="290" spans="1:15">
      <c r="A290" s="228">
        <v>1230</v>
      </c>
      <c r="B290" s="13">
        <v>1.1100000000000001</v>
      </c>
      <c r="C290" s="301">
        <v>140619057.28402838</v>
      </c>
      <c r="D290" s="258"/>
      <c r="H290" s="301"/>
      <c r="I290" s="301"/>
      <c r="J290" s="301"/>
      <c r="L290" s="301"/>
      <c r="O290" s="4">
        <v>26.09</v>
      </c>
    </row>
    <row r="291" spans="1:15">
      <c r="A291" s="228">
        <v>1230</v>
      </c>
      <c r="B291" s="327">
        <v>2</v>
      </c>
      <c r="C291" s="256">
        <v>140619057.28402838</v>
      </c>
      <c r="D291" s="258">
        <v>0.89</v>
      </c>
      <c r="E291" s="254">
        <v>214423.59432164222</v>
      </c>
      <c r="G291" s="254">
        <f>E291+F291</f>
        <v>214423.59432164222</v>
      </c>
      <c r="H291" s="301"/>
      <c r="I291" s="301"/>
      <c r="J291" s="301"/>
      <c r="L291" s="301"/>
      <c r="O291" s="4">
        <v>21.46</v>
      </c>
    </row>
    <row r="292" spans="1:15">
      <c r="A292" s="228">
        <v>1230</v>
      </c>
      <c r="B292" s="13">
        <v>3.88</v>
      </c>
      <c r="C292" s="301">
        <v>33153356.15321701</v>
      </c>
      <c r="D292" s="258"/>
      <c r="H292" s="301"/>
      <c r="I292" s="301"/>
      <c r="J292" s="301"/>
      <c r="L292" s="301"/>
      <c r="O292" s="4">
        <v>17.61</v>
      </c>
    </row>
    <row r="293" spans="1:15">
      <c r="A293" s="228">
        <v>1230</v>
      </c>
      <c r="B293" s="327">
        <v>4</v>
      </c>
      <c r="C293" s="256">
        <v>33153356.15321701</v>
      </c>
      <c r="D293" s="258">
        <v>0.12</v>
      </c>
      <c r="E293" s="254">
        <v>140745.43808338526</v>
      </c>
      <c r="G293" s="254">
        <f>E293+F293</f>
        <v>140745.43808338526</v>
      </c>
      <c r="H293" s="301"/>
      <c r="I293" s="301"/>
      <c r="J293" s="301"/>
      <c r="L293" s="301"/>
      <c r="O293" s="4">
        <v>13.35</v>
      </c>
    </row>
    <row r="294" spans="1:15">
      <c r="A294" s="228">
        <v>1230</v>
      </c>
      <c r="B294" s="13">
        <v>5.0599999999999996</v>
      </c>
      <c r="C294" s="301">
        <v>18227562.889566705</v>
      </c>
      <c r="D294" s="258"/>
      <c r="H294" s="301"/>
      <c r="I294" s="301"/>
      <c r="J294" s="301"/>
      <c r="L294" s="301"/>
      <c r="O294" s="4">
        <v>13.25</v>
      </c>
    </row>
    <row r="295" spans="1:15">
      <c r="A295" s="228">
        <v>1230</v>
      </c>
      <c r="B295" s="327">
        <v>5.49</v>
      </c>
      <c r="C295" s="301">
        <v>21740502.501976658</v>
      </c>
      <c r="D295" s="258"/>
      <c r="H295" s="301"/>
      <c r="I295" s="301"/>
      <c r="J295" s="301"/>
      <c r="L295" s="301"/>
      <c r="O295" s="4">
        <v>12.1</v>
      </c>
    </row>
    <row r="296" spans="1:15">
      <c r="A296" s="228">
        <v>1230</v>
      </c>
      <c r="B296" s="327">
        <v>6</v>
      </c>
      <c r="C296" s="256">
        <v>47557128.484914996</v>
      </c>
      <c r="D296" s="258">
        <v>0.16</v>
      </c>
      <c r="E296" s="254">
        <v>59245.506119727783</v>
      </c>
      <c r="G296" s="254">
        <f>E296+F296</f>
        <v>59245.506119727783</v>
      </c>
      <c r="H296" s="301"/>
      <c r="I296" s="301"/>
      <c r="J296" s="301"/>
      <c r="L296" s="301"/>
      <c r="O296" s="4">
        <v>9.36</v>
      </c>
    </row>
    <row r="297" spans="1:15">
      <c r="A297" s="228">
        <v>1230</v>
      </c>
      <c r="B297" s="327">
        <v>6.16</v>
      </c>
      <c r="C297" s="301">
        <v>47557128.484914996</v>
      </c>
      <c r="D297" s="258"/>
      <c r="H297" s="301"/>
      <c r="I297" s="301"/>
      <c r="J297" s="301"/>
      <c r="L297" s="301"/>
      <c r="O297" s="4">
        <v>5.2</v>
      </c>
    </row>
    <row r="298" spans="1:15">
      <c r="A298" s="228">
        <v>1230</v>
      </c>
      <c r="B298" s="327">
        <v>6.56</v>
      </c>
      <c r="C298" s="301">
        <v>15634412.324083531</v>
      </c>
      <c r="D298" s="258"/>
      <c r="H298" s="301"/>
      <c r="I298" s="301"/>
      <c r="J298" s="301"/>
      <c r="L298" s="301"/>
      <c r="O298" s="4">
        <v>7.75</v>
      </c>
    </row>
    <row r="299" spans="1:15">
      <c r="A299" s="228">
        <v>1230</v>
      </c>
      <c r="B299" s="252">
        <v>6.7</v>
      </c>
      <c r="C299" s="256">
        <v>15634412.324083531</v>
      </c>
      <c r="D299" s="264">
        <v>0.14000000000000001</v>
      </c>
      <c r="H299" s="255">
        <v>10559488.9118533</v>
      </c>
      <c r="I299" s="255">
        <v>158126.4660895596</v>
      </c>
      <c r="J299" s="253">
        <f>H299+I299</f>
        <v>10717615.37794286</v>
      </c>
      <c r="L299" s="255">
        <v>21983249.9813039</v>
      </c>
      <c r="O299" s="4">
        <v>6.66</v>
      </c>
    </row>
    <row r="300" spans="1:15">
      <c r="A300" s="228">
        <v>1230</v>
      </c>
      <c r="B300" s="327">
        <v>6.99</v>
      </c>
      <c r="C300" s="301">
        <v>15671466.858033944</v>
      </c>
      <c r="D300" s="258"/>
      <c r="H300" s="301"/>
      <c r="I300" s="301"/>
      <c r="J300" s="301"/>
      <c r="L300" s="301"/>
      <c r="O300" s="4">
        <v>6.66</v>
      </c>
    </row>
    <row r="301" spans="1:15">
      <c r="A301" s="228">
        <v>1230</v>
      </c>
      <c r="B301" s="327">
        <v>7</v>
      </c>
      <c r="C301" s="256">
        <v>15671466.858033944</v>
      </c>
      <c r="D301" s="258">
        <v>0.01</v>
      </c>
      <c r="E301" s="254">
        <v>225914.85836315295</v>
      </c>
      <c r="G301" s="254">
        <f>E301+F301</f>
        <v>225914.85836315295</v>
      </c>
      <c r="H301" s="301"/>
      <c r="I301" s="301"/>
      <c r="J301" s="301"/>
      <c r="L301" s="301"/>
      <c r="O301" s="4">
        <v>3.31</v>
      </c>
    </row>
    <row r="302" spans="1:15">
      <c r="A302" s="228">
        <v>1230</v>
      </c>
      <c r="B302" s="327">
        <v>7.4</v>
      </c>
      <c r="C302" s="301">
        <v>34183422.596713856</v>
      </c>
      <c r="D302" s="258"/>
      <c r="H302" s="301"/>
      <c r="I302" s="301"/>
      <c r="J302" s="301"/>
      <c r="L302" s="301"/>
      <c r="O302" s="4">
        <v>2.58</v>
      </c>
    </row>
    <row r="303" spans="1:15">
      <c r="A303" s="228">
        <v>1230</v>
      </c>
      <c r="B303" s="327">
        <v>7.66</v>
      </c>
      <c r="C303" s="301">
        <v>17779500.114462078</v>
      </c>
      <c r="D303" s="258"/>
      <c r="H303" s="301"/>
      <c r="I303" s="301"/>
      <c r="J303" s="301"/>
      <c r="L303" s="301"/>
      <c r="O303" s="4">
        <v>2.58</v>
      </c>
    </row>
    <row r="304" spans="1:15">
      <c r="A304" s="228">
        <v>1230</v>
      </c>
      <c r="B304" s="327">
        <v>8</v>
      </c>
      <c r="C304" s="256">
        <v>38547835.766577289</v>
      </c>
      <c r="D304" s="258">
        <v>0.05</v>
      </c>
      <c r="E304" s="254">
        <v>92580.863410914651</v>
      </c>
      <c r="G304" s="254">
        <f>E304+F304</f>
        <v>92580.863410914651</v>
      </c>
      <c r="H304" s="301"/>
      <c r="I304" s="301"/>
      <c r="J304" s="301"/>
      <c r="L304" s="301"/>
      <c r="O304" s="4">
        <v>3.39</v>
      </c>
    </row>
    <row r="305" spans="1:15">
      <c r="A305" s="228">
        <v>1230</v>
      </c>
      <c r="B305" s="327">
        <v>8</v>
      </c>
      <c r="C305" s="256">
        <v>38547835.766577289</v>
      </c>
      <c r="D305" s="258">
        <v>0.05</v>
      </c>
      <c r="E305" s="254">
        <v>140595.2471440635</v>
      </c>
      <c r="G305" s="254">
        <f>E305+F305</f>
        <v>140595.2471440635</v>
      </c>
      <c r="H305" s="301"/>
      <c r="I305" s="301"/>
      <c r="J305" s="301"/>
      <c r="L305" s="301"/>
      <c r="O305" s="4">
        <v>3.39</v>
      </c>
    </row>
    <row r="306" spans="1:15">
      <c r="A306" s="228">
        <v>1230</v>
      </c>
      <c r="B306" s="327">
        <v>8.0500000000000007</v>
      </c>
      <c r="C306" s="301">
        <v>38547835.766577289</v>
      </c>
      <c r="D306" s="258"/>
      <c r="H306" s="301"/>
      <c r="I306" s="301"/>
      <c r="J306" s="301"/>
      <c r="L306" s="301"/>
      <c r="O306" s="4">
        <v>3.39</v>
      </c>
    </row>
    <row r="307" spans="1:15">
      <c r="A307" s="228">
        <v>1230</v>
      </c>
      <c r="B307" s="229">
        <v>8.06</v>
      </c>
      <c r="C307" s="301">
        <v>27175966.803723786</v>
      </c>
      <c r="D307" s="258"/>
      <c r="O307" s="4">
        <v>3.39</v>
      </c>
    </row>
    <row r="308" spans="1:15">
      <c r="A308" s="228">
        <v>1230</v>
      </c>
      <c r="B308" s="252">
        <v>8.1000000000000014</v>
      </c>
      <c r="C308" s="256">
        <v>27175966.803723801</v>
      </c>
      <c r="D308" s="264">
        <v>0.04</v>
      </c>
      <c r="H308" s="255">
        <v>2629655.7503610202</v>
      </c>
      <c r="I308" s="255">
        <v>11265.415953224947</v>
      </c>
      <c r="J308" s="253">
        <f>H308+I308</f>
        <v>2640921.1663142452</v>
      </c>
      <c r="L308" s="255">
        <v>13755991.4903125</v>
      </c>
      <c r="O308" s="4">
        <v>3.39</v>
      </c>
    </row>
    <row r="309" spans="1:15">
      <c r="A309" s="228">
        <v>1230</v>
      </c>
      <c r="B309" s="327">
        <v>8.2799999999999994</v>
      </c>
      <c r="C309" s="301">
        <v>65020697.251816258</v>
      </c>
      <c r="D309" s="258"/>
      <c r="H309" s="301"/>
      <c r="I309" s="301"/>
      <c r="J309" s="301"/>
      <c r="L309" s="301"/>
      <c r="O309" s="4">
        <v>1.89</v>
      </c>
    </row>
    <row r="310" spans="1:15">
      <c r="A310" s="228">
        <v>1230</v>
      </c>
      <c r="B310" s="327">
        <v>8.49</v>
      </c>
      <c r="C310" s="301">
        <v>68377303.435034841</v>
      </c>
      <c r="D310" s="258"/>
      <c r="H310" s="301"/>
      <c r="I310" s="301"/>
      <c r="J310" s="301"/>
      <c r="L310" s="301"/>
      <c r="O310" s="4">
        <v>0.84</v>
      </c>
    </row>
    <row r="311" spans="1:15">
      <c r="A311" s="228">
        <v>1230</v>
      </c>
      <c r="B311" s="327">
        <v>8.9499999999999993</v>
      </c>
      <c r="C311" s="301">
        <v>28832639.715110455</v>
      </c>
      <c r="D311" s="258"/>
      <c r="H311" s="301"/>
      <c r="I311" s="301"/>
      <c r="J311" s="301"/>
      <c r="L311" s="301"/>
      <c r="O311" s="4">
        <v>0.84</v>
      </c>
    </row>
    <row r="312" spans="1:15">
      <c r="A312" s="228">
        <v>1230</v>
      </c>
      <c r="B312" s="327">
        <v>9</v>
      </c>
      <c r="C312" s="256">
        <v>28832639.715110455</v>
      </c>
      <c r="D312" s="258">
        <v>0.05</v>
      </c>
      <c r="E312" s="254">
        <v>124579.54474045546</v>
      </c>
      <c r="G312" s="254">
        <f>E312+F312</f>
        <v>124579.54474045546</v>
      </c>
      <c r="H312" s="301"/>
      <c r="I312" s="301"/>
      <c r="J312" s="301"/>
      <c r="L312" s="301"/>
      <c r="O312" s="4">
        <v>0.64</v>
      </c>
    </row>
    <row r="313" spans="1:15">
      <c r="A313" s="228">
        <v>1230</v>
      </c>
      <c r="B313" s="252">
        <v>9</v>
      </c>
      <c r="C313" s="256">
        <v>28832639.715110455</v>
      </c>
      <c r="D313" s="264">
        <v>0.05</v>
      </c>
      <c r="H313" s="255">
        <v>3596995.5330541101</v>
      </c>
      <c r="I313" s="255">
        <v>69357.148860574205</v>
      </c>
      <c r="J313" s="253">
        <f>H313+I313</f>
        <v>3666352.6819146844</v>
      </c>
      <c r="L313" s="255">
        <v>4592698.1040640296</v>
      </c>
      <c r="O313" s="4">
        <v>0.64</v>
      </c>
    </row>
    <row r="314" spans="1:15">
      <c r="A314" s="228">
        <v>1230</v>
      </c>
      <c r="B314" s="327">
        <v>9.16</v>
      </c>
      <c r="C314" s="301">
        <v>18895799.597590819</v>
      </c>
      <c r="D314" s="258"/>
      <c r="H314" s="301"/>
      <c r="I314" s="301"/>
      <c r="J314" s="301"/>
      <c r="L314" s="301"/>
      <c r="O314" s="4">
        <v>0.27</v>
      </c>
    </row>
    <row r="315" spans="1:15">
      <c r="A315" s="228">
        <v>1230</v>
      </c>
      <c r="B315" s="252">
        <v>9.5</v>
      </c>
      <c r="C315" s="256">
        <v>23968729.40577545</v>
      </c>
      <c r="D315" s="264">
        <v>0.06</v>
      </c>
      <c r="H315" s="255">
        <v>12972177.9760742</v>
      </c>
      <c r="I315" s="255">
        <v>36844.151986752935</v>
      </c>
      <c r="J315" s="253">
        <f>H315+I315</f>
        <v>13009022.128060954</v>
      </c>
      <c r="L315" s="255">
        <v>63123620.253576502</v>
      </c>
      <c r="O315" s="4">
        <v>0.64</v>
      </c>
    </row>
    <row r="316" spans="1:15">
      <c r="A316" s="228">
        <v>1230</v>
      </c>
      <c r="B316" s="327">
        <v>9.56</v>
      </c>
      <c r="C316" s="301">
        <v>23968729.40577545</v>
      </c>
      <c r="D316" s="258"/>
      <c r="H316" s="301"/>
      <c r="I316" s="301"/>
      <c r="J316" s="301"/>
      <c r="L316" s="301"/>
      <c r="O316" s="4">
        <v>0.64</v>
      </c>
    </row>
    <row r="317" spans="1:15">
      <c r="A317" s="228">
        <v>1230</v>
      </c>
      <c r="B317" s="327">
        <v>9.99</v>
      </c>
      <c r="C317" s="301">
        <v>68620577.508733496</v>
      </c>
      <c r="D317" s="258"/>
      <c r="H317" s="301"/>
      <c r="I317" s="301"/>
      <c r="J317" s="301"/>
      <c r="L317" s="301"/>
      <c r="O317" s="4">
        <v>0.55000000000000004</v>
      </c>
    </row>
    <row r="318" spans="1:15">
      <c r="A318" s="228">
        <v>1230</v>
      </c>
      <c r="B318" s="327">
        <v>10.45</v>
      </c>
      <c r="C318" s="301">
        <v>15507842.02680173</v>
      </c>
      <c r="D318" s="258"/>
      <c r="H318" s="301"/>
      <c r="I318" s="301"/>
      <c r="J318" s="301"/>
      <c r="L318" s="301"/>
      <c r="O318" s="4">
        <v>0.47</v>
      </c>
    </row>
    <row r="319" spans="1:15">
      <c r="A319" s="228">
        <v>1230</v>
      </c>
      <c r="B319" s="327">
        <v>11</v>
      </c>
      <c r="C319" s="256">
        <v>34484700.464195691</v>
      </c>
      <c r="D319" s="258">
        <v>0.6</v>
      </c>
      <c r="E319" s="254">
        <v>82397.537454222489</v>
      </c>
      <c r="G319" s="254">
        <f>E319+F319</f>
        <v>82397.537454222489</v>
      </c>
      <c r="H319" s="301"/>
      <c r="I319" s="301"/>
      <c r="J319" s="301"/>
      <c r="L319" s="301"/>
      <c r="O319" s="4">
        <v>0.28999999999999998</v>
      </c>
    </row>
    <row r="320" spans="1:15">
      <c r="A320" s="228">
        <v>1230</v>
      </c>
      <c r="B320" s="327">
        <v>11</v>
      </c>
      <c r="C320" s="256">
        <v>34484700.464195691</v>
      </c>
      <c r="D320" s="258">
        <v>0.6</v>
      </c>
      <c r="E320" s="254">
        <v>167595.24140055224</v>
      </c>
      <c r="G320" s="254">
        <f>E320+F320</f>
        <v>167595.24140055224</v>
      </c>
      <c r="H320" s="301"/>
      <c r="I320" s="301"/>
      <c r="J320" s="301"/>
      <c r="L320" s="301"/>
      <c r="O320" s="4">
        <v>0.28999999999999998</v>
      </c>
    </row>
    <row r="321" spans="1:15">
      <c r="A321" s="228">
        <v>1230</v>
      </c>
      <c r="B321" s="252">
        <v>11</v>
      </c>
      <c r="C321" s="256">
        <v>34484700.464195691</v>
      </c>
      <c r="D321" s="264">
        <v>0.6</v>
      </c>
      <c r="H321" s="255">
        <v>1205829.4834442199</v>
      </c>
      <c r="I321" s="255">
        <v>21491.854834439629</v>
      </c>
      <c r="J321" s="253">
        <f>H321+I321</f>
        <v>1227321.3382786596</v>
      </c>
      <c r="L321" s="255">
        <v>4240879.1666304804</v>
      </c>
      <c r="O321" s="4">
        <v>0.28999999999999998</v>
      </c>
    </row>
    <row r="322" spans="1:15">
      <c r="A322" s="228">
        <v>1230</v>
      </c>
      <c r="B322" s="252">
        <v>11.1</v>
      </c>
      <c r="C322" s="256">
        <v>34484700.464195691</v>
      </c>
      <c r="D322" s="264">
        <v>0.5</v>
      </c>
      <c r="H322" s="255">
        <v>11080131.087177901</v>
      </c>
      <c r="I322" s="255">
        <v>9468.8062866192522</v>
      </c>
      <c r="J322" s="253">
        <f>H322+I322</f>
        <v>11089599.893464521</v>
      </c>
      <c r="L322" s="255">
        <v>10262233.651469</v>
      </c>
      <c r="O322" s="4">
        <v>0.28999999999999998</v>
      </c>
    </row>
    <row r="323" spans="1:15">
      <c r="A323" s="228">
        <v>1230</v>
      </c>
      <c r="B323" s="327">
        <v>11.6</v>
      </c>
      <c r="C323" s="301">
        <v>34484700.464195691</v>
      </c>
      <c r="D323" s="258"/>
      <c r="H323" s="301"/>
      <c r="I323" s="301"/>
      <c r="J323" s="301"/>
      <c r="L323" s="301"/>
      <c r="O323" s="4">
        <v>0.15</v>
      </c>
    </row>
    <row r="324" spans="1:15">
      <c r="A324" s="228">
        <v>1230</v>
      </c>
      <c r="B324" s="327">
        <v>16</v>
      </c>
      <c r="C324" s="256">
        <v>24251841.120701522</v>
      </c>
      <c r="D324" s="258">
        <v>0.77</v>
      </c>
      <c r="E324" s="254">
        <v>130727.94160353365</v>
      </c>
      <c r="G324" s="254">
        <f>E324+F324</f>
        <v>130727.94160353365</v>
      </c>
      <c r="H324" s="301"/>
      <c r="I324" s="301"/>
      <c r="J324" s="301"/>
      <c r="L324" s="301"/>
      <c r="O324" s="4">
        <v>0.18</v>
      </c>
    </row>
    <row r="325" spans="1:15">
      <c r="A325" s="228">
        <v>1230</v>
      </c>
      <c r="B325" s="327">
        <v>16.77</v>
      </c>
      <c r="C325" s="301">
        <v>24251841.120701522</v>
      </c>
      <c r="D325" s="258"/>
      <c r="H325" s="301"/>
      <c r="I325" s="301"/>
      <c r="J325" s="301"/>
      <c r="L325" s="301"/>
      <c r="O325" s="4">
        <v>0.18</v>
      </c>
    </row>
    <row r="326" spans="1:15">
      <c r="A326" s="228">
        <v>1230</v>
      </c>
      <c r="B326" s="252">
        <v>20.6</v>
      </c>
      <c r="C326" s="256">
        <v>16501120.041750062</v>
      </c>
      <c r="D326" s="264">
        <v>0.38</v>
      </c>
      <c r="H326" s="255">
        <v>147105157.21186399</v>
      </c>
      <c r="I326" s="255">
        <v>10750.61308393215</v>
      </c>
      <c r="J326" s="253">
        <f>H326+I326</f>
        <v>147115907.82494792</v>
      </c>
      <c r="L326" s="255">
        <v>16828286.548724599</v>
      </c>
      <c r="O326" s="3">
        <v>0</v>
      </c>
    </row>
    <row r="327" spans="1:15">
      <c r="A327" s="228">
        <v>1230</v>
      </c>
      <c r="B327" s="327">
        <v>20.98</v>
      </c>
      <c r="C327" s="301">
        <v>16501120.041750062</v>
      </c>
      <c r="D327" s="258"/>
      <c r="H327" s="301"/>
      <c r="I327" s="301"/>
      <c r="J327" s="301"/>
      <c r="L327" s="301"/>
      <c r="O327" s="3">
        <v>0</v>
      </c>
    </row>
    <row r="328" spans="1:15">
      <c r="A328" s="228">
        <v>1230</v>
      </c>
      <c r="B328" s="327">
        <v>21</v>
      </c>
      <c r="C328" s="256">
        <v>16501120.041750062</v>
      </c>
      <c r="D328" s="258">
        <v>0.02</v>
      </c>
      <c r="E328" s="254">
        <v>236646.60773520617</v>
      </c>
      <c r="G328" s="254">
        <f>E328+F328</f>
        <v>236646.60773520617</v>
      </c>
      <c r="H328" s="301"/>
      <c r="I328" s="301"/>
      <c r="J328" s="301"/>
      <c r="L328" s="301"/>
      <c r="O328" s="3">
        <v>0</v>
      </c>
    </row>
    <row r="329" spans="1:15">
      <c r="A329" s="228">
        <v>1230</v>
      </c>
      <c r="B329" s="327">
        <v>30</v>
      </c>
      <c r="C329" s="256">
        <v>11397541.703818219</v>
      </c>
      <c r="D329" s="258">
        <v>0.93</v>
      </c>
      <c r="E329" s="254">
        <v>188401.92874643553</v>
      </c>
      <c r="G329" s="254">
        <f>E329+F329</f>
        <v>188401.92874643553</v>
      </c>
      <c r="H329" s="301"/>
      <c r="I329" s="301"/>
      <c r="J329" s="301"/>
      <c r="L329" s="301"/>
      <c r="O329" s="3">
        <v>0</v>
      </c>
    </row>
    <row r="330" spans="1:15">
      <c r="A330" s="228">
        <v>1230</v>
      </c>
      <c r="B330" s="252">
        <v>30.3</v>
      </c>
      <c r="C330" s="256">
        <v>11397541.703818219</v>
      </c>
      <c r="D330" s="264">
        <v>0.63</v>
      </c>
      <c r="H330" s="255">
        <v>3714419.0540603199</v>
      </c>
      <c r="I330" s="255">
        <v>679.10964491441541</v>
      </c>
      <c r="J330" s="253">
        <f>H330+I330</f>
        <v>3715098.1637052344</v>
      </c>
      <c r="L330" s="255">
        <v>4046652.3775618402</v>
      </c>
      <c r="O330" s="3">
        <v>0</v>
      </c>
    </row>
    <row r="331" spans="1:15">
      <c r="A331" s="228">
        <v>1230</v>
      </c>
      <c r="B331" s="327">
        <v>30.93</v>
      </c>
      <c r="C331" s="301">
        <v>11397541.703818219</v>
      </c>
      <c r="D331" s="258"/>
      <c r="H331" s="301"/>
      <c r="I331" s="301"/>
      <c r="J331" s="301"/>
      <c r="L331" s="301"/>
      <c r="O331" s="3">
        <v>0</v>
      </c>
    </row>
    <row r="332" spans="1:15">
      <c r="A332" s="228">
        <v>1230</v>
      </c>
      <c r="B332" s="252">
        <v>44.6</v>
      </c>
      <c r="C332" s="253"/>
      <c r="D332" s="264"/>
      <c r="H332" s="255">
        <v>603124.39978445403</v>
      </c>
      <c r="I332" s="255">
        <v>5462.1534718993271</v>
      </c>
      <c r="J332" s="253">
        <f>H332+I332</f>
        <v>608586.55325635336</v>
      </c>
      <c r="L332" s="255">
        <v>1086420.3665142299</v>
      </c>
      <c r="O332" s="3">
        <v>0</v>
      </c>
    </row>
    <row r="333" spans="1:15">
      <c r="A333" s="228">
        <v>1230</v>
      </c>
      <c r="B333" s="327">
        <v>45</v>
      </c>
      <c r="C333" s="256"/>
      <c r="D333" s="258"/>
      <c r="E333" s="254">
        <v>241427.73209640788</v>
      </c>
      <c r="G333" s="254">
        <f>E333+F333</f>
        <v>241427.73209640788</v>
      </c>
      <c r="H333" s="301"/>
      <c r="I333" s="301"/>
      <c r="J333" s="301"/>
      <c r="L333" s="301"/>
      <c r="O333" s="3">
        <v>0</v>
      </c>
    </row>
    <row r="334" spans="1:15">
      <c r="A334" s="228">
        <v>1230</v>
      </c>
      <c r="B334" s="327">
        <v>50.49</v>
      </c>
      <c r="C334" s="301">
        <v>7506957.8536233511</v>
      </c>
      <c r="D334" s="258"/>
      <c r="H334" s="301"/>
      <c r="I334" s="301"/>
      <c r="J334" s="301"/>
      <c r="L334" s="301"/>
      <c r="O334" s="3">
        <v>0</v>
      </c>
    </row>
    <row r="335" spans="1:15">
      <c r="A335" s="228">
        <v>1230</v>
      </c>
      <c r="B335" s="252">
        <v>65.8</v>
      </c>
      <c r="C335" s="256">
        <v>11888271.71853485</v>
      </c>
      <c r="D335" s="264">
        <v>1.02</v>
      </c>
      <c r="H335" s="255">
        <v>1078146.80065365</v>
      </c>
      <c r="I335" s="255">
        <v>2.5803100771750715</v>
      </c>
      <c r="J335" s="253">
        <f>H335+I335</f>
        <v>1078149.3809637271</v>
      </c>
      <c r="L335" s="255">
        <v>295114.05835465912</v>
      </c>
      <c r="O335" s="3">
        <v>0</v>
      </c>
    </row>
    <row r="336" spans="1:15">
      <c r="A336" s="228">
        <v>1230</v>
      </c>
      <c r="B336" s="327">
        <v>66</v>
      </c>
      <c r="C336" s="256">
        <v>11888271.71853485</v>
      </c>
      <c r="D336" s="258">
        <v>0.82</v>
      </c>
      <c r="E336" s="254">
        <v>240568.0061732872</v>
      </c>
      <c r="G336" s="254">
        <f>E336+F336</f>
        <v>240568.0061732872</v>
      </c>
      <c r="H336" s="301"/>
      <c r="I336" s="301"/>
      <c r="J336" s="301"/>
      <c r="L336" s="301"/>
      <c r="O336" s="3">
        <v>0</v>
      </c>
    </row>
    <row r="337" spans="1:15">
      <c r="A337" s="228">
        <v>1230</v>
      </c>
      <c r="B337" s="327">
        <v>66.819999999999993</v>
      </c>
      <c r="C337" s="301">
        <v>11888271.71853485</v>
      </c>
      <c r="D337" s="258"/>
      <c r="H337" s="301"/>
      <c r="I337" s="301"/>
      <c r="J337" s="301"/>
      <c r="L337" s="301"/>
      <c r="O337" s="3">
        <v>0</v>
      </c>
    </row>
    <row r="338" spans="1:15">
      <c r="A338" s="228">
        <v>1230</v>
      </c>
      <c r="B338" s="252">
        <v>84.6</v>
      </c>
      <c r="C338" s="256">
        <v>12629606.348131355</v>
      </c>
      <c r="D338" s="264">
        <f>B340-B338</f>
        <v>0.54000000000000625</v>
      </c>
      <c r="H338" s="255">
        <v>1550657.5516406</v>
      </c>
      <c r="I338" s="255">
        <v>57.818821029118766</v>
      </c>
      <c r="J338" s="253">
        <f>H338+I338</f>
        <v>1550715.370461629</v>
      </c>
      <c r="L338" s="255">
        <v>1906856.0035570799</v>
      </c>
      <c r="O338" s="3">
        <v>0</v>
      </c>
    </row>
    <row r="339" spans="1:15">
      <c r="A339" s="228">
        <v>1230</v>
      </c>
      <c r="B339" s="229">
        <v>85</v>
      </c>
      <c r="C339" s="256">
        <v>12629606.348131355</v>
      </c>
      <c r="D339" s="258">
        <v>0.14000000000000001</v>
      </c>
      <c r="E339" s="254">
        <v>212561.6247313706</v>
      </c>
      <c r="G339" s="254">
        <f>E339+F339</f>
        <v>212561.6247313706</v>
      </c>
      <c r="O339" s="3">
        <v>0</v>
      </c>
    </row>
    <row r="340" spans="1:15">
      <c r="A340" s="228">
        <v>1230</v>
      </c>
      <c r="B340" s="327">
        <v>85.14</v>
      </c>
      <c r="C340" s="301">
        <v>12629606.348131355</v>
      </c>
      <c r="D340" s="258"/>
      <c r="H340" s="301"/>
      <c r="I340" s="301"/>
      <c r="J340" s="301"/>
      <c r="L340" s="301"/>
      <c r="O340" s="3">
        <v>0</v>
      </c>
    </row>
    <row r="341" spans="1:15">
      <c r="A341" s="228">
        <v>1230</v>
      </c>
      <c r="B341" s="327">
        <v>102</v>
      </c>
      <c r="C341" s="256">
        <v>11627260.03214086</v>
      </c>
      <c r="D341" s="258">
        <v>0.62</v>
      </c>
      <c r="E341" s="254">
        <v>279891.13489314023</v>
      </c>
      <c r="G341" s="254">
        <f>E341+F341</f>
        <v>279891.13489314023</v>
      </c>
      <c r="H341" s="301"/>
      <c r="I341" s="301"/>
      <c r="J341" s="301"/>
      <c r="L341" s="301"/>
      <c r="O341" s="3">
        <v>0</v>
      </c>
    </row>
    <row r="342" spans="1:15">
      <c r="A342" s="228">
        <v>1230</v>
      </c>
      <c r="B342" s="252">
        <v>102</v>
      </c>
      <c r="C342" s="256">
        <v>11627260.03214086</v>
      </c>
      <c r="D342" s="264">
        <v>0.62</v>
      </c>
      <c r="H342" s="255">
        <v>555467.81300313899</v>
      </c>
      <c r="I342" s="255">
        <v>811.57108452635896</v>
      </c>
      <c r="J342" s="253">
        <f>H342+I342</f>
        <v>556279.38408766536</v>
      </c>
      <c r="L342" s="255">
        <v>657108.2177604594</v>
      </c>
      <c r="O342" s="3">
        <v>0</v>
      </c>
    </row>
    <row r="343" spans="1:15">
      <c r="A343" s="228">
        <v>1230</v>
      </c>
      <c r="B343" s="327">
        <v>102.62</v>
      </c>
      <c r="C343" s="301">
        <v>11627260.03214086</v>
      </c>
      <c r="D343" s="258"/>
      <c r="H343" s="301"/>
      <c r="I343" s="301"/>
      <c r="J343" s="301"/>
      <c r="L343" s="301"/>
      <c r="O343" s="3">
        <v>0</v>
      </c>
    </row>
    <row r="344" spans="1:15">
      <c r="A344" s="228">
        <v>1230</v>
      </c>
      <c r="B344" s="252">
        <v>124.3</v>
      </c>
      <c r="C344" s="253"/>
      <c r="D344" s="264"/>
      <c r="H344" s="255">
        <v>4241162.36065487</v>
      </c>
      <c r="I344" s="255">
        <v>579.77466258794925</v>
      </c>
      <c r="J344" s="253">
        <f>H344+I344</f>
        <v>4241742.1353174578</v>
      </c>
      <c r="L344" s="255">
        <v>2666194.9315277101</v>
      </c>
      <c r="O344" s="3">
        <v>0</v>
      </c>
    </row>
    <row r="345" spans="1:15">
      <c r="A345" s="228">
        <v>1230</v>
      </c>
      <c r="B345" s="327">
        <v>125</v>
      </c>
      <c r="C345" s="301"/>
      <c r="D345" s="258"/>
      <c r="E345" s="254">
        <v>120305.39525319407</v>
      </c>
      <c r="G345" s="254">
        <f>E345+F345</f>
        <v>120305.39525319407</v>
      </c>
      <c r="O345" s="3">
        <v>0</v>
      </c>
    </row>
    <row r="346" spans="1:15">
      <c r="A346" s="228">
        <v>1230</v>
      </c>
      <c r="B346" s="252">
        <v>142.30000000000001</v>
      </c>
      <c r="C346" s="256">
        <v>9789520.895403821</v>
      </c>
      <c r="D346" s="264">
        <v>0.39</v>
      </c>
      <c r="H346" s="255">
        <v>8754208.7508744802</v>
      </c>
      <c r="I346" s="255">
        <v>62.645983508950714</v>
      </c>
      <c r="J346" s="253">
        <f>H346+I346</f>
        <v>8754271.39685799</v>
      </c>
      <c r="L346" s="255">
        <v>8271530.93824316</v>
      </c>
      <c r="O346" s="3">
        <v>0</v>
      </c>
    </row>
    <row r="347" spans="1:15">
      <c r="A347" s="228">
        <v>1230</v>
      </c>
      <c r="B347" s="327">
        <v>142.69</v>
      </c>
      <c r="C347" s="301">
        <v>9789520.895403821</v>
      </c>
      <c r="D347" s="258"/>
      <c r="H347" s="301"/>
      <c r="I347" s="301"/>
      <c r="J347" s="301"/>
      <c r="L347" s="301"/>
      <c r="O347" s="3">
        <v>0</v>
      </c>
    </row>
    <row r="348" spans="1:15">
      <c r="A348" s="228">
        <v>1230</v>
      </c>
      <c r="B348" s="327">
        <v>143</v>
      </c>
      <c r="C348" s="256">
        <v>9789520.895403821</v>
      </c>
      <c r="D348" s="258">
        <v>0.31</v>
      </c>
      <c r="E348" s="254">
        <v>142651.677794658</v>
      </c>
      <c r="G348" s="254">
        <f>E348+F348</f>
        <v>142651.677794658</v>
      </c>
      <c r="H348" s="301"/>
      <c r="I348" s="301"/>
      <c r="J348" s="301"/>
      <c r="L348" s="301"/>
      <c r="O348" s="3">
        <v>0</v>
      </c>
    </row>
    <row r="349" spans="1:15">
      <c r="A349" s="228">
        <v>1230</v>
      </c>
      <c r="B349" s="252">
        <v>160.6</v>
      </c>
      <c r="C349" s="253"/>
      <c r="D349" s="264"/>
      <c r="H349" s="255">
        <v>1151929.4950447599</v>
      </c>
      <c r="I349" s="255">
        <v>3475.3234581713555</v>
      </c>
      <c r="J349" s="253">
        <f>H349+I349</f>
        <v>1155404.8185029314</v>
      </c>
      <c r="L349" s="255">
        <v>732780.49101031956</v>
      </c>
      <c r="O349" s="3">
        <v>0</v>
      </c>
    </row>
    <row r="350" spans="1:15">
      <c r="A350" s="228">
        <v>1230</v>
      </c>
      <c r="B350" s="327">
        <v>161</v>
      </c>
      <c r="C350" s="301"/>
      <c r="D350" s="258"/>
      <c r="E350" s="254">
        <v>69323.147359488663</v>
      </c>
      <c r="G350" s="254">
        <f>E350+F350</f>
        <v>69323.147359488663</v>
      </c>
      <c r="H350" s="301"/>
      <c r="I350" s="301"/>
      <c r="J350" s="301"/>
      <c r="L350" s="301"/>
      <c r="O350" s="3">
        <v>0</v>
      </c>
    </row>
    <row r="351" spans="1:15">
      <c r="A351" s="228">
        <v>1230</v>
      </c>
      <c r="B351" s="252">
        <v>169.4</v>
      </c>
      <c r="C351" s="256">
        <v>9181013.9835017882</v>
      </c>
      <c r="D351" s="264">
        <f>B353-B351</f>
        <v>0.93000000000000682</v>
      </c>
      <c r="H351" s="255">
        <v>487593.48987970722</v>
      </c>
      <c r="I351" s="255"/>
      <c r="J351" s="253"/>
      <c r="L351" s="255">
        <v>3450419.4915296598</v>
      </c>
      <c r="O351" s="3">
        <v>0</v>
      </c>
    </row>
    <row r="352" spans="1:15">
      <c r="A352" s="228">
        <v>1230</v>
      </c>
      <c r="B352" s="229">
        <v>170</v>
      </c>
      <c r="C352" s="256">
        <v>9181013.9835017882</v>
      </c>
      <c r="D352" s="258">
        <v>0.33</v>
      </c>
      <c r="E352" s="254">
        <v>100827.76475407206</v>
      </c>
      <c r="G352" s="254">
        <f>E352+F352</f>
        <v>100827.76475407206</v>
      </c>
      <c r="O352" s="3">
        <v>0</v>
      </c>
    </row>
    <row r="353" spans="1:15">
      <c r="A353" s="228">
        <v>1230</v>
      </c>
      <c r="B353" s="327">
        <v>170.33</v>
      </c>
      <c r="C353" s="301">
        <v>9181013.9835017882</v>
      </c>
      <c r="D353" s="258"/>
      <c r="H353" s="301"/>
      <c r="I353" s="301"/>
      <c r="J353" s="301"/>
      <c r="L353" s="301"/>
      <c r="O353" s="3">
        <v>0</v>
      </c>
    </row>
    <row r="354" spans="1:15">
      <c r="A354" s="228">
        <v>1230</v>
      </c>
      <c r="B354" s="327">
        <v>189</v>
      </c>
      <c r="C354" s="256">
        <v>7872433.5780360959</v>
      </c>
      <c r="D354" s="258">
        <v>0.51</v>
      </c>
      <c r="E354" s="254">
        <v>60542.729002665779</v>
      </c>
      <c r="G354" s="254">
        <f>E354+F354</f>
        <v>60542.729002665779</v>
      </c>
      <c r="H354" s="301"/>
      <c r="I354" s="301"/>
      <c r="J354" s="301"/>
      <c r="L354" s="301"/>
      <c r="O354" s="3">
        <v>0</v>
      </c>
    </row>
    <row r="355" spans="1:15">
      <c r="A355" s="228">
        <v>1230</v>
      </c>
      <c r="B355" s="252">
        <v>189.1</v>
      </c>
      <c r="C355" s="256">
        <v>7872433.5780360959</v>
      </c>
      <c r="D355" s="264">
        <v>0.41</v>
      </c>
      <c r="H355" s="255">
        <v>842141.16832192196</v>
      </c>
      <c r="I355" s="255">
        <v>1203.7729086844058</v>
      </c>
      <c r="J355" s="253">
        <f>H355+I355</f>
        <v>843344.9412306064</v>
      </c>
      <c r="L355" s="255">
        <v>3426240.9269266902</v>
      </c>
      <c r="O355" s="3">
        <v>0</v>
      </c>
    </row>
    <row r="356" spans="1:15">
      <c r="A356" s="228">
        <v>1230</v>
      </c>
      <c r="B356" s="327">
        <v>189.51</v>
      </c>
      <c r="C356" s="301">
        <v>7872433.5780360959</v>
      </c>
      <c r="D356" s="258"/>
      <c r="H356" s="301"/>
      <c r="I356" s="301"/>
      <c r="J356" s="301"/>
      <c r="L356" s="301"/>
      <c r="O356" s="3">
        <v>0</v>
      </c>
    </row>
    <row r="357" spans="1:15">
      <c r="A357" s="228">
        <v>1230</v>
      </c>
      <c r="B357" s="327">
        <v>199</v>
      </c>
      <c r="C357" s="256">
        <v>3545031.9538628012</v>
      </c>
      <c r="D357" s="258">
        <v>0.45</v>
      </c>
      <c r="E357" s="254">
        <v>78141.412724051756</v>
      </c>
      <c r="G357" s="254">
        <f>E357+F357</f>
        <v>78141.412724051756</v>
      </c>
      <c r="H357" s="301"/>
      <c r="I357" s="301"/>
      <c r="J357" s="301"/>
      <c r="L357" s="301"/>
      <c r="O357" s="3">
        <v>0</v>
      </c>
    </row>
    <row r="358" spans="1:15">
      <c r="A358" s="228">
        <v>1230</v>
      </c>
      <c r="B358" s="327">
        <v>199.45</v>
      </c>
      <c r="C358" s="301">
        <v>3545031.9538628012</v>
      </c>
      <c r="D358" s="258"/>
      <c r="O358" s="3">
        <v>0</v>
      </c>
    </row>
    <row r="359" spans="1:15">
      <c r="A359" s="228">
        <v>1230</v>
      </c>
      <c r="B359" s="252">
        <v>207.3</v>
      </c>
      <c r="C359" s="253"/>
      <c r="D359" s="264"/>
      <c r="H359" s="255">
        <v>10297217.793766599</v>
      </c>
      <c r="I359" s="255">
        <v>813.38076609705251</v>
      </c>
      <c r="J359" s="253">
        <f>H359+I359</f>
        <v>10298031.174532697</v>
      </c>
      <c r="L359" s="255">
        <v>6436650.0587278605</v>
      </c>
      <c r="O359" s="3">
        <v>0</v>
      </c>
    </row>
    <row r="360" spans="1:15">
      <c r="A360" s="228">
        <v>1230</v>
      </c>
      <c r="B360" s="327">
        <v>232.55</v>
      </c>
      <c r="C360" s="301">
        <v>1935923.6076568987</v>
      </c>
      <c r="D360" s="258"/>
      <c r="H360" s="301"/>
      <c r="I360" s="301"/>
      <c r="J360" s="301"/>
      <c r="L360" s="301"/>
      <c r="O360" s="3">
        <v>0</v>
      </c>
    </row>
    <row r="361" spans="1:15">
      <c r="A361" s="228">
        <v>1230</v>
      </c>
      <c r="B361" s="252">
        <v>233.1</v>
      </c>
      <c r="C361" s="256">
        <v>1935923.6076568987</v>
      </c>
      <c r="D361" s="264">
        <f>B361-B360</f>
        <v>0.54999999999998295</v>
      </c>
      <c r="H361" s="255">
        <v>559291.08716513333</v>
      </c>
      <c r="I361" s="255"/>
      <c r="J361" s="253"/>
      <c r="L361" s="255">
        <v>391893.35401394189</v>
      </c>
      <c r="O361" s="3">
        <v>0</v>
      </c>
    </row>
    <row r="362" spans="1:15">
      <c r="A362" s="228">
        <v>1230</v>
      </c>
      <c r="B362" s="327">
        <v>244.54</v>
      </c>
      <c r="C362" s="301">
        <v>1980450.0720727781</v>
      </c>
      <c r="D362" s="258"/>
      <c r="O362" s="3">
        <v>0</v>
      </c>
    </row>
    <row r="363" spans="1:15">
      <c r="A363" s="228">
        <v>1230</v>
      </c>
      <c r="B363" s="327">
        <v>248.11</v>
      </c>
      <c r="C363" s="301">
        <v>15787007.935164178</v>
      </c>
      <c r="D363" s="258"/>
      <c r="H363" s="301"/>
      <c r="I363" s="301"/>
      <c r="J363" s="301"/>
      <c r="L363" s="301"/>
      <c r="O363" s="3">
        <v>0</v>
      </c>
    </row>
    <row r="364" spans="1:15">
      <c r="A364" s="228">
        <v>1230</v>
      </c>
      <c r="B364" s="252">
        <v>250</v>
      </c>
      <c r="C364" s="253"/>
      <c r="D364" s="264"/>
      <c r="H364" s="255">
        <v>6980875.5934109697</v>
      </c>
      <c r="I364" s="255">
        <v>247.04186946846451</v>
      </c>
      <c r="J364" s="253">
        <f>H364+I364</f>
        <v>6981122.6352804378</v>
      </c>
      <c r="L364" s="255">
        <v>5386316.8660675501</v>
      </c>
      <c r="O364" s="3">
        <v>0</v>
      </c>
    </row>
    <row r="365" spans="1:15">
      <c r="A365" s="228">
        <v>1230</v>
      </c>
      <c r="B365" s="327">
        <v>257.7</v>
      </c>
      <c r="C365" s="301">
        <v>1275624.8378051831</v>
      </c>
      <c r="D365" s="258"/>
      <c r="O365" s="3">
        <v>0</v>
      </c>
    </row>
    <row r="366" spans="1:15">
      <c r="A366" s="228">
        <v>1230</v>
      </c>
      <c r="B366" s="252">
        <v>269.60000000000002</v>
      </c>
      <c r="C366" s="253"/>
      <c r="D366" s="264"/>
      <c r="H366" s="255">
        <v>2954893.9476326699</v>
      </c>
      <c r="I366" s="255">
        <v>119.5143072502043</v>
      </c>
      <c r="J366" s="253">
        <f>H366+I366</f>
        <v>2955013.4619399202</v>
      </c>
      <c r="L366" s="255">
        <v>1265225.3897722601</v>
      </c>
      <c r="O366" s="3">
        <v>0</v>
      </c>
    </row>
    <row r="367" spans="1:15">
      <c r="A367" s="228">
        <v>1230</v>
      </c>
      <c r="B367" s="252" t="s">
        <v>549</v>
      </c>
      <c r="C367" s="253"/>
      <c r="D367" s="264"/>
      <c r="H367" s="255">
        <v>96829.323685365438</v>
      </c>
      <c r="I367" s="255">
        <v>12962.513802109223</v>
      </c>
      <c r="J367" s="253">
        <f>H367+I367</f>
        <v>109791.83748747467</v>
      </c>
      <c r="L367" s="255">
        <v>371324.75099200883</v>
      </c>
      <c r="O367" s="13"/>
    </row>
    <row r="368" spans="1:15">
      <c r="A368" s="228">
        <v>1230</v>
      </c>
      <c r="B368" s="252" t="s">
        <v>549</v>
      </c>
      <c r="C368" s="253"/>
      <c r="D368" s="257"/>
      <c r="H368" s="255">
        <v>9205828.8930973392</v>
      </c>
      <c r="I368" s="255">
        <v>14981.8656594859</v>
      </c>
      <c r="J368" s="253">
        <f>H368+I368</f>
        <v>9220810.7587568257</v>
      </c>
      <c r="L368" s="255">
        <v>5386316.8660675501</v>
      </c>
      <c r="O368" s="13"/>
    </row>
  </sheetData>
  <sortState ref="A2:O368">
    <sortCondition ref="A2:A368"/>
    <sortCondition ref="B2:B368"/>
  </sortState>
  <phoneticPr fontId="12" type="noConversion"/>
  <pageMargins left="0.78740157499999996" right="0.78740157499999996" top="0.984251969" bottom="0.984251969" header="0.4921259845" footer="0.4921259845"/>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pane xSplit="3" ySplit="5" topLeftCell="D6" activePane="bottomRight" state="frozenSplit"/>
      <selection pane="topRight" activeCell="D1" sqref="D1"/>
      <selection pane="bottomLeft" activeCell="A6" sqref="A6"/>
      <selection pane="bottomRight" activeCell="Q15" sqref="Q15"/>
    </sheetView>
  </sheetViews>
  <sheetFormatPr baseColWidth="10" defaultRowHeight="13" x14ac:dyDescent="0"/>
  <cols>
    <col min="9" max="9" width="11" bestFit="1" customWidth="1"/>
  </cols>
  <sheetData>
    <row r="1" spans="1:18" s="311" customFormat="1">
      <c r="A1" s="311" t="s">
        <v>1364</v>
      </c>
    </row>
    <row r="2" spans="1:18" s="311" customFormat="1">
      <c r="A2" s="311" t="s">
        <v>1295</v>
      </c>
    </row>
    <row r="3" spans="1:18" s="311" customFormat="1"/>
    <row r="5" spans="1:18" s="43" customFormat="1" ht="26">
      <c r="B5" s="43" t="s">
        <v>1473</v>
      </c>
      <c r="C5" s="43" t="s">
        <v>1474</v>
      </c>
      <c r="D5" s="43" t="s">
        <v>1475</v>
      </c>
      <c r="E5" s="43" t="s">
        <v>1362</v>
      </c>
      <c r="F5" s="43" t="s">
        <v>1363</v>
      </c>
      <c r="G5" s="43" t="s">
        <v>1291</v>
      </c>
      <c r="H5" s="43" t="s">
        <v>1292</v>
      </c>
      <c r="I5" s="43" t="s">
        <v>1293</v>
      </c>
      <c r="J5" s="43" t="s">
        <v>1294</v>
      </c>
      <c r="K5" s="43" t="s">
        <v>1296</v>
      </c>
      <c r="L5" s="43" t="s">
        <v>1694</v>
      </c>
      <c r="M5" s="43" t="s">
        <v>1742</v>
      </c>
      <c r="N5" s="43" t="s">
        <v>1741</v>
      </c>
      <c r="O5" s="43" t="s">
        <v>1743</v>
      </c>
      <c r="P5" s="43" t="s">
        <v>1741</v>
      </c>
    </row>
    <row r="6" spans="1:18">
      <c r="B6">
        <v>1227</v>
      </c>
      <c r="C6">
        <v>0.7</v>
      </c>
      <c r="D6">
        <v>9.6999999999999993</v>
      </c>
      <c r="E6">
        <v>0.11</v>
      </c>
      <c r="F6">
        <v>35</v>
      </c>
      <c r="G6" s="256"/>
      <c r="H6" s="258"/>
      <c r="I6" s="1">
        <f>D6*10^6</f>
        <v>9700000</v>
      </c>
      <c r="J6" s="301">
        <f>I6*100/F6-I6</f>
        <v>18014285.714285713</v>
      </c>
      <c r="K6" s="1">
        <f>I6+J6</f>
        <v>27714285.714285713</v>
      </c>
      <c r="M6" s="181"/>
      <c r="Q6" s="181" t="e">
        <f>100*K6/G6</f>
        <v>#DIV/0!</v>
      </c>
    </row>
    <row r="7" spans="1:18">
      <c r="B7">
        <v>1227</v>
      </c>
      <c r="C7">
        <v>34.5</v>
      </c>
      <c r="D7">
        <v>1.3</v>
      </c>
      <c r="E7">
        <v>0.15</v>
      </c>
      <c r="F7">
        <v>96</v>
      </c>
      <c r="G7" s="256">
        <f>'Schippers 2005&amp;2006 all'!C141</f>
        <v>6728715.3965597898</v>
      </c>
      <c r="H7" s="258">
        <f>'Schippers 2005&amp;2006 all'!B141-'Biddle 2006'!C7</f>
        <v>1.009999999999998</v>
      </c>
      <c r="I7" s="1">
        <f t="shared" ref="I7:I23" si="0">D7*10^6</f>
        <v>1300000</v>
      </c>
      <c r="J7" s="301">
        <f t="shared" ref="J7:J23" si="1">I7*100/F7-I7</f>
        <v>54166.666666666744</v>
      </c>
      <c r="K7" s="1">
        <f t="shared" ref="K7:K23" si="2">I7+J7</f>
        <v>1354166.6666666667</v>
      </c>
      <c r="M7" s="181"/>
      <c r="Q7" s="181">
        <f t="shared" ref="Q7:Q23" si="3">100*K7/G7</f>
        <v>20.125188640895939</v>
      </c>
    </row>
    <row r="8" spans="1:18">
      <c r="B8">
        <v>1227</v>
      </c>
      <c r="C8">
        <v>38</v>
      </c>
      <c r="D8">
        <v>1.5</v>
      </c>
      <c r="E8">
        <v>0.01</v>
      </c>
      <c r="F8">
        <v>98</v>
      </c>
      <c r="G8" s="256">
        <f>'Schippers 2005&amp;2006 all'!C148</f>
        <v>4975755.5049001593</v>
      </c>
      <c r="H8" s="258">
        <f>'Schippers 2005&amp;2006 all'!B148-'Biddle 2006'!C8</f>
        <v>0.39999999999999858</v>
      </c>
      <c r="I8" s="1">
        <f t="shared" si="0"/>
        <v>1500000</v>
      </c>
      <c r="J8" s="301">
        <f t="shared" si="1"/>
        <v>30612.244897959288</v>
      </c>
      <c r="K8" s="1">
        <f t="shared" si="2"/>
        <v>1530612.2448979593</v>
      </c>
      <c r="M8" s="181"/>
      <c r="Q8" s="181">
        <f t="shared" si="3"/>
        <v>30.761403838886405</v>
      </c>
    </row>
    <row r="9" spans="1:18">
      <c r="B9">
        <v>1227</v>
      </c>
      <c r="C9">
        <v>40.5</v>
      </c>
      <c r="D9">
        <v>1.7</v>
      </c>
      <c r="E9">
        <v>0.08</v>
      </c>
      <c r="F9">
        <v>98</v>
      </c>
      <c r="G9" s="256">
        <f>'Schippers 2005&amp;2006 all'!C152</f>
        <v>2928753.0418893769</v>
      </c>
      <c r="H9" s="258">
        <f>'Schippers 2005&amp;2006 all'!B152-'Biddle 2006'!C9</f>
        <v>0.89999999999999858</v>
      </c>
      <c r="I9" s="1">
        <f t="shared" si="0"/>
        <v>1700000</v>
      </c>
      <c r="J9" s="301">
        <f t="shared" si="1"/>
        <v>34693.877551020356</v>
      </c>
      <c r="K9" s="301">
        <f t="shared" si="2"/>
        <v>1734693.8775510204</v>
      </c>
      <c r="M9" s="181"/>
      <c r="Q9" s="181">
        <f t="shared" si="3"/>
        <v>59.229776384011764</v>
      </c>
    </row>
    <row r="10" spans="1:18">
      <c r="B10">
        <v>1229</v>
      </c>
      <c r="C10">
        <v>0.7</v>
      </c>
      <c r="D10">
        <v>2.8</v>
      </c>
      <c r="E10">
        <v>0.4</v>
      </c>
      <c r="F10">
        <v>45</v>
      </c>
      <c r="G10" s="256"/>
      <c r="H10" s="258"/>
      <c r="I10" s="1">
        <f t="shared" si="0"/>
        <v>2800000</v>
      </c>
      <c r="J10" s="301">
        <f t="shared" si="1"/>
        <v>3422222.222222222</v>
      </c>
      <c r="K10" s="301">
        <f t="shared" si="2"/>
        <v>6222222.222222222</v>
      </c>
      <c r="L10" s="301">
        <f>100*I10/(I10+J10)</f>
        <v>45</v>
      </c>
      <c r="M10" s="301">
        <v>3331059.9540899699</v>
      </c>
      <c r="N10">
        <v>0.79822616407982105</v>
      </c>
      <c r="O10" s="301">
        <v>2763766.62694987</v>
      </c>
      <c r="P10">
        <v>0.79822616407982105</v>
      </c>
      <c r="Q10" s="181" t="e">
        <f t="shared" si="3"/>
        <v>#DIV/0!</v>
      </c>
      <c r="R10" s="181"/>
    </row>
    <row r="11" spans="1:18">
      <c r="B11">
        <v>1229</v>
      </c>
      <c r="C11">
        <v>4.3</v>
      </c>
      <c r="D11">
        <v>5.4</v>
      </c>
      <c r="E11">
        <v>0.2</v>
      </c>
      <c r="F11">
        <v>68</v>
      </c>
      <c r="G11" s="256">
        <f>'Schippers 2005&amp;2006 all'!C193</f>
        <v>43153471.083323047</v>
      </c>
      <c r="H11" s="258">
        <f>'Schippers 2005&amp;2006 all'!B193-'Biddle 2006'!C11</f>
        <v>1.9800000000000004</v>
      </c>
      <c r="I11" s="1">
        <f t="shared" si="0"/>
        <v>5400000</v>
      </c>
      <c r="J11" s="301">
        <f t="shared" si="1"/>
        <v>2541176.4705882352</v>
      </c>
      <c r="K11" s="301">
        <f t="shared" si="2"/>
        <v>7941176.4705882352</v>
      </c>
      <c r="L11" s="301">
        <f>100*I11/(I11+J11)</f>
        <v>68</v>
      </c>
      <c r="M11" s="301">
        <v>2441558.0036826702</v>
      </c>
      <c r="N11">
        <v>3.7250554323724998</v>
      </c>
      <c r="O11" s="301">
        <v>5260661.1730006598</v>
      </c>
      <c r="P11">
        <v>4.2572062084256999</v>
      </c>
      <c r="Q11" s="181">
        <f t="shared" si="3"/>
        <v>18.402173153707572</v>
      </c>
      <c r="R11" s="181"/>
    </row>
    <row r="12" spans="1:18">
      <c r="B12">
        <v>1229</v>
      </c>
      <c r="C12">
        <v>12.9</v>
      </c>
      <c r="D12">
        <v>9.1999999999999993</v>
      </c>
      <c r="E12">
        <v>1.61</v>
      </c>
      <c r="F12">
        <v>69</v>
      </c>
      <c r="G12" s="256">
        <f>'Schippers 2005&amp;2006 all'!C200</f>
        <v>26195400.237999383</v>
      </c>
      <c r="H12" s="258">
        <f>C12-'Schippers 2005&amp;2006 all'!B200</f>
        <v>1.2200000000000006</v>
      </c>
      <c r="I12" s="1">
        <f t="shared" si="0"/>
        <v>9200000</v>
      </c>
      <c r="J12" s="301">
        <f t="shared" si="1"/>
        <v>4133333.333333334</v>
      </c>
      <c r="K12" s="301">
        <f t="shared" si="2"/>
        <v>13333333.333333334</v>
      </c>
      <c r="L12" s="181">
        <f t="shared" ref="L12:L19" si="4">100*I12/(I12+J12)</f>
        <v>69</v>
      </c>
      <c r="M12" s="301">
        <v>4023114.8782248301</v>
      </c>
      <c r="N12">
        <v>12.7716186252771</v>
      </c>
      <c r="O12" s="301">
        <v>9224074.3349271491</v>
      </c>
      <c r="P12">
        <v>12.7716186252771</v>
      </c>
      <c r="Q12" s="181">
        <f t="shared" si="3"/>
        <v>50.89952133654301</v>
      </c>
      <c r="R12" s="181"/>
    </row>
    <row r="13" spans="1:18">
      <c r="B13">
        <v>1229</v>
      </c>
      <c r="C13">
        <v>29.8</v>
      </c>
      <c r="D13">
        <v>6.3</v>
      </c>
      <c r="E13">
        <v>1.1299999999999999</v>
      </c>
      <c r="F13">
        <v>80</v>
      </c>
      <c r="G13" s="301">
        <f>'Schippers 2005&amp;2006 all'!C210</f>
        <v>118083205.89871101</v>
      </c>
      <c r="H13" s="181"/>
      <c r="I13" s="1">
        <f>D13*10^6</f>
        <v>6300000</v>
      </c>
      <c r="J13" s="301">
        <f t="shared" si="1"/>
        <v>1575000</v>
      </c>
      <c r="K13" s="301">
        <f t="shared" si="2"/>
        <v>7875000</v>
      </c>
      <c r="L13" s="181">
        <f t="shared" si="4"/>
        <v>80</v>
      </c>
      <c r="M13" s="301">
        <v>1521939.80256003</v>
      </c>
      <c r="N13">
        <v>29.534368070953398</v>
      </c>
      <c r="O13" s="301">
        <v>6501717.6536186002</v>
      </c>
      <c r="P13">
        <v>29.534368070953398</v>
      </c>
      <c r="Q13" s="181">
        <f t="shared" si="3"/>
        <v>6.6690262515018341</v>
      </c>
      <c r="R13" s="181"/>
    </row>
    <row r="14" spans="1:18">
      <c r="B14">
        <v>1229</v>
      </c>
      <c r="C14">
        <v>30.4</v>
      </c>
      <c r="D14">
        <v>5.9</v>
      </c>
      <c r="E14">
        <v>0.98</v>
      </c>
      <c r="F14">
        <v>86</v>
      </c>
      <c r="G14" s="301">
        <f>'Schippers 2005&amp;2006 all'!C215</f>
        <v>86492480.112921551</v>
      </c>
      <c r="H14" s="181"/>
      <c r="I14" s="1">
        <f t="shared" si="0"/>
        <v>5900000</v>
      </c>
      <c r="J14" s="301">
        <f t="shared" si="1"/>
        <v>960465.11627906933</v>
      </c>
      <c r="K14" s="301">
        <f t="shared" si="2"/>
        <v>6860465.1162790693</v>
      </c>
      <c r="L14" s="181">
        <f t="shared" si="4"/>
        <v>86</v>
      </c>
      <c r="M14" s="301">
        <v>906175.26005700696</v>
      </c>
      <c r="N14">
        <v>30.066518847006598</v>
      </c>
      <c r="O14" s="301">
        <v>5862231.4786638897</v>
      </c>
      <c r="P14">
        <v>30.598669623059799</v>
      </c>
      <c r="Q14" s="301">
        <f>100*K14/G14</f>
        <v>7.9318631022284087</v>
      </c>
      <c r="R14" s="181"/>
    </row>
    <row r="15" spans="1:18">
      <c r="B15">
        <v>1229</v>
      </c>
      <c r="C15">
        <v>49.8</v>
      </c>
      <c r="D15">
        <v>1</v>
      </c>
      <c r="E15">
        <v>0.17</v>
      </c>
      <c r="F15">
        <v>81</v>
      </c>
      <c r="G15" s="256">
        <f>'Schippers 2005&amp;2006 all'!C232</f>
        <v>26030575.648851238</v>
      </c>
      <c r="H15" s="258">
        <f>'Schippers 2005&amp;2006 all'!B232-'Biddle 2006'!C15</f>
        <v>4.0600000000000023</v>
      </c>
      <c r="I15" s="1">
        <f t="shared" si="0"/>
        <v>1000000</v>
      </c>
      <c r="J15" s="301">
        <f t="shared" si="1"/>
        <v>234567.90123456786</v>
      </c>
      <c r="K15" s="301">
        <f t="shared" si="2"/>
        <v>1234567.9012345679</v>
      </c>
      <c r="L15" s="181">
        <f t="shared" si="4"/>
        <v>81</v>
      </c>
      <c r="M15" s="301">
        <v>221849.17063054201</v>
      </c>
      <c r="N15">
        <v>49.490022172948997</v>
      </c>
      <c r="O15" s="301">
        <v>987885.15228299401</v>
      </c>
      <c r="P15">
        <v>49.490022172948898</v>
      </c>
      <c r="Q15" s="181">
        <f t="shared" si="3"/>
        <v>4.742760659190612</v>
      </c>
      <c r="R15" s="181"/>
    </row>
    <row r="16" spans="1:18">
      <c r="B16">
        <v>1229</v>
      </c>
      <c r="C16">
        <v>54.3</v>
      </c>
      <c r="D16">
        <v>3.2</v>
      </c>
      <c r="E16">
        <v>0.31</v>
      </c>
      <c r="F16">
        <v>67</v>
      </c>
      <c r="G16" s="256">
        <f>'Schippers 2005&amp;2006 all'!C232</f>
        <v>26030575.648851238</v>
      </c>
      <c r="H16" s="258">
        <f>'Biddle 2006'!C16-'Schippers 2005&amp;2006 all'!B232</f>
        <v>0.43999999999999773</v>
      </c>
      <c r="I16" s="1">
        <f t="shared" si="0"/>
        <v>3200000</v>
      </c>
      <c r="J16" s="301">
        <f t="shared" si="1"/>
        <v>1576119.4029850746</v>
      </c>
      <c r="K16" s="301">
        <f t="shared" si="2"/>
        <v>4776119.4029850746</v>
      </c>
      <c r="L16" s="181">
        <f t="shared" si="4"/>
        <v>67</v>
      </c>
      <c r="M16" s="301">
        <v>1626455.8706741501</v>
      </c>
      <c r="N16">
        <v>53.747228381374697</v>
      </c>
      <c r="O16" s="301">
        <v>3159006.7096096901</v>
      </c>
      <c r="P16">
        <v>54.013303769401297</v>
      </c>
      <c r="Q16" s="181">
        <f t="shared" si="3"/>
        <v>18.348112878540398</v>
      </c>
      <c r="R16" s="181"/>
    </row>
    <row r="17" spans="1:18">
      <c r="B17">
        <v>1229</v>
      </c>
      <c r="C17">
        <v>86.8</v>
      </c>
      <c r="D17">
        <v>3.2</v>
      </c>
      <c r="E17">
        <v>0.35</v>
      </c>
      <c r="F17">
        <v>94</v>
      </c>
      <c r="G17" s="256">
        <f>'Schippers 2005&amp;2006 all'!C251</f>
        <v>36643757.464783385</v>
      </c>
      <c r="H17" s="258">
        <f>C17-'Schippers 2005&amp;2006 all'!B251</f>
        <v>2.3199999999999932</v>
      </c>
      <c r="I17" s="1">
        <f t="shared" si="0"/>
        <v>3200000</v>
      </c>
      <c r="J17" s="301">
        <f t="shared" si="1"/>
        <v>204255.31914893631</v>
      </c>
      <c r="K17" s="301">
        <f t="shared" si="2"/>
        <v>3404255.3191489363</v>
      </c>
      <c r="L17" s="181">
        <f t="shared" si="4"/>
        <v>94</v>
      </c>
      <c r="M17" s="301">
        <v>181444.71877380399</v>
      </c>
      <c r="N17">
        <v>86.474501108647402</v>
      </c>
      <c r="O17" s="301">
        <v>3111849.0170137598</v>
      </c>
      <c r="P17">
        <v>87.006651884700602</v>
      </c>
      <c r="Q17" s="181">
        <f t="shared" si="3"/>
        <v>9.2901371329635296</v>
      </c>
      <c r="R17" s="181"/>
    </row>
    <row r="18" spans="1:18">
      <c r="A18" s="311" t="s">
        <v>1740</v>
      </c>
      <c r="B18">
        <v>1229</v>
      </c>
      <c r="C18">
        <v>89.1</v>
      </c>
      <c r="D18">
        <v>6.4</v>
      </c>
      <c r="E18">
        <v>1.59</v>
      </c>
      <c r="F18">
        <v>98</v>
      </c>
      <c r="G18" s="256">
        <f>'Schippers 2005&amp;2006 all'!C262</f>
        <v>9484513274.5354176</v>
      </c>
      <c r="H18" s="258">
        <f>C18-'Schippers 2005&amp;2006 all'!B262</f>
        <v>-1.3500000000000085</v>
      </c>
      <c r="I18" s="1">
        <f t="shared" si="0"/>
        <v>6400000</v>
      </c>
      <c r="J18" s="301">
        <f t="shared" si="1"/>
        <v>130612.24489795882</v>
      </c>
      <c r="K18" s="301">
        <f t="shared" si="2"/>
        <v>6530612.2448979588</v>
      </c>
      <c r="L18" s="181">
        <f t="shared" si="4"/>
        <v>98</v>
      </c>
      <c r="M18" s="301">
        <v>112651.47460607599</v>
      </c>
      <c r="N18">
        <v>89.135254988913502</v>
      </c>
      <c r="O18" s="301">
        <v>6434186.3910107203</v>
      </c>
      <c r="P18">
        <v>89.135254988913502</v>
      </c>
      <c r="Q18" s="181">
        <f t="shared" si="3"/>
        <v>6.8855533814599995E-2</v>
      </c>
      <c r="R18" s="181"/>
    </row>
    <row r="19" spans="1:18">
      <c r="B19">
        <v>1229</v>
      </c>
      <c r="C19">
        <v>121.4</v>
      </c>
      <c r="D19">
        <v>1.5</v>
      </c>
      <c r="E19">
        <v>0.37</v>
      </c>
      <c r="F19">
        <v>63</v>
      </c>
      <c r="G19" s="301">
        <f>'Schippers 2005&amp;2006 all'!C279</f>
        <v>17392465.487313174</v>
      </c>
      <c r="I19" s="1">
        <f t="shared" si="0"/>
        <v>1500000</v>
      </c>
      <c r="J19" s="301">
        <f t="shared" si="1"/>
        <v>880952.38095238106</v>
      </c>
      <c r="K19" s="301">
        <f t="shared" si="2"/>
        <v>2380952.3809523811</v>
      </c>
      <c r="L19" s="181">
        <f t="shared" si="4"/>
        <v>63</v>
      </c>
      <c r="M19" s="301">
        <v>883173.08251858898</v>
      </c>
      <c r="N19">
        <v>121.33037694013299</v>
      </c>
      <c r="O19" s="301">
        <v>1514607.2591343101</v>
      </c>
      <c r="P19">
        <v>121.596452328159</v>
      </c>
      <c r="Q19" s="181">
        <f t="shared" si="3"/>
        <v>13.689562199730407</v>
      </c>
      <c r="R19" s="181"/>
    </row>
    <row r="20" spans="1:18">
      <c r="B20">
        <v>1230</v>
      </c>
      <c r="C20">
        <v>1.3</v>
      </c>
      <c r="D20">
        <v>1.7</v>
      </c>
      <c r="E20">
        <v>0.44</v>
      </c>
      <c r="F20">
        <v>54</v>
      </c>
      <c r="G20" s="301">
        <f>'Schippers 2005&amp;2006 all'!J277+'Schippers 2005&amp;2006 all'!C290</f>
        <v>146417044.81502181</v>
      </c>
      <c r="I20" s="1">
        <f t="shared" si="0"/>
        <v>1700000</v>
      </c>
      <c r="J20" s="301">
        <f t="shared" si="1"/>
        <v>1448148.1481481483</v>
      </c>
      <c r="K20" s="1">
        <f t="shared" si="2"/>
        <v>3148148.1481481483</v>
      </c>
      <c r="M20" s="181"/>
      <c r="Q20" s="181">
        <f t="shared" si="3"/>
        <v>2.1501240870729283</v>
      </c>
    </row>
    <row r="21" spans="1:18">
      <c r="B21">
        <v>1230</v>
      </c>
      <c r="C21">
        <v>9.1</v>
      </c>
      <c r="D21">
        <v>4.3</v>
      </c>
      <c r="E21">
        <v>2</v>
      </c>
      <c r="F21">
        <v>63</v>
      </c>
      <c r="G21" s="301">
        <f>'Schippers 2005&amp;2006 all'!C314</f>
        <v>18895799.597590819</v>
      </c>
      <c r="I21" s="1">
        <f t="shared" si="0"/>
        <v>4300000</v>
      </c>
      <c r="J21" s="301">
        <f t="shared" si="1"/>
        <v>2525396.8253968256</v>
      </c>
      <c r="K21" s="1">
        <f t="shared" si="2"/>
        <v>6825396.8253968256</v>
      </c>
      <c r="M21" s="181"/>
      <c r="Q21" s="181">
        <f t="shared" si="3"/>
        <v>36.121238427333083</v>
      </c>
    </row>
    <row r="22" spans="1:18">
      <c r="B22">
        <v>1230</v>
      </c>
      <c r="C22">
        <v>10.3</v>
      </c>
      <c r="D22">
        <v>3.1</v>
      </c>
      <c r="E22">
        <v>0.1</v>
      </c>
      <c r="F22">
        <v>61</v>
      </c>
      <c r="G22" s="301">
        <f>'Schippers 2005&amp;2006 all'!C318</f>
        <v>15507842.02680173</v>
      </c>
      <c r="I22" s="1">
        <f t="shared" si="0"/>
        <v>3100000</v>
      </c>
      <c r="J22" s="301">
        <f t="shared" si="1"/>
        <v>1981967.2131147543</v>
      </c>
      <c r="K22" s="1">
        <f t="shared" si="2"/>
        <v>5081967.2131147543</v>
      </c>
      <c r="M22" s="181"/>
      <c r="Q22" s="181">
        <f t="shared" si="3"/>
        <v>32.770305528852731</v>
      </c>
    </row>
    <row r="23" spans="1:18">
      <c r="B23">
        <v>1230</v>
      </c>
      <c r="C23">
        <v>10.7</v>
      </c>
      <c r="D23">
        <v>2.9</v>
      </c>
      <c r="E23">
        <v>0.36</v>
      </c>
      <c r="F23">
        <v>56</v>
      </c>
      <c r="G23" s="301">
        <f>'Schippers 2005&amp;2006 all'!C318</f>
        <v>15507842.02680173</v>
      </c>
      <c r="I23" s="1">
        <f t="shared" si="0"/>
        <v>2900000</v>
      </c>
      <c r="J23" s="301">
        <f t="shared" si="1"/>
        <v>2278571.4285714282</v>
      </c>
      <c r="K23" s="1">
        <f t="shared" si="2"/>
        <v>5178571.4285714282</v>
      </c>
      <c r="M23" s="181"/>
      <c r="Q23" s="181">
        <f t="shared" si="3"/>
        <v>33.393243364366633</v>
      </c>
    </row>
    <row r="24" spans="1:18">
      <c r="M24" s="301"/>
    </row>
    <row r="30" spans="1:18">
      <c r="H30" s="301">
        <v>100000</v>
      </c>
    </row>
    <row r="31" spans="1:18">
      <c r="H31" s="301">
        <v>10000000000</v>
      </c>
    </row>
  </sheetData>
  <phoneticPr fontId="1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6"/>
  <sheetViews>
    <sheetView topLeftCell="A2" zoomScale="90" workbookViewId="0">
      <pane xSplit="2" ySplit="2" topLeftCell="C4" activePane="bottomRight" state="frozenSplit"/>
      <selection activeCell="A2" sqref="A2"/>
      <selection pane="topRight" activeCell="M1" sqref="M1"/>
      <selection pane="bottomLeft" activeCell="A34" sqref="A34"/>
      <selection pane="bottomRight" activeCell="D54" sqref="D54"/>
    </sheetView>
  </sheetViews>
  <sheetFormatPr baseColWidth="10" defaultRowHeight="13" x14ac:dyDescent="0"/>
  <cols>
    <col min="1" max="1" width="10.7109375" style="334"/>
    <col min="2" max="2" width="21.5703125" style="334" customWidth="1"/>
    <col min="3" max="3" width="10.7109375" style="334"/>
    <col min="4" max="4" width="9" style="334" customWidth="1"/>
    <col min="5" max="5" width="8.140625" style="334" customWidth="1"/>
    <col min="6" max="6" width="9" style="334" customWidth="1"/>
    <col min="7" max="7" width="8.85546875" style="334" customWidth="1"/>
    <col min="8" max="8" width="9" style="334" customWidth="1"/>
    <col min="9" max="10" width="8.7109375" style="334" customWidth="1"/>
    <col min="11" max="11" width="8.5703125" style="334" customWidth="1"/>
    <col min="12" max="16384" width="10.7109375" style="334"/>
  </cols>
  <sheetData>
    <row r="2" spans="1:12">
      <c r="A2" s="334" t="s">
        <v>1579</v>
      </c>
    </row>
    <row r="3" spans="1:12" s="43" customFormat="1" ht="26">
      <c r="A3" s="43" t="s">
        <v>1646</v>
      </c>
      <c r="B3" s="43" t="s">
        <v>1647</v>
      </c>
      <c r="C3" s="43" t="s">
        <v>1648</v>
      </c>
      <c r="D3" s="43" t="s">
        <v>1649</v>
      </c>
      <c r="E3" s="43" t="s">
        <v>1650</v>
      </c>
      <c r="F3" s="43" t="s">
        <v>1651</v>
      </c>
      <c r="G3" s="43" t="s">
        <v>1521</v>
      </c>
      <c r="H3" s="43" t="s">
        <v>1520</v>
      </c>
      <c r="I3" s="43" t="s">
        <v>1652</v>
      </c>
      <c r="J3" s="43" t="s">
        <v>1522</v>
      </c>
      <c r="K3" s="43" t="s">
        <v>1519</v>
      </c>
      <c r="L3" s="43" t="s">
        <v>1530</v>
      </c>
    </row>
    <row r="4" spans="1:12">
      <c r="A4" s="9" t="s">
        <v>1653</v>
      </c>
      <c r="B4" s="9" t="s">
        <v>1654</v>
      </c>
      <c r="C4" s="9">
        <f t="shared" ref="C4:C59" si="0">100*D4</f>
        <v>5</v>
      </c>
      <c r="D4" s="9">
        <v>0.05</v>
      </c>
      <c r="E4" s="44"/>
      <c r="F4" s="44">
        <v>290</v>
      </c>
      <c r="G4" s="44"/>
      <c r="H4" s="45">
        <v>4000000000</v>
      </c>
      <c r="I4" s="9"/>
      <c r="J4" s="9"/>
      <c r="K4" s="9"/>
    </row>
    <row r="5" spans="1:12">
      <c r="A5" s="334" t="s">
        <v>1655</v>
      </c>
      <c r="B5" s="334" t="s">
        <v>1656</v>
      </c>
      <c r="C5" s="334">
        <f t="shared" si="0"/>
        <v>465.00000000000006</v>
      </c>
      <c r="D5" s="334">
        <v>4.6500000000000004</v>
      </c>
      <c r="E5" s="277"/>
      <c r="F5" s="277"/>
      <c r="G5" s="277"/>
      <c r="K5" s="301">
        <v>330000000</v>
      </c>
      <c r="L5" s="334" t="s">
        <v>1687</v>
      </c>
    </row>
    <row r="6" spans="1:12">
      <c r="B6" s="334" t="s">
        <v>1657</v>
      </c>
      <c r="C6" s="334">
        <f t="shared" si="0"/>
        <v>458</v>
      </c>
      <c r="D6" s="334">
        <v>4.58</v>
      </c>
      <c r="E6" s="277"/>
      <c r="F6" s="277"/>
      <c r="G6" s="277"/>
      <c r="K6" s="301">
        <v>3100000000</v>
      </c>
      <c r="L6" s="334" t="s">
        <v>1687</v>
      </c>
    </row>
    <row r="7" spans="1:12">
      <c r="A7" s="10"/>
      <c r="B7" s="10" t="s">
        <v>1658</v>
      </c>
      <c r="C7" s="10">
        <f t="shared" si="0"/>
        <v>409.99999999999994</v>
      </c>
      <c r="D7" s="10">
        <v>4.0999999999999996</v>
      </c>
      <c r="E7" s="46"/>
      <c r="F7" s="46"/>
      <c r="G7" s="46"/>
      <c r="H7" s="10"/>
      <c r="I7" s="10"/>
      <c r="J7" s="10"/>
      <c r="K7" s="29">
        <v>2900000000</v>
      </c>
      <c r="L7" s="334" t="s">
        <v>1687</v>
      </c>
    </row>
    <row r="8" spans="1:12">
      <c r="A8" s="334" t="s">
        <v>1659</v>
      </c>
      <c r="B8" s="334" t="s">
        <v>1041</v>
      </c>
      <c r="C8" s="334">
        <f t="shared" si="0"/>
        <v>0.5</v>
      </c>
      <c r="D8" s="334">
        <v>5.0000000000000001E-3</v>
      </c>
      <c r="E8" s="277"/>
      <c r="F8" s="277">
        <v>1100</v>
      </c>
      <c r="G8" s="277"/>
      <c r="H8" s="301">
        <v>140000000</v>
      </c>
    </row>
    <row r="9" spans="1:12">
      <c r="C9" s="334">
        <f t="shared" si="0"/>
        <v>1.5</v>
      </c>
      <c r="D9" s="334">
        <v>1.4999999999999999E-2</v>
      </c>
      <c r="E9" s="277"/>
      <c r="F9" s="277">
        <v>2000</v>
      </c>
      <c r="G9" s="277"/>
      <c r="H9" s="301">
        <v>240000000</v>
      </c>
    </row>
    <row r="10" spans="1:12">
      <c r="C10" s="334">
        <f t="shared" si="0"/>
        <v>2.5</v>
      </c>
      <c r="D10" s="334">
        <v>2.5000000000000001E-2</v>
      </c>
      <c r="E10" s="277"/>
      <c r="F10" s="277">
        <v>8100</v>
      </c>
      <c r="G10" s="277"/>
      <c r="H10" s="301">
        <v>540000000</v>
      </c>
    </row>
    <row r="11" spans="1:12">
      <c r="C11" s="334">
        <f t="shared" si="0"/>
        <v>3.5000000000000004</v>
      </c>
      <c r="D11" s="334">
        <v>3.5000000000000003E-2</v>
      </c>
      <c r="E11" s="277"/>
      <c r="F11" s="277">
        <v>27000</v>
      </c>
      <c r="G11" s="277"/>
      <c r="H11" s="301">
        <v>2700000000</v>
      </c>
    </row>
    <row r="12" spans="1:12">
      <c r="C12" s="334">
        <f t="shared" si="0"/>
        <v>4.5</v>
      </c>
      <c r="D12" s="334">
        <v>4.4999999999999998E-2</v>
      </c>
      <c r="E12" s="277"/>
      <c r="F12" s="277">
        <v>52000</v>
      </c>
      <c r="G12" s="277"/>
      <c r="H12" s="301">
        <v>1700000000</v>
      </c>
    </row>
    <row r="13" spans="1:12">
      <c r="C13" s="334">
        <f t="shared" si="0"/>
        <v>5.5</v>
      </c>
      <c r="D13" s="334">
        <v>5.5E-2</v>
      </c>
      <c r="E13" s="277"/>
      <c r="F13" s="277">
        <v>24000</v>
      </c>
      <c r="G13" s="277"/>
      <c r="H13" s="301">
        <v>1100000000</v>
      </c>
    </row>
    <row r="14" spans="1:12">
      <c r="C14" s="334">
        <f t="shared" si="0"/>
        <v>6.5</v>
      </c>
      <c r="D14" s="334">
        <v>6.5000000000000002E-2</v>
      </c>
      <c r="E14" s="277"/>
      <c r="F14" s="277">
        <v>2700</v>
      </c>
      <c r="G14" s="277"/>
      <c r="H14" s="301">
        <v>440000000</v>
      </c>
    </row>
    <row r="15" spans="1:12">
      <c r="C15" s="334">
        <f t="shared" si="0"/>
        <v>7.5</v>
      </c>
      <c r="D15" s="334">
        <v>7.4999999999999997E-2</v>
      </c>
      <c r="E15" s="277"/>
      <c r="F15" s="277">
        <v>3700</v>
      </c>
      <c r="G15" s="277"/>
      <c r="H15" s="301">
        <v>780000000</v>
      </c>
    </row>
    <row r="16" spans="1:12">
      <c r="C16" s="334">
        <f t="shared" si="0"/>
        <v>8.5</v>
      </c>
      <c r="D16" s="334">
        <v>8.5000000000000006E-2</v>
      </c>
      <c r="E16" s="277"/>
      <c r="F16" s="277">
        <v>14000</v>
      </c>
      <c r="G16" s="277"/>
      <c r="H16" s="301">
        <v>580000000</v>
      </c>
    </row>
    <row r="17" spans="1:12">
      <c r="C17" s="334">
        <f t="shared" si="0"/>
        <v>9.5</v>
      </c>
      <c r="D17" s="334">
        <v>9.5000000000000001E-2</v>
      </c>
      <c r="E17" s="277"/>
      <c r="F17" s="277">
        <v>3000</v>
      </c>
      <c r="G17" s="277"/>
      <c r="H17" s="301">
        <v>450000000</v>
      </c>
    </row>
    <row r="18" spans="1:12">
      <c r="B18" s="334">
        <v>105</v>
      </c>
      <c r="C18" s="334">
        <f t="shared" si="0"/>
        <v>0.5</v>
      </c>
      <c r="D18" s="334">
        <v>5.0000000000000001E-3</v>
      </c>
      <c r="E18" s="277"/>
      <c r="F18" s="277">
        <v>690</v>
      </c>
      <c r="G18" s="277"/>
      <c r="H18" s="301">
        <v>510000</v>
      </c>
    </row>
    <row r="19" spans="1:12">
      <c r="C19" s="334">
        <f t="shared" si="0"/>
        <v>1.5</v>
      </c>
      <c r="D19" s="334">
        <v>1.4999999999999999E-2</v>
      </c>
      <c r="E19" s="277"/>
      <c r="F19" s="277">
        <v>1600</v>
      </c>
      <c r="G19" s="277"/>
      <c r="H19" s="301">
        <v>540000</v>
      </c>
    </row>
    <row r="20" spans="1:12">
      <c r="C20" s="334">
        <f t="shared" si="0"/>
        <v>2.5</v>
      </c>
      <c r="D20" s="334">
        <v>2.5000000000000001E-2</v>
      </c>
      <c r="E20" s="277"/>
      <c r="F20" s="277">
        <v>1400</v>
      </c>
      <c r="G20" s="277"/>
      <c r="H20" s="301">
        <v>420000</v>
      </c>
    </row>
    <row r="21" spans="1:12">
      <c r="C21" s="334">
        <f t="shared" si="0"/>
        <v>3.5000000000000004</v>
      </c>
      <c r="D21" s="334">
        <v>3.5000000000000003E-2</v>
      </c>
      <c r="E21" s="277"/>
      <c r="F21" s="277">
        <v>400</v>
      </c>
      <c r="G21" s="277"/>
    </row>
    <row r="22" spans="1:12">
      <c r="C22" s="334">
        <f t="shared" si="0"/>
        <v>4.5</v>
      </c>
      <c r="D22" s="334">
        <v>4.4999999999999998E-2</v>
      </c>
      <c r="E22" s="277"/>
      <c r="F22" s="277">
        <v>1000</v>
      </c>
      <c r="G22" s="277"/>
      <c r="H22" s="301">
        <v>1600000</v>
      </c>
    </row>
    <row r="23" spans="1:12">
      <c r="C23" s="334">
        <f t="shared" si="0"/>
        <v>5.5</v>
      </c>
      <c r="D23" s="334">
        <v>5.5E-2</v>
      </c>
      <c r="E23" s="277"/>
      <c r="F23" s="277">
        <v>1400</v>
      </c>
      <c r="G23" s="277"/>
    </row>
    <row r="24" spans="1:12">
      <c r="C24" s="334">
        <f t="shared" si="0"/>
        <v>6.5</v>
      </c>
      <c r="D24" s="334">
        <v>6.5000000000000002E-2</v>
      </c>
      <c r="E24" s="277"/>
      <c r="F24" s="277">
        <v>2000</v>
      </c>
      <c r="G24" s="277"/>
      <c r="H24" s="301">
        <v>340000</v>
      </c>
    </row>
    <row r="25" spans="1:12">
      <c r="C25" s="334">
        <f t="shared" si="0"/>
        <v>7.5</v>
      </c>
      <c r="D25" s="334">
        <v>7.4999999999999997E-2</v>
      </c>
      <c r="E25" s="277"/>
      <c r="F25" s="277">
        <v>1900</v>
      </c>
      <c r="G25" s="277"/>
      <c r="H25" s="301">
        <v>2300000</v>
      </c>
    </row>
    <row r="26" spans="1:12">
      <c r="C26" s="334">
        <f t="shared" si="0"/>
        <v>9.5</v>
      </c>
      <c r="D26" s="334">
        <v>9.5000000000000001E-2</v>
      </c>
      <c r="E26" s="277"/>
      <c r="F26" s="277">
        <v>1700</v>
      </c>
      <c r="G26" s="277"/>
    </row>
    <row r="27" spans="1:12">
      <c r="C27" s="334">
        <f t="shared" si="0"/>
        <v>17</v>
      </c>
      <c r="D27" s="334">
        <v>0.17</v>
      </c>
      <c r="E27" s="277"/>
      <c r="F27" s="277">
        <v>700</v>
      </c>
      <c r="G27" s="277"/>
    </row>
    <row r="28" spans="1:12">
      <c r="B28" s="334">
        <v>38</v>
      </c>
      <c r="C28" s="334">
        <f t="shared" si="0"/>
        <v>4</v>
      </c>
      <c r="D28" s="334">
        <v>0.04</v>
      </c>
      <c r="E28" s="277"/>
      <c r="F28" s="277">
        <v>2800</v>
      </c>
      <c r="G28" s="277"/>
      <c r="H28" s="301">
        <v>220000000</v>
      </c>
    </row>
    <row r="29" spans="1:12">
      <c r="B29" s="334">
        <v>185</v>
      </c>
      <c r="C29" s="334">
        <f t="shared" si="0"/>
        <v>0.5</v>
      </c>
      <c r="D29" s="334">
        <v>5.0000000000000001E-3</v>
      </c>
      <c r="E29" s="277"/>
      <c r="F29" s="277">
        <v>230</v>
      </c>
      <c r="G29" s="277"/>
      <c r="H29" s="334">
        <v>0</v>
      </c>
    </row>
    <row r="30" spans="1:12">
      <c r="C30" s="334">
        <f t="shared" si="0"/>
        <v>1.5</v>
      </c>
      <c r="D30" s="334">
        <v>1.4999999999999999E-2</v>
      </c>
      <c r="E30" s="277"/>
      <c r="F30" s="277">
        <v>610</v>
      </c>
      <c r="G30" s="277"/>
      <c r="H30" s="334">
        <v>0</v>
      </c>
    </row>
    <row r="31" spans="1:12">
      <c r="A31" s="13"/>
      <c r="B31" s="13"/>
      <c r="C31" s="334">
        <f t="shared" si="0"/>
        <v>4.5</v>
      </c>
      <c r="D31" s="13">
        <v>4.4999999999999998E-2</v>
      </c>
      <c r="E31" s="277"/>
      <c r="F31" s="277">
        <v>440</v>
      </c>
      <c r="G31" s="277"/>
      <c r="H31" s="13">
        <v>0</v>
      </c>
      <c r="I31" s="13"/>
      <c r="J31" s="13"/>
      <c r="K31" s="13"/>
    </row>
    <row r="32" spans="1:12">
      <c r="B32" s="334" t="s">
        <v>1660</v>
      </c>
      <c r="C32" s="13">
        <v>200</v>
      </c>
      <c r="D32" s="13">
        <f>(1.55+1.9)/2</f>
        <v>1.7250000000000001</v>
      </c>
      <c r="E32" s="277">
        <v>5</v>
      </c>
      <c r="F32" s="277">
        <v>32</v>
      </c>
      <c r="G32" s="277"/>
      <c r="I32" s="301">
        <v>120000000</v>
      </c>
      <c r="J32" s="301"/>
      <c r="K32" s="301">
        <v>7300000</v>
      </c>
      <c r="L32" s="334" t="s">
        <v>1688</v>
      </c>
    </row>
    <row r="33" spans="1:15">
      <c r="A33" s="10"/>
      <c r="B33" s="10" t="s">
        <v>1616</v>
      </c>
      <c r="C33" s="10">
        <f t="shared" si="0"/>
        <v>2390</v>
      </c>
      <c r="D33" s="10">
        <v>23.9</v>
      </c>
      <c r="E33" s="46"/>
      <c r="F33" s="46"/>
      <c r="G33" s="46"/>
      <c r="H33" s="10"/>
      <c r="I33" s="29">
        <v>11000000</v>
      </c>
      <c r="J33" s="29"/>
      <c r="K33" s="29">
        <v>6200000</v>
      </c>
    </row>
    <row r="34" spans="1:15">
      <c r="A34" s="334" t="s">
        <v>1617</v>
      </c>
      <c r="B34" s="334">
        <v>87</v>
      </c>
      <c r="C34" s="334">
        <f t="shared" si="0"/>
        <v>1</v>
      </c>
      <c r="D34" s="334">
        <v>0.01</v>
      </c>
      <c r="E34" s="277">
        <v>7300</v>
      </c>
      <c r="F34" s="277">
        <v>580</v>
      </c>
      <c r="G34" s="277"/>
      <c r="H34" s="301">
        <v>17000000</v>
      </c>
      <c r="I34" s="301">
        <v>480000000</v>
      </c>
      <c r="J34" s="301"/>
      <c r="K34" s="301">
        <v>260000000</v>
      </c>
      <c r="L34" s="334" t="s">
        <v>1689</v>
      </c>
    </row>
    <row r="35" spans="1:15">
      <c r="C35" s="334">
        <f t="shared" si="0"/>
        <v>3</v>
      </c>
      <c r="D35" s="334">
        <v>0.03</v>
      </c>
      <c r="E35" s="277">
        <v>190</v>
      </c>
      <c r="F35" s="277">
        <v>68</v>
      </c>
      <c r="G35" s="277"/>
      <c r="H35" s="301">
        <v>2800000</v>
      </c>
    </row>
    <row r="36" spans="1:15">
      <c r="C36" s="334">
        <f t="shared" si="0"/>
        <v>5</v>
      </c>
      <c r="D36" s="334">
        <v>0.05</v>
      </c>
      <c r="E36" s="277">
        <v>6.1</v>
      </c>
      <c r="F36" s="277">
        <v>16</v>
      </c>
      <c r="G36" s="277"/>
      <c r="H36" s="301">
        <v>2900000</v>
      </c>
      <c r="I36" s="334" t="s">
        <v>1184</v>
      </c>
      <c r="K36" s="301">
        <v>210000000</v>
      </c>
    </row>
    <row r="37" spans="1:15">
      <c r="C37" s="334">
        <f t="shared" si="0"/>
        <v>7.0000000000000009</v>
      </c>
      <c r="D37" s="334">
        <v>7.0000000000000007E-2</v>
      </c>
      <c r="E37" s="277">
        <v>130</v>
      </c>
      <c r="F37" s="277">
        <v>44</v>
      </c>
      <c r="G37" s="277"/>
      <c r="H37" s="301">
        <v>2800000</v>
      </c>
    </row>
    <row r="38" spans="1:15">
      <c r="B38" s="334">
        <v>156</v>
      </c>
      <c r="C38" s="334">
        <f t="shared" si="0"/>
        <v>1</v>
      </c>
      <c r="D38" s="334">
        <v>0.01</v>
      </c>
      <c r="E38" s="277"/>
      <c r="F38" s="277">
        <v>1100</v>
      </c>
      <c r="G38" s="277"/>
      <c r="H38" s="301">
        <v>36000000</v>
      </c>
    </row>
    <row r="39" spans="1:15">
      <c r="C39" s="334">
        <f t="shared" si="0"/>
        <v>3</v>
      </c>
      <c r="D39" s="334">
        <v>0.03</v>
      </c>
      <c r="E39" s="277"/>
      <c r="F39" s="277">
        <v>850</v>
      </c>
      <c r="G39" s="277"/>
      <c r="H39" s="301">
        <v>25000000</v>
      </c>
    </row>
    <row r="40" spans="1:15">
      <c r="C40" s="334">
        <f t="shared" si="0"/>
        <v>5</v>
      </c>
      <c r="D40" s="334">
        <v>0.05</v>
      </c>
      <c r="E40" s="277"/>
      <c r="F40" s="277">
        <v>670</v>
      </c>
      <c r="G40" s="277"/>
      <c r="H40" s="301">
        <v>29000000</v>
      </c>
    </row>
    <row r="41" spans="1:15">
      <c r="A41" s="10"/>
      <c r="B41" s="10"/>
      <c r="C41" s="10">
        <f t="shared" si="0"/>
        <v>7.0000000000000009</v>
      </c>
      <c r="D41" s="10">
        <v>7.0000000000000007E-2</v>
      </c>
      <c r="E41" s="46"/>
      <c r="F41" s="46">
        <v>610</v>
      </c>
      <c r="G41" s="46"/>
      <c r="H41" s="29">
        <v>18000000</v>
      </c>
      <c r="I41" s="10"/>
      <c r="J41" s="10"/>
      <c r="K41" s="10" t="s">
        <v>873</v>
      </c>
      <c r="L41" s="334" t="s">
        <v>1690</v>
      </c>
    </row>
    <row r="42" spans="1:15">
      <c r="A42" s="9" t="s">
        <v>1618</v>
      </c>
      <c r="B42" s="9" t="s">
        <v>1619</v>
      </c>
      <c r="C42" s="9">
        <v>30000</v>
      </c>
      <c r="D42" s="9">
        <f>(286+320)/2</f>
        <v>303</v>
      </c>
      <c r="E42" s="44"/>
      <c r="F42" s="44"/>
      <c r="G42" s="44"/>
      <c r="H42" s="9"/>
      <c r="I42" s="45">
        <f>(1.6*'Schippers 2005&amp;2006 all'!C42+'Schippers 2005&amp;2006 all'!C44+'Schippers 2005&amp;2006 all'!C46)/3.6</f>
        <v>472009.36700377677</v>
      </c>
      <c r="J42" s="45">
        <f>(1.6*'Schippers 2005&amp;2006 all'!E41+'Schippers 2005&amp;2006 all'!E43+'Schippers 2005&amp;2006 all'!E45)/3.6</f>
        <v>230697.85096018051</v>
      </c>
      <c r="K42" s="45">
        <v>2600000</v>
      </c>
      <c r="L42" s="181">
        <f>(J42+K42)/I42</f>
        <v>5.9971221946905366</v>
      </c>
      <c r="M42" s="334" t="s">
        <v>1692</v>
      </c>
    </row>
    <row r="43" spans="1:15">
      <c r="A43" s="9" t="s">
        <v>954</v>
      </c>
      <c r="B43" s="9">
        <v>1227</v>
      </c>
      <c r="C43" s="10"/>
      <c r="D43" s="10">
        <v>37.380000000000003</v>
      </c>
      <c r="E43" s="44"/>
      <c r="F43" s="44"/>
      <c r="G43" s="44"/>
      <c r="H43" s="9"/>
      <c r="I43" s="45">
        <f>'Schippers 2005&amp;2006 all'!C143</f>
        <v>3096294.4431956285</v>
      </c>
      <c r="J43" s="45">
        <f>'Schippers 2005&amp;2006 all'!E147</f>
        <v>673766.58990829263</v>
      </c>
      <c r="K43" s="45">
        <v>15000000</v>
      </c>
      <c r="L43" s="301">
        <f>(J43+K43)/I43</f>
        <v>5.0621046794670104</v>
      </c>
      <c r="M43" s="334" t="s">
        <v>1692</v>
      </c>
      <c r="O43" s="334" t="s">
        <v>1578</v>
      </c>
    </row>
    <row r="44" spans="1:15">
      <c r="A44" s="9" t="s">
        <v>1620</v>
      </c>
      <c r="B44" s="9">
        <v>1231</v>
      </c>
      <c r="C44" s="10">
        <v>10000</v>
      </c>
      <c r="D44" s="10">
        <f>72+100/2</f>
        <v>122</v>
      </c>
      <c r="E44" s="44"/>
      <c r="F44" s="44"/>
      <c r="G44" s="44"/>
      <c r="H44" s="9"/>
      <c r="I44" s="45"/>
      <c r="J44" s="45"/>
      <c r="K44" s="45">
        <v>2480000</v>
      </c>
      <c r="L44" s="181" t="s">
        <v>1691</v>
      </c>
    </row>
    <row r="45" spans="1:15">
      <c r="A45" s="334" t="s">
        <v>1621</v>
      </c>
      <c r="B45" s="334" t="s">
        <v>990</v>
      </c>
      <c r="C45" s="15">
        <f t="shared" ref="C45:C50" si="1">100*D45</f>
        <v>2.5</v>
      </c>
      <c r="D45" s="334">
        <v>2.5000000000000001E-2</v>
      </c>
      <c r="E45" s="277"/>
      <c r="F45" s="277"/>
      <c r="G45" s="277"/>
      <c r="I45" s="301">
        <v>280000000</v>
      </c>
      <c r="J45" s="301"/>
      <c r="K45" s="301">
        <v>110000000</v>
      </c>
      <c r="L45" s="334" t="s">
        <v>1693</v>
      </c>
    </row>
    <row r="46" spans="1:15">
      <c r="C46" s="334">
        <f t="shared" si="1"/>
        <v>15</v>
      </c>
      <c r="D46" s="334">
        <v>0.15</v>
      </c>
      <c r="E46" s="277">
        <v>4400</v>
      </c>
      <c r="F46" s="277">
        <v>66</v>
      </c>
      <c r="G46" s="277"/>
      <c r="H46" s="301">
        <v>8800000</v>
      </c>
    </row>
    <row r="47" spans="1:15">
      <c r="C47" s="334">
        <f t="shared" si="1"/>
        <v>28.499999999999996</v>
      </c>
      <c r="D47" s="334">
        <v>0.28499999999999998</v>
      </c>
      <c r="E47" s="277"/>
      <c r="F47" s="277"/>
      <c r="G47" s="277"/>
      <c r="I47" s="301">
        <v>460000000</v>
      </c>
      <c r="J47" s="301"/>
      <c r="K47" s="301">
        <v>140000000</v>
      </c>
    </row>
    <row r="48" spans="1:15">
      <c r="C48" s="334">
        <f t="shared" si="1"/>
        <v>40</v>
      </c>
      <c r="D48" s="334">
        <v>0.4</v>
      </c>
      <c r="E48" s="277">
        <v>6500</v>
      </c>
      <c r="F48" s="277">
        <v>210</v>
      </c>
      <c r="G48" s="277"/>
    </row>
    <row r="49" spans="1:11">
      <c r="C49" s="334">
        <f t="shared" si="1"/>
        <v>200</v>
      </c>
      <c r="D49" s="334">
        <v>2</v>
      </c>
      <c r="E49" s="277"/>
      <c r="F49" s="277"/>
      <c r="G49" s="277"/>
      <c r="I49" s="301">
        <v>190000000</v>
      </c>
      <c r="J49" s="301"/>
      <c r="K49" s="301">
        <v>62000000</v>
      </c>
    </row>
    <row r="50" spans="1:11">
      <c r="A50" s="10"/>
      <c r="B50" s="10"/>
      <c r="C50" s="334">
        <f t="shared" si="1"/>
        <v>490.00000000000006</v>
      </c>
      <c r="D50" s="10">
        <v>4.9000000000000004</v>
      </c>
      <c r="E50" s="46">
        <v>2.2000000000000002</v>
      </c>
      <c r="F50" s="46">
        <v>9.3000000000000007</v>
      </c>
      <c r="G50" s="46"/>
      <c r="H50" s="29">
        <v>180000000</v>
      </c>
      <c r="I50" s="29">
        <v>300000000</v>
      </c>
      <c r="J50" s="29"/>
      <c r="K50" s="29">
        <v>84000000</v>
      </c>
    </row>
    <row r="51" spans="1:11">
      <c r="A51" s="334" t="s">
        <v>843</v>
      </c>
      <c r="B51" s="334" t="s">
        <v>951</v>
      </c>
      <c r="C51" s="334">
        <v>0.25</v>
      </c>
      <c r="D51" s="334">
        <v>2.5000000000000001E-3</v>
      </c>
      <c r="E51" s="277">
        <v>9600</v>
      </c>
      <c r="F51" s="277">
        <v>77</v>
      </c>
      <c r="G51" s="277"/>
      <c r="H51" s="301">
        <v>200000000</v>
      </c>
    </row>
    <row r="52" spans="1:11">
      <c r="A52" s="10"/>
      <c r="B52" s="10"/>
      <c r="C52" s="334">
        <v>0.75</v>
      </c>
      <c r="D52" s="10">
        <v>7.4999999999999997E-3</v>
      </c>
      <c r="E52" s="46"/>
      <c r="F52" s="46">
        <v>97</v>
      </c>
      <c r="G52" s="46"/>
      <c r="H52" s="29">
        <v>180000000</v>
      </c>
      <c r="I52" s="10"/>
      <c r="J52" s="10"/>
      <c r="K52" s="10"/>
    </row>
    <row r="53" spans="1:11">
      <c r="A53" s="334" t="s">
        <v>1622</v>
      </c>
      <c r="B53" s="334" t="s">
        <v>1623</v>
      </c>
      <c r="C53" s="334">
        <f t="shared" si="0"/>
        <v>7.5</v>
      </c>
      <c r="D53" s="334">
        <v>7.4999999999999997E-2</v>
      </c>
      <c r="E53" s="277"/>
      <c r="F53" s="277"/>
      <c r="G53" s="277"/>
      <c r="I53" s="301">
        <v>1000000000</v>
      </c>
      <c r="J53" s="301"/>
      <c r="K53" s="301">
        <v>560000000</v>
      </c>
    </row>
    <row r="54" spans="1:11">
      <c r="C54" s="334">
        <f t="shared" si="0"/>
        <v>31.5</v>
      </c>
      <c r="D54" s="334">
        <v>0.315</v>
      </c>
      <c r="E54" s="277"/>
      <c r="F54" s="277"/>
      <c r="G54" s="277"/>
      <c r="H54" s="301">
        <v>431000000</v>
      </c>
      <c r="I54" s="301">
        <v>130000000</v>
      </c>
      <c r="J54" s="301"/>
      <c r="K54" s="301">
        <v>50000000</v>
      </c>
    </row>
    <row r="55" spans="1:11">
      <c r="C55" s="334">
        <f t="shared" si="0"/>
        <v>34.5</v>
      </c>
      <c r="D55" s="334">
        <v>0.34499999999999997</v>
      </c>
      <c r="E55" s="277">
        <v>12</v>
      </c>
      <c r="F55" s="277">
        <v>24</v>
      </c>
      <c r="G55" s="277"/>
      <c r="H55" s="301">
        <v>407000000</v>
      </c>
    </row>
    <row r="56" spans="1:11">
      <c r="C56" s="334">
        <f t="shared" si="0"/>
        <v>40.5</v>
      </c>
      <c r="D56" s="334">
        <v>0.40500000000000003</v>
      </c>
      <c r="E56" s="277"/>
      <c r="F56" s="277"/>
      <c r="G56" s="277"/>
      <c r="I56" s="301">
        <v>530000000</v>
      </c>
      <c r="J56" s="301"/>
      <c r="K56" s="301">
        <v>370000000</v>
      </c>
    </row>
    <row r="57" spans="1:11">
      <c r="C57" s="334">
        <f t="shared" si="0"/>
        <v>43.5</v>
      </c>
      <c r="D57" s="334">
        <v>0.435</v>
      </c>
      <c r="E57" s="277"/>
      <c r="F57" s="277"/>
      <c r="G57" s="277"/>
      <c r="H57" s="301">
        <v>437000000</v>
      </c>
    </row>
    <row r="58" spans="1:11">
      <c r="C58" s="334">
        <f t="shared" si="0"/>
        <v>61.5</v>
      </c>
      <c r="D58" s="334">
        <v>0.61499999999999999</v>
      </c>
      <c r="E58" s="277">
        <v>8.8000000000000007</v>
      </c>
      <c r="F58" s="277">
        <v>20</v>
      </c>
      <c r="G58" s="277"/>
    </row>
    <row r="59" spans="1:11">
      <c r="A59" s="10"/>
      <c r="B59" s="10"/>
      <c r="C59" s="10">
        <f t="shared" si="0"/>
        <v>67.5</v>
      </c>
      <c r="D59" s="10">
        <v>0.67500000000000004</v>
      </c>
      <c r="E59" s="46"/>
      <c r="F59" s="46"/>
      <c r="G59" s="46"/>
      <c r="H59" s="29">
        <v>281000000</v>
      </c>
      <c r="I59" s="10"/>
      <c r="J59" s="10"/>
      <c r="K59" s="10"/>
    </row>
    <row r="60" spans="1:11">
      <c r="A60" s="13"/>
      <c r="B60" s="13"/>
      <c r="C60" s="13"/>
      <c r="D60" s="13"/>
      <c r="E60" s="335"/>
      <c r="F60" s="335"/>
      <c r="G60" s="335"/>
      <c r="H60" s="28"/>
      <c r="I60" s="13"/>
      <c r="J60" s="13"/>
      <c r="K60" s="13"/>
    </row>
    <row r="61" spans="1:11">
      <c r="A61" s="334" t="s">
        <v>1624</v>
      </c>
      <c r="B61" s="334" t="s">
        <v>1625</v>
      </c>
      <c r="D61" s="334" t="s">
        <v>1626</v>
      </c>
      <c r="E61" s="277"/>
      <c r="F61" s="277">
        <v>100000</v>
      </c>
      <c r="G61" s="277"/>
      <c r="H61" s="301">
        <v>14000000000</v>
      </c>
    </row>
    <row r="62" spans="1:11">
      <c r="D62" s="334" t="s">
        <v>1627</v>
      </c>
      <c r="E62" s="277"/>
      <c r="F62" s="277">
        <v>12000</v>
      </c>
      <c r="G62" s="277"/>
      <c r="H62" s="301">
        <v>2400000000</v>
      </c>
    </row>
    <row r="63" spans="1:11">
      <c r="D63" s="334" t="s">
        <v>1628</v>
      </c>
      <c r="E63" s="277"/>
      <c r="F63" s="277">
        <v>28000</v>
      </c>
      <c r="G63" s="277"/>
      <c r="H63" s="301">
        <v>13000000000</v>
      </c>
    </row>
    <row r="64" spans="1:11">
      <c r="A64" s="10"/>
      <c r="B64" s="10"/>
      <c r="C64" s="10"/>
      <c r="D64" s="10" t="s">
        <v>868</v>
      </c>
      <c r="E64" s="46"/>
      <c r="F64" s="46">
        <v>32000</v>
      </c>
      <c r="G64" s="46"/>
      <c r="H64" s="29">
        <v>3100000000</v>
      </c>
      <c r="I64" s="10"/>
      <c r="J64" s="10"/>
      <c r="K64" s="10"/>
    </row>
    <row r="65" spans="1:9">
      <c r="A65" s="334" t="s">
        <v>1629</v>
      </c>
      <c r="B65" s="334" t="s">
        <v>1630</v>
      </c>
      <c r="D65" s="334" t="s">
        <v>1518</v>
      </c>
      <c r="E65" s="277">
        <v>1700</v>
      </c>
      <c r="F65" s="277">
        <v>260</v>
      </c>
      <c r="G65" s="277"/>
    </row>
    <row r="66" spans="1:9">
      <c r="E66" s="277"/>
      <c r="F66" s="277"/>
      <c r="G66" s="277"/>
    </row>
    <row r="67" spans="1:9">
      <c r="E67" s="277"/>
      <c r="F67" s="277"/>
      <c r="G67" s="277"/>
    </row>
    <row r="68" spans="1:9" ht="39">
      <c r="A68" s="43" t="s">
        <v>802</v>
      </c>
      <c r="B68" s="43" t="s">
        <v>803</v>
      </c>
      <c r="C68" s="43"/>
      <c r="D68" s="43" t="s">
        <v>864</v>
      </c>
      <c r="E68" s="43" t="s">
        <v>865</v>
      </c>
      <c r="F68" s="43" t="s">
        <v>866</v>
      </c>
      <c r="G68" s="43" t="s">
        <v>895</v>
      </c>
      <c r="H68" s="43" t="s">
        <v>896</v>
      </c>
      <c r="I68" s="43" t="s">
        <v>1694</v>
      </c>
    </row>
    <row r="69" spans="1:9">
      <c r="A69" s="334" t="s">
        <v>963</v>
      </c>
      <c r="B69" s="334" t="s">
        <v>1695</v>
      </c>
      <c r="D69" s="334">
        <v>4.4999999999999998E-2</v>
      </c>
      <c r="E69" s="301">
        <v>137770365.10015747</v>
      </c>
      <c r="F69" s="301">
        <v>36710308.678221598</v>
      </c>
      <c r="G69" s="334" t="s">
        <v>964</v>
      </c>
      <c r="H69" s="334" t="s">
        <v>961</v>
      </c>
      <c r="I69" s="181">
        <f>F69/(E69+F69)</f>
        <v>0.21039756371442089</v>
      </c>
    </row>
    <row r="70" spans="1:9">
      <c r="A70" s="334" t="s">
        <v>963</v>
      </c>
      <c r="B70" s="334" t="s">
        <v>1695</v>
      </c>
      <c r="D70" s="334">
        <v>0.105</v>
      </c>
      <c r="E70" s="301">
        <v>160735501.43369916</v>
      </c>
      <c r="F70" s="301">
        <v>49839165.232871152</v>
      </c>
      <c r="G70" s="334" t="s">
        <v>964</v>
      </c>
      <c r="H70" s="334" t="s">
        <v>961</v>
      </c>
      <c r="I70" s="181">
        <f>F70/(E70+F70)</f>
        <v>0.23668167696443682</v>
      </c>
    </row>
    <row r="71" spans="1:9">
      <c r="A71" s="334" t="s">
        <v>963</v>
      </c>
      <c r="B71" s="334" t="s">
        <v>1695</v>
      </c>
      <c r="D71" s="334">
        <v>0.13500000000000001</v>
      </c>
      <c r="E71" s="301">
        <v>124120769.2067367</v>
      </c>
      <c r="F71" s="301">
        <v>57869575.531348668</v>
      </c>
      <c r="G71" s="334" t="s">
        <v>964</v>
      </c>
      <c r="H71" s="334" t="s">
        <v>961</v>
      </c>
      <c r="I71" s="181">
        <f t="shared" ref="I71:I81" si="2">F71/(E71+F71)</f>
        <v>0.31798156992686999</v>
      </c>
    </row>
    <row r="72" spans="1:9">
      <c r="A72" s="334" t="s">
        <v>963</v>
      </c>
      <c r="B72" s="334" t="s">
        <v>1695</v>
      </c>
      <c r="D72" s="334">
        <v>0.16500000000000001</v>
      </c>
      <c r="E72" s="301">
        <v>80625612.909917474</v>
      </c>
      <c r="F72" s="301">
        <v>45694577.229708366</v>
      </c>
      <c r="G72" s="334" t="s">
        <v>964</v>
      </c>
      <c r="H72" s="334" t="s">
        <v>961</v>
      </c>
      <c r="I72" s="181">
        <f t="shared" si="2"/>
        <v>0.36173613401943627</v>
      </c>
    </row>
    <row r="73" spans="1:9">
      <c r="A73" s="334" t="s">
        <v>963</v>
      </c>
      <c r="B73" s="334" t="s">
        <v>1695</v>
      </c>
      <c r="D73" s="334">
        <v>0.19500000000000001</v>
      </c>
      <c r="E73" s="301">
        <v>172044492.38365075</v>
      </c>
      <c r="F73" s="301">
        <v>62795854.014590047</v>
      </c>
      <c r="G73" s="334" t="s">
        <v>964</v>
      </c>
      <c r="H73" s="334" t="s">
        <v>961</v>
      </c>
      <c r="I73" s="181">
        <f t="shared" si="2"/>
        <v>0.2673980641644142</v>
      </c>
    </row>
    <row r="74" spans="1:9">
      <c r="A74" s="334" t="s">
        <v>963</v>
      </c>
      <c r="B74" s="334" t="s">
        <v>1695</v>
      </c>
      <c r="D74" s="334">
        <v>0.22500000000000001</v>
      </c>
      <c r="E74" s="301">
        <v>123280528.40111585</v>
      </c>
      <c r="F74" s="301">
        <v>51516552.172942303</v>
      </c>
      <c r="G74" s="334" t="s">
        <v>964</v>
      </c>
      <c r="H74" s="334" t="s">
        <v>961</v>
      </c>
      <c r="I74" s="181">
        <f t="shared" si="2"/>
        <v>0.29472204000063795</v>
      </c>
    </row>
    <row r="75" spans="1:9">
      <c r="A75" s="334" t="s">
        <v>963</v>
      </c>
      <c r="B75" s="334" t="s">
        <v>1695</v>
      </c>
      <c r="D75" s="334">
        <v>0.255</v>
      </c>
      <c r="E75" s="301">
        <v>62375699.111553498</v>
      </c>
      <c r="F75" s="301">
        <v>36173109.547263034</v>
      </c>
      <c r="G75" s="334" t="s">
        <v>964</v>
      </c>
      <c r="H75" s="334" t="s">
        <v>961</v>
      </c>
      <c r="I75" s="181">
        <f t="shared" si="2"/>
        <v>0.36705780657884041</v>
      </c>
    </row>
    <row r="76" spans="1:9">
      <c r="A76" s="334" t="s">
        <v>963</v>
      </c>
      <c r="B76" s="334" t="s">
        <v>1695</v>
      </c>
      <c r="D76" s="334">
        <v>0.28499999999999998</v>
      </c>
      <c r="E76" s="301">
        <v>133508671.40642004</v>
      </c>
      <c r="F76" s="301">
        <v>48897479.264588632</v>
      </c>
      <c r="G76" s="334" t="s">
        <v>964</v>
      </c>
      <c r="H76" s="334" t="s">
        <v>961</v>
      </c>
      <c r="I76" s="181">
        <f t="shared" si="2"/>
        <v>0.26806924593667397</v>
      </c>
    </row>
    <row r="77" spans="1:9">
      <c r="A77" s="334" t="s">
        <v>963</v>
      </c>
      <c r="B77" s="334" t="s">
        <v>1695</v>
      </c>
      <c r="D77" s="334">
        <v>0.315</v>
      </c>
      <c r="E77" s="301">
        <v>85776428.993803099</v>
      </c>
      <c r="F77" s="301">
        <v>55133611.804757871</v>
      </c>
      <c r="G77" s="334" t="s">
        <v>964</v>
      </c>
      <c r="H77" s="334" t="s">
        <v>961</v>
      </c>
      <c r="I77" s="181">
        <f t="shared" si="2"/>
        <v>0.39126815585536978</v>
      </c>
    </row>
    <row r="78" spans="1:9">
      <c r="A78" s="334" t="s">
        <v>963</v>
      </c>
      <c r="B78" s="334" t="s">
        <v>1695</v>
      </c>
      <c r="D78" s="334">
        <v>0.34499999999999997</v>
      </c>
      <c r="E78" s="301">
        <v>88982010.763194755</v>
      </c>
      <c r="F78" s="301">
        <v>74897764.178532466</v>
      </c>
      <c r="G78" s="334" t="s">
        <v>964</v>
      </c>
      <c r="H78" s="334" t="s">
        <v>961</v>
      </c>
      <c r="I78" s="181">
        <f t="shared" si="2"/>
        <v>0.45702872245928333</v>
      </c>
    </row>
    <row r="79" spans="1:9">
      <c r="A79" s="334" t="s">
        <v>963</v>
      </c>
      <c r="B79" s="334" t="s">
        <v>1695</v>
      </c>
      <c r="D79" s="334">
        <v>0.40500000000000003</v>
      </c>
      <c r="E79" s="301">
        <v>77628970.235178038</v>
      </c>
      <c r="F79" s="301">
        <v>56219863.081710421</v>
      </c>
      <c r="G79" s="334" t="s">
        <v>964</v>
      </c>
      <c r="H79" s="334" t="s">
        <v>961</v>
      </c>
      <c r="I79" s="181">
        <f t="shared" si="2"/>
        <v>0.42002505131000534</v>
      </c>
    </row>
    <row r="80" spans="1:9">
      <c r="A80" s="334" t="s">
        <v>963</v>
      </c>
      <c r="B80" s="334" t="s">
        <v>1695</v>
      </c>
      <c r="D80" s="334">
        <v>0.435</v>
      </c>
      <c r="E80" s="301">
        <v>88765745.444840774</v>
      </c>
      <c r="F80" s="301">
        <v>59367832.945787393</v>
      </c>
      <c r="G80" s="334" t="s">
        <v>964</v>
      </c>
      <c r="H80" s="334" t="s">
        <v>961</v>
      </c>
      <c r="I80" s="181">
        <f t="shared" si="2"/>
        <v>0.40077228668056913</v>
      </c>
    </row>
    <row r="81" spans="1:9">
      <c r="A81" s="334" t="s">
        <v>963</v>
      </c>
      <c r="B81" s="334" t="s">
        <v>1695</v>
      </c>
      <c r="D81" s="334">
        <v>0.46500000000000002</v>
      </c>
      <c r="E81" s="301">
        <v>86802030.721754894</v>
      </c>
      <c r="F81" s="301">
        <v>69661244.859535009</v>
      </c>
      <c r="G81" s="334" t="s">
        <v>964</v>
      </c>
      <c r="H81" s="334" t="s">
        <v>961</v>
      </c>
      <c r="I81" s="181">
        <f t="shared" si="2"/>
        <v>0.44522425214946226</v>
      </c>
    </row>
    <row r="82" spans="1:9">
      <c r="A82" s="334" t="s">
        <v>963</v>
      </c>
      <c r="B82" s="334" t="s">
        <v>1576</v>
      </c>
      <c r="D82" s="334">
        <v>1.4999999999999999E-2</v>
      </c>
      <c r="E82" s="301">
        <v>16267123735.261431</v>
      </c>
      <c r="F82" s="301">
        <v>643084181.42134666</v>
      </c>
      <c r="G82" s="334" t="s">
        <v>964</v>
      </c>
      <c r="H82" s="334" t="s">
        <v>962</v>
      </c>
      <c r="I82" s="181">
        <f t="shared" ref="I82:I84" si="3">F82/(E82+F82)</f>
        <v>3.8029347988495846E-2</v>
      </c>
    </row>
    <row r="83" spans="1:9">
      <c r="A83" s="334" t="s">
        <v>963</v>
      </c>
      <c r="B83" s="334" t="s">
        <v>1576</v>
      </c>
      <c r="D83" s="334">
        <v>4.4999999999999998E-2</v>
      </c>
      <c r="E83" s="301">
        <v>5428213458.2681103</v>
      </c>
      <c r="F83" s="301"/>
      <c r="G83" s="334" t="s">
        <v>964</v>
      </c>
    </row>
    <row r="84" spans="1:9">
      <c r="A84" s="334" t="s">
        <v>963</v>
      </c>
      <c r="B84" s="334" t="s">
        <v>1576</v>
      </c>
      <c r="D84" s="334">
        <v>7.4999999999999997E-2</v>
      </c>
      <c r="E84" s="301">
        <v>5371683684.1881266</v>
      </c>
      <c r="F84" s="301">
        <v>548818803.2244978</v>
      </c>
      <c r="G84" s="334" t="s">
        <v>964</v>
      </c>
      <c r="H84" s="334" t="s">
        <v>962</v>
      </c>
      <c r="I84" s="181">
        <f t="shared" si="3"/>
        <v>9.2698010750155491E-2</v>
      </c>
    </row>
    <row r="85" spans="1:9">
      <c r="A85" s="334" t="s">
        <v>963</v>
      </c>
      <c r="B85" s="334" t="s">
        <v>1576</v>
      </c>
      <c r="D85" s="334">
        <v>0.105</v>
      </c>
      <c r="E85" s="301">
        <v>7001056130.9471178</v>
      </c>
      <c r="F85" s="301"/>
      <c r="G85" s="334" t="s">
        <v>964</v>
      </c>
    </row>
    <row r="86" spans="1:9">
      <c r="A86" s="334" t="s">
        <v>963</v>
      </c>
      <c r="B86" s="334" t="s">
        <v>1576</v>
      </c>
      <c r="D86" s="334">
        <v>0.16500000000000001</v>
      </c>
      <c r="E86" s="301">
        <v>2947222050.3724179</v>
      </c>
      <c r="F86" s="301"/>
      <c r="G86" s="334" t="s">
        <v>964</v>
      </c>
    </row>
    <row r="87" spans="1:9">
      <c r="A87" s="334" t="s">
        <v>963</v>
      </c>
      <c r="B87" s="334" t="s">
        <v>1576</v>
      </c>
      <c r="D87" s="334">
        <v>0.19500000000000001</v>
      </c>
      <c r="E87" s="301">
        <v>3396354849.4270725</v>
      </c>
      <c r="F87" s="301">
        <v>315908058.1630044</v>
      </c>
      <c r="G87" s="334" t="s">
        <v>964</v>
      </c>
      <c r="H87" s="334" t="s">
        <v>962</v>
      </c>
      <c r="I87" s="181">
        <f t="shared" ref="I87" si="4">F87/(E87+F87)</f>
        <v>8.5098514309722012E-2</v>
      </c>
    </row>
    <row r="88" spans="1:9">
      <c r="A88" s="334" t="s">
        <v>963</v>
      </c>
      <c r="B88" s="334" t="s">
        <v>1576</v>
      </c>
      <c r="D88" s="334">
        <v>0.255</v>
      </c>
      <c r="E88" s="301">
        <v>4197792442.6694841</v>
      </c>
      <c r="F88" s="301">
        <v>570169325.29401469</v>
      </c>
      <c r="G88" s="334" t="s">
        <v>964</v>
      </c>
      <c r="H88" s="334" t="s">
        <v>962</v>
      </c>
      <c r="I88" s="181">
        <f t="shared" ref="I88" si="5">F88/(E88+F88)</f>
        <v>0.11958345159666549</v>
      </c>
    </row>
    <row r="89" spans="1:9">
      <c r="A89" s="334" t="s">
        <v>963</v>
      </c>
      <c r="B89" s="334" t="s">
        <v>1576</v>
      </c>
      <c r="D89" s="334">
        <v>0.315</v>
      </c>
      <c r="E89" s="301">
        <v>2442638208.1768007</v>
      </c>
      <c r="F89" s="301">
        <v>430679630.66723013</v>
      </c>
      <c r="G89" s="334" t="s">
        <v>964</v>
      </c>
      <c r="H89" s="334" t="s">
        <v>962</v>
      </c>
      <c r="I89" s="181">
        <f t="shared" ref="I89" si="6">F89/(E89+F89)</f>
        <v>0.14988931083255919</v>
      </c>
    </row>
    <row r="90" spans="1:9">
      <c r="A90" s="334" t="s">
        <v>963</v>
      </c>
      <c r="B90" s="334" t="s">
        <v>1576</v>
      </c>
      <c r="D90" s="334">
        <v>0.375</v>
      </c>
      <c r="E90" s="301">
        <v>2194923626.1442194</v>
      </c>
      <c r="F90" s="301">
        <v>382995627.02393281</v>
      </c>
      <c r="G90" s="334" t="s">
        <v>964</v>
      </c>
      <c r="H90" s="334" t="s">
        <v>962</v>
      </c>
      <c r="I90" s="181">
        <f t="shared" ref="I90" si="7">F90/(E90+F90)</f>
        <v>0.1485677359960936</v>
      </c>
    </row>
    <row r="91" spans="1:9">
      <c r="A91" s="334" t="s">
        <v>963</v>
      </c>
      <c r="B91" s="334" t="s">
        <v>1576</v>
      </c>
      <c r="D91" s="334">
        <v>0.435</v>
      </c>
      <c r="E91" s="301">
        <v>2889951668.3048477</v>
      </c>
      <c r="F91" s="301">
        <v>436672652.94741279</v>
      </c>
      <c r="G91" s="334" t="s">
        <v>964</v>
      </c>
      <c r="H91" s="334" t="s">
        <v>962</v>
      </c>
      <c r="I91" s="181">
        <f t="shared" ref="I91" si="8">F91/(E91+F91)</f>
        <v>0.13126599542897394</v>
      </c>
    </row>
    <row r="92" spans="1:9">
      <c r="A92" s="334" t="s">
        <v>963</v>
      </c>
      <c r="B92" s="334" t="s">
        <v>1576</v>
      </c>
      <c r="D92" s="334">
        <v>0.495</v>
      </c>
      <c r="E92" s="301">
        <v>2369836898.6930881</v>
      </c>
      <c r="F92" s="301">
        <v>423443442.8186276</v>
      </c>
      <c r="G92" s="334" t="s">
        <v>964</v>
      </c>
      <c r="H92" s="334" t="s">
        <v>962</v>
      </c>
      <c r="I92" s="181">
        <f t="shared" ref="I92" si="9">F92/(E92+F92)</f>
        <v>0.15159360717423054</v>
      </c>
    </row>
    <row r="93" spans="1:9">
      <c r="A93" s="334" t="s">
        <v>963</v>
      </c>
      <c r="B93" s="334" t="s">
        <v>1576</v>
      </c>
      <c r="D93" s="334">
        <v>0.55500000000000005</v>
      </c>
      <c r="E93" s="301">
        <v>2121561951.2707143</v>
      </c>
      <c r="F93" s="301">
        <v>348649466.2934612</v>
      </c>
      <c r="G93" s="334" t="s">
        <v>964</v>
      </c>
      <c r="H93" s="334" t="s">
        <v>962</v>
      </c>
      <c r="I93" s="301">
        <f>F93/(E93+F93)</f>
        <v>0.14114154918661059</v>
      </c>
    </row>
    <row r="94" spans="1:9">
      <c r="A94" s="334" t="s">
        <v>963</v>
      </c>
      <c r="B94" s="334" t="s">
        <v>1576</v>
      </c>
      <c r="D94" s="334">
        <v>0.58499999999999996</v>
      </c>
      <c r="E94" s="301">
        <v>3202243680.4280748</v>
      </c>
      <c r="F94" s="301">
        <v>553089632.0794611</v>
      </c>
      <c r="G94" s="334" t="s">
        <v>964</v>
      </c>
      <c r="H94" s="334" t="s">
        <v>962</v>
      </c>
      <c r="I94" s="181">
        <f t="shared" ref="I94:I96" si="10">F94/(E94+F94)</f>
        <v>0.14728110291497626</v>
      </c>
    </row>
    <row r="95" spans="1:9">
      <c r="A95" s="334" t="s">
        <v>963</v>
      </c>
      <c r="B95" s="334" t="s">
        <v>1576</v>
      </c>
      <c r="D95" s="334">
        <v>0.61499999999999999</v>
      </c>
      <c r="E95" s="301">
        <v>1781191187.8211069</v>
      </c>
      <c r="F95" s="301">
        <v>348725834.1493119</v>
      </c>
      <c r="G95" s="334" t="s">
        <v>964</v>
      </c>
      <c r="H95" s="334" t="s">
        <v>962</v>
      </c>
      <c r="I95" s="181">
        <f t="shared" si="10"/>
        <v>0.16372742719653008</v>
      </c>
    </row>
    <row r="96" spans="1:9">
      <c r="A96" s="334" t="s">
        <v>963</v>
      </c>
      <c r="B96" s="334" t="s">
        <v>1576</v>
      </c>
      <c r="D96" s="334">
        <v>0.67500000000000004</v>
      </c>
      <c r="E96" s="301">
        <v>1212762063.7622027</v>
      </c>
      <c r="F96" s="301">
        <v>281032141.45918846</v>
      </c>
      <c r="G96" s="334" t="s">
        <v>964</v>
      </c>
      <c r="H96" s="334" t="s">
        <v>962</v>
      </c>
      <c r="I96" s="181">
        <f t="shared" si="10"/>
        <v>0.18813310459825852</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3" sqref="E13"/>
    </sheetView>
  </sheetViews>
  <sheetFormatPr baseColWidth="10" defaultRowHeight="13" x14ac:dyDescent="0"/>
  <sheetData>
    <row r="1" spans="1:6">
      <c r="A1" t="s">
        <v>1523</v>
      </c>
    </row>
    <row r="2" spans="1:6">
      <c r="A2" t="s">
        <v>1524</v>
      </c>
    </row>
    <row r="4" spans="1:6" s="43" customFormat="1" ht="26">
      <c r="A4" s="43" t="s">
        <v>965</v>
      </c>
      <c r="B4" s="43" t="s">
        <v>1525</v>
      </c>
      <c r="C4" s="43" t="s">
        <v>1526</v>
      </c>
      <c r="D4" s="43" t="s">
        <v>864</v>
      </c>
      <c r="E4" s="43" t="s">
        <v>392</v>
      </c>
      <c r="F4" s="43" t="s">
        <v>233</v>
      </c>
    </row>
    <row r="5" spans="1:6">
      <c r="A5">
        <v>0</v>
      </c>
      <c r="B5">
        <v>6.3</v>
      </c>
      <c r="C5">
        <v>6</v>
      </c>
      <c r="D5">
        <f>A5/100</f>
        <v>0</v>
      </c>
      <c r="E5" s="301">
        <f>B5*10^8</f>
        <v>630000000</v>
      </c>
      <c r="F5" s="301">
        <f>C5*10^8</f>
        <v>600000000</v>
      </c>
    </row>
    <row r="6" spans="1:6">
      <c r="A6">
        <v>5</v>
      </c>
      <c r="B6">
        <v>3.1</v>
      </c>
      <c r="C6">
        <v>3</v>
      </c>
      <c r="D6" s="334">
        <f t="shared" ref="D6:D16" si="0">A6/100</f>
        <v>0.05</v>
      </c>
      <c r="E6" s="301">
        <f t="shared" ref="E6:E16" si="1">B6*10^8</f>
        <v>310000000</v>
      </c>
      <c r="F6" s="301">
        <f t="shared" ref="F6:F16" si="2">C6*10^8</f>
        <v>300000000</v>
      </c>
    </row>
    <row r="7" spans="1:6">
      <c r="A7">
        <v>50</v>
      </c>
      <c r="B7">
        <v>5</v>
      </c>
      <c r="C7">
        <v>4.7</v>
      </c>
      <c r="D7" s="334">
        <f t="shared" si="0"/>
        <v>0.5</v>
      </c>
      <c r="E7" s="301">
        <f t="shared" si="1"/>
        <v>500000000</v>
      </c>
      <c r="F7" s="301">
        <f t="shared" si="2"/>
        <v>470000000</v>
      </c>
    </row>
    <row r="8" spans="1:6">
      <c r="A8">
        <v>100</v>
      </c>
      <c r="B8">
        <v>6.5</v>
      </c>
      <c r="C8">
        <v>6.3</v>
      </c>
      <c r="D8" s="334">
        <f t="shared" si="0"/>
        <v>1</v>
      </c>
      <c r="E8" s="301">
        <f t="shared" si="1"/>
        <v>650000000</v>
      </c>
      <c r="F8" s="301">
        <f t="shared" si="2"/>
        <v>630000000</v>
      </c>
    </row>
    <row r="9" spans="1:6">
      <c r="A9">
        <v>150</v>
      </c>
      <c r="B9">
        <v>6</v>
      </c>
      <c r="C9">
        <v>5.6</v>
      </c>
      <c r="D9" s="334">
        <f t="shared" si="0"/>
        <v>1.5</v>
      </c>
      <c r="E9" s="301">
        <f t="shared" si="1"/>
        <v>600000000</v>
      </c>
      <c r="F9" s="301">
        <f t="shared" si="2"/>
        <v>560000000</v>
      </c>
    </row>
    <row r="10" spans="1:6">
      <c r="A10">
        <v>200</v>
      </c>
      <c r="B10">
        <v>2.7</v>
      </c>
      <c r="C10">
        <v>2.2000000000000002</v>
      </c>
      <c r="D10" s="334">
        <f t="shared" si="0"/>
        <v>2</v>
      </c>
      <c r="E10" s="301">
        <f t="shared" si="1"/>
        <v>270000000</v>
      </c>
      <c r="F10" s="301">
        <f t="shared" si="2"/>
        <v>220000000.00000003</v>
      </c>
    </row>
    <row r="11" spans="1:6">
      <c r="A11">
        <v>250</v>
      </c>
      <c r="B11">
        <v>3</v>
      </c>
      <c r="C11">
        <v>2.7</v>
      </c>
      <c r="D11" s="334">
        <f t="shared" si="0"/>
        <v>2.5</v>
      </c>
      <c r="E11" s="301">
        <f t="shared" si="1"/>
        <v>300000000</v>
      </c>
      <c r="F11" s="301">
        <f t="shared" si="2"/>
        <v>270000000</v>
      </c>
    </row>
    <row r="12" spans="1:6">
      <c r="A12">
        <v>300</v>
      </c>
      <c r="B12">
        <v>4.5999999999999996</v>
      </c>
      <c r="C12">
        <v>4</v>
      </c>
      <c r="D12" s="334">
        <f t="shared" si="0"/>
        <v>3</v>
      </c>
      <c r="E12" s="301">
        <f>B12*10^8</f>
        <v>459999999.99999994</v>
      </c>
      <c r="F12" s="301">
        <f t="shared" si="2"/>
        <v>400000000</v>
      </c>
    </row>
    <row r="13" spans="1:6">
      <c r="A13">
        <v>350</v>
      </c>
      <c r="B13">
        <v>4</v>
      </c>
      <c r="C13">
        <v>3.3</v>
      </c>
      <c r="D13" s="334">
        <f t="shared" si="0"/>
        <v>3.5</v>
      </c>
      <c r="E13" s="301">
        <f t="shared" si="1"/>
        <v>400000000</v>
      </c>
      <c r="F13" s="301">
        <f>C13*10^8</f>
        <v>330000000</v>
      </c>
    </row>
    <row r="14" spans="1:6">
      <c r="A14">
        <v>400</v>
      </c>
      <c r="B14">
        <v>5.9</v>
      </c>
      <c r="C14">
        <v>3.6</v>
      </c>
      <c r="D14" s="334">
        <f t="shared" si="0"/>
        <v>4</v>
      </c>
      <c r="E14" s="301">
        <f t="shared" si="1"/>
        <v>590000000</v>
      </c>
      <c r="F14" s="301">
        <f t="shared" si="2"/>
        <v>360000000</v>
      </c>
    </row>
    <row r="15" spans="1:6">
      <c r="A15">
        <v>450</v>
      </c>
      <c r="B15">
        <v>6.1</v>
      </c>
      <c r="C15">
        <v>5.6</v>
      </c>
      <c r="D15" s="334">
        <f t="shared" si="0"/>
        <v>4.5</v>
      </c>
      <c r="E15" s="301">
        <f t="shared" si="1"/>
        <v>610000000</v>
      </c>
      <c r="F15" s="301">
        <f t="shared" si="2"/>
        <v>560000000</v>
      </c>
    </row>
    <row r="16" spans="1:6">
      <c r="A16">
        <v>500</v>
      </c>
      <c r="B16">
        <v>4.5</v>
      </c>
      <c r="C16">
        <v>3.8</v>
      </c>
      <c r="D16" s="334">
        <f t="shared" si="0"/>
        <v>5</v>
      </c>
      <c r="E16" s="301">
        <f t="shared" si="1"/>
        <v>450000000</v>
      </c>
      <c r="F16" s="301">
        <f t="shared" si="2"/>
        <v>380000000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F17" sqref="F17"/>
    </sheetView>
  </sheetViews>
  <sheetFormatPr baseColWidth="10" defaultRowHeight="13" x14ac:dyDescent="0"/>
  <cols>
    <col min="1" max="3" width="10.7109375" style="50"/>
    <col min="4" max="4" width="10.7109375" style="32"/>
    <col min="5" max="16384" width="10.7109375" style="50"/>
  </cols>
  <sheetData>
    <row r="1" spans="1:11">
      <c r="A1" s="50" t="s">
        <v>913</v>
      </c>
    </row>
    <row r="2" spans="1:11">
      <c r="E2" s="26"/>
      <c r="F2" s="26"/>
      <c r="G2" s="26"/>
    </row>
    <row r="3" spans="1:11">
      <c r="A3" s="53" t="s">
        <v>855</v>
      </c>
      <c r="E3" s="26"/>
      <c r="F3" s="26"/>
      <c r="G3" s="26"/>
    </row>
    <row r="4" spans="1:11">
      <c r="E4" s="26"/>
      <c r="F4" s="26"/>
      <c r="G4" s="26"/>
    </row>
    <row r="5" spans="1:11" ht="65">
      <c r="A5" s="54" t="s">
        <v>856</v>
      </c>
      <c r="B5" s="55"/>
      <c r="C5" s="55" t="s">
        <v>857</v>
      </c>
      <c r="D5" s="110" t="s">
        <v>1168</v>
      </c>
      <c r="E5" s="56" t="s">
        <v>1021</v>
      </c>
      <c r="F5" s="117" t="s">
        <v>1162</v>
      </c>
      <c r="G5" s="57" t="s">
        <v>1032</v>
      </c>
      <c r="H5" s="56" t="s">
        <v>1036</v>
      </c>
      <c r="I5" s="57" t="s">
        <v>1027</v>
      </c>
      <c r="J5" s="56" t="s">
        <v>1044</v>
      </c>
      <c r="K5" s="57" t="s">
        <v>998</v>
      </c>
    </row>
    <row r="6" spans="1:11">
      <c r="A6" s="14" t="s">
        <v>880</v>
      </c>
      <c r="B6" s="15" t="s">
        <v>1169</v>
      </c>
      <c r="C6" s="15">
        <v>5</v>
      </c>
      <c r="D6" s="111">
        <f>C6/100</f>
        <v>0.05</v>
      </c>
      <c r="E6" s="58">
        <v>4692708.333333333</v>
      </c>
      <c r="F6" s="113">
        <f>E6/2</f>
        <v>2346354.1666666665</v>
      </c>
      <c r="G6" s="59">
        <v>116270.719479721</v>
      </c>
      <c r="H6" s="60">
        <f>100*E6/E16</f>
        <v>6.3629943502824853</v>
      </c>
      <c r="I6" s="61">
        <v>0.17514397121420955</v>
      </c>
      <c r="J6" s="60">
        <f>AVERAGE(G46:G48)</f>
        <v>0.17039348847682775</v>
      </c>
      <c r="K6" s="61">
        <f>STDEV(G46:G48)</f>
        <v>1.3504137100344631E-2</v>
      </c>
    </row>
    <row r="7" spans="1:11">
      <c r="A7" s="6" t="s">
        <v>977</v>
      </c>
      <c r="B7" s="13" t="s">
        <v>978</v>
      </c>
      <c r="C7" s="18">
        <v>80</v>
      </c>
      <c r="D7" s="111">
        <f>C7/100</f>
        <v>0.8</v>
      </c>
      <c r="E7" s="28">
        <v>17621250</v>
      </c>
      <c r="F7" s="113">
        <f>E7/2</f>
        <v>8810625</v>
      </c>
      <c r="G7" s="62">
        <v>4077372.5301963761</v>
      </c>
      <c r="H7" s="63">
        <f>100*E7/E17</f>
        <v>8.7723919915700748</v>
      </c>
      <c r="I7" s="64">
        <v>0.19936940883493218</v>
      </c>
      <c r="J7" s="63">
        <f>AVERAGE(G49:G51)</f>
        <v>5.7862335073502678</v>
      </c>
      <c r="K7" s="64">
        <f>STDEV(G49:G51)</f>
        <v>8.0955080472900121E-2</v>
      </c>
    </row>
    <row r="8" spans="1:11">
      <c r="A8" s="6" t="s">
        <v>979</v>
      </c>
      <c r="B8" s="18" t="s">
        <v>1037</v>
      </c>
      <c r="C8" s="18">
        <v>160</v>
      </c>
      <c r="D8" s="111">
        <f>C8/100</f>
        <v>1.6</v>
      </c>
      <c r="E8" s="28">
        <v>7061333.333333333</v>
      </c>
      <c r="F8" s="113">
        <f>E8/2</f>
        <v>3530666.6666666665</v>
      </c>
      <c r="G8" s="62">
        <v>342165.65189002844</v>
      </c>
      <c r="H8" s="63">
        <f>100*E8/E18</f>
        <v>5.610169491525423</v>
      </c>
      <c r="I8" s="64">
        <v>0.39844997495078965</v>
      </c>
      <c r="J8" s="63">
        <f>AVERAGE(G52:G54)</f>
        <v>3.8142428239747965</v>
      </c>
      <c r="K8" s="64">
        <f>STDEV(G52:G54)</f>
        <v>0.19552178180796764</v>
      </c>
    </row>
    <row r="9" spans="1:11">
      <c r="A9" s="6" t="s">
        <v>1038</v>
      </c>
      <c r="B9" s="18" t="s">
        <v>1039</v>
      </c>
      <c r="C9" s="18">
        <v>310</v>
      </c>
      <c r="D9" s="111">
        <f>C9/100</f>
        <v>3.1</v>
      </c>
      <c r="E9" s="28">
        <v>12012000</v>
      </c>
      <c r="F9" s="113">
        <f>E9/2</f>
        <v>6006000</v>
      </c>
      <c r="G9" s="62">
        <v>1428179.6105532385</v>
      </c>
      <c r="H9" s="63">
        <f>100*E9/E19</f>
        <v>4.8021108179419523</v>
      </c>
      <c r="I9" s="64">
        <v>0.51653587787904731</v>
      </c>
      <c r="J9" s="63">
        <f>AVERAGE(G55:G57)</f>
        <v>4.2271942703752163</v>
      </c>
      <c r="K9" s="64">
        <f>STDEV(G55:G57)</f>
        <v>0.41335291873095475</v>
      </c>
    </row>
    <row r="10" spans="1:11">
      <c r="A10" s="17" t="s">
        <v>1060</v>
      </c>
      <c r="B10" s="10" t="s">
        <v>1061</v>
      </c>
      <c r="C10" s="10">
        <v>1055</v>
      </c>
      <c r="D10" s="111">
        <f>C10/100</f>
        <v>10.55</v>
      </c>
      <c r="E10" s="29">
        <v>12438666.666666666</v>
      </c>
      <c r="F10" s="113">
        <f>E10/2</f>
        <v>6219333.333333333</v>
      </c>
      <c r="G10" s="65">
        <v>1881799.4933927853</v>
      </c>
      <c r="H10" s="66">
        <f>100*E10/E20</f>
        <v>17.952468007312611</v>
      </c>
      <c r="I10" s="67">
        <v>3.2392219842364702</v>
      </c>
      <c r="J10" s="68">
        <f>AVERAGE(G58:G60)</f>
        <v>13.251759534530635</v>
      </c>
      <c r="K10" s="67">
        <f>STDEV(G58:G60)</f>
        <v>2.3369404525755675</v>
      </c>
    </row>
    <row r="11" spans="1:11">
      <c r="F11" s="32"/>
      <c r="G11" s="58"/>
    </row>
    <row r="12" spans="1:11">
      <c r="F12" s="32"/>
    </row>
    <row r="13" spans="1:11">
      <c r="A13" s="53" t="s">
        <v>774</v>
      </c>
      <c r="E13" s="26"/>
      <c r="F13" s="33"/>
      <c r="G13" s="26"/>
    </row>
    <row r="14" spans="1:11">
      <c r="E14" s="26"/>
      <c r="F14" s="33"/>
      <c r="G14" s="26"/>
    </row>
    <row r="15" spans="1:11" ht="78">
      <c r="A15" s="54" t="s">
        <v>999</v>
      </c>
      <c r="B15" s="55" t="s">
        <v>879</v>
      </c>
      <c r="C15" s="55" t="s">
        <v>857</v>
      </c>
      <c r="D15" s="110"/>
      <c r="E15" s="56" t="s">
        <v>1021</v>
      </c>
      <c r="F15" s="117" t="s">
        <v>1162</v>
      </c>
      <c r="G15" s="57" t="s">
        <v>1032</v>
      </c>
      <c r="H15" s="69" t="s">
        <v>859</v>
      </c>
      <c r="I15" s="70" t="s">
        <v>1187</v>
      </c>
    </row>
    <row r="16" spans="1:11">
      <c r="A16" s="14" t="s">
        <v>1188</v>
      </c>
      <c r="B16" s="15" t="s">
        <v>1189</v>
      </c>
      <c r="C16" s="15">
        <v>5</v>
      </c>
      <c r="D16" s="111">
        <f>C16/100</f>
        <v>0.05</v>
      </c>
      <c r="E16" s="71">
        <v>73750000</v>
      </c>
      <c r="F16" s="118">
        <f>E16/2</f>
        <v>36875000</v>
      </c>
      <c r="G16" s="72">
        <v>2724311.8397129211</v>
      </c>
      <c r="H16" s="73">
        <f>E16/E36*100</f>
        <v>2.6648599819331529</v>
      </c>
      <c r="I16" s="61">
        <f>STDEV(I46:I48)</f>
        <v>0.27712832276301841</v>
      </c>
    </row>
    <row r="17" spans="1:9">
      <c r="A17" s="6" t="s">
        <v>1190</v>
      </c>
      <c r="B17" s="13" t="s">
        <v>1043</v>
      </c>
      <c r="C17" s="13">
        <v>80</v>
      </c>
      <c r="D17" s="111">
        <f>C17/100</f>
        <v>0.8</v>
      </c>
      <c r="E17" s="74">
        <v>200871666.66666666</v>
      </c>
      <c r="F17" s="118">
        <f>E17/2</f>
        <v>100435833.33333333</v>
      </c>
      <c r="G17" s="75">
        <v>42645974.702582844</v>
      </c>
      <c r="H17" s="76">
        <f>E17/E37*100</f>
        <v>65.948575399583049</v>
      </c>
      <c r="I17" s="64">
        <f>STDEV(I49:I51)</f>
        <v>1.6909930575286212</v>
      </c>
    </row>
    <row r="18" spans="1:9">
      <c r="A18" s="6" t="s">
        <v>952</v>
      </c>
      <c r="B18" s="18" t="s">
        <v>825</v>
      </c>
      <c r="C18" s="18">
        <v>160</v>
      </c>
      <c r="D18" s="111">
        <f>C18/100</f>
        <v>1.6</v>
      </c>
      <c r="E18" s="74">
        <v>125866666.66666667</v>
      </c>
      <c r="F18" s="118">
        <f>E18/2</f>
        <v>62933333.333333336</v>
      </c>
      <c r="G18" s="75">
        <v>10753777.630829643</v>
      </c>
      <c r="H18" s="76">
        <f>E18/E38*100</f>
        <v>67.855089131684878</v>
      </c>
      <c r="I18" s="64">
        <f>STDEV(I52:I54)</f>
        <v>1.4914946521427936</v>
      </c>
    </row>
    <row r="19" spans="1:9">
      <c r="A19" s="6" t="s">
        <v>826</v>
      </c>
      <c r="B19" s="18" t="s">
        <v>827</v>
      </c>
      <c r="C19" s="18">
        <v>310</v>
      </c>
      <c r="D19" s="111">
        <f>C19/100</f>
        <v>3.1</v>
      </c>
      <c r="E19" s="74">
        <v>250140000</v>
      </c>
      <c r="F19" s="118">
        <f>E19/2</f>
        <v>125070000</v>
      </c>
      <c r="G19" s="75">
        <v>24580016.273387615</v>
      </c>
      <c r="H19" s="76">
        <f>E19/E39*100</f>
        <v>87.92823447529193</v>
      </c>
      <c r="I19" s="64">
        <f>STDEV(I55:I57)</f>
        <v>1.4653458500124972</v>
      </c>
    </row>
    <row r="20" spans="1:9">
      <c r="A20" s="17" t="s">
        <v>828</v>
      </c>
      <c r="B20" s="10" t="s">
        <v>829</v>
      </c>
      <c r="C20" s="77">
        <v>1055</v>
      </c>
      <c r="D20" s="111">
        <f>C20/100</f>
        <v>10.55</v>
      </c>
      <c r="E20" s="78">
        <v>69286666.666666672</v>
      </c>
      <c r="F20" s="118">
        <f>E20/2</f>
        <v>34643333.333333336</v>
      </c>
      <c r="G20" s="79">
        <v>6472208.0724690091</v>
      </c>
      <c r="H20" s="66">
        <f>E20/E40*100</f>
        <v>73.324396782841816</v>
      </c>
      <c r="I20" s="67">
        <f>STDEV(I58:I60)</f>
        <v>2.1871797659588132</v>
      </c>
    </row>
    <row r="21" spans="1:9">
      <c r="F21" s="32"/>
      <c r="H21" s="80"/>
    </row>
    <row r="22" spans="1:9">
      <c r="F22" s="32"/>
      <c r="H22" s="80"/>
    </row>
    <row r="23" spans="1:9">
      <c r="A23" s="53" t="s">
        <v>830</v>
      </c>
      <c r="F23" s="32"/>
      <c r="H23" s="80"/>
    </row>
    <row r="24" spans="1:9">
      <c r="F24" s="32"/>
      <c r="H24" s="80"/>
    </row>
    <row r="25" spans="1:9" ht="78">
      <c r="A25" s="14" t="s">
        <v>833</v>
      </c>
      <c r="B25" s="15" t="s">
        <v>834</v>
      </c>
      <c r="C25" s="15" t="s">
        <v>835</v>
      </c>
      <c r="D25" s="111"/>
      <c r="E25" s="56" t="s">
        <v>849</v>
      </c>
      <c r="F25" s="117" t="s">
        <v>1162</v>
      </c>
      <c r="G25" s="57" t="s">
        <v>930</v>
      </c>
      <c r="H25" s="81" t="s">
        <v>959</v>
      </c>
      <c r="I25" s="70" t="s">
        <v>931</v>
      </c>
    </row>
    <row r="26" spans="1:9">
      <c r="A26" s="14" t="s">
        <v>1188</v>
      </c>
      <c r="B26" s="15" t="s">
        <v>1189</v>
      </c>
      <c r="C26" s="15">
        <v>5</v>
      </c>
      <c r="D26" s="111">
        <f>C26/100</f>
        <v>0.05</v>
      </c>
      <c r="E26" s="71">
        <v>2693750000</v>
      </c>
      <c r="F26" s="118">
        <f>E26/2</f>
        <v>1346875000</v>
      </c>
      <c r="G26" s="72">
        <v>260783075.5628148</v>
      </c>
      <c r="H26" s="73">
        <f>E26/E36*100</f>
        <v>97.335140018066852</v>
      </c>
      <c r="I26" s="61">
        <f>STDEV(K46:K48)</f>
        <v>0.27712832276302823</v>
      </c>
    </row>
    <row r="27" spans="1:9">
      <c r="A27" s="6" t="s">
        <v>1113</v>
      </c>
      <c r="B27" s="13" t="s">
        <v>1114</v>
      </c>
      <c r="C27" s="13">
        <v>80</v>
      </c>
      <c r="D27" s="111">
        <f>C27/100</f>
        <v>0.8</v>
      </c>
      <c r="E27" s="74">
        <v>103716666.66666667</v>
      </c>
      <c r="F27" s="118">
        <f>E27/2</f>
        <v>51858333.333333336</v>
      </c>
      <c r="G27" s="75">
        <v>28329351.533936214</v>
      </c>
      <c r="H27" s="76">
        <f>E27/E37*100</f>
        <v>34.051424600416958</v>
      </c>
      <c r="I27" s="64">
        <f>STDEV(K49:K51)</f>
        <v>1.6909930575286249</v>
      </c>
    </row>
    <row r="28" spans="1:9">
      <c r="A28" s="6" t="s">
        <v>1115</v>
      </c>
      <c r="B28" s="18" t="s">
        <v>967</v>
      </c>
      <c r="C28" s="18">
        <v>160</v>
      </c>
      <c r="D28" s="111">
        <f>C28/100</f>
        <v>1.6</v>
      </c>
      <c r="E28" s="74">
        <v>59626666.666666664</v>
      </c>
      <c r="F28" s="118">
        <f>E28/2</f>
        <v>29813333.333333332</v>
      </c>
      <c r="G28" s="75">
        <v>4281945.9750600541</v>
      </c>
      <c r="H28" s="76">
        <f>E28/E38*100</f>
        <v>32.144910868315115</v>
      </c>
      <c r="I28" s="64">
        <f>STDEV(K52:K54)</f>
        <v>1.4914946521427996</v>
      </c>
    </row>
    <row r="29" spans="1:9">
      <c r="A29" s="6" t="s">
        <v>968</v>
      </c>
      <c r="B29" s="18" t="s">
        <v>694</v>
      </c>
      <c r="C29" s="18">
        <v>310</v>
      </c>
      <c r="D29" s="111">
        <f>C29/100</f>
        <v>3.1</v>
      </c>
      <c r="E29" s="74">
        <v>34342000</v>
      </c>
      <c r="F29" s="118">
        <f>E29/2</f>
        <v>17171000</v>
      </c>
      <c r="G29" s="75">
        <v>1629188.7551784783</v>
      </c>
      <c r="H29" s="76">
        <f>E29/E39*100</f>
        <v>12.071765524708065</v>
      </c>
      <c r="I29" s="64">
        <f>STDEV(K55:K57)</f>
        <v>1.4653458500125043</v>
      </c>
    </row>
    <row r="30" spans="1:9">
      <c r="A30" s="17" t="s">
        <v>695</v>
      </c>
      <c r="B30" s="10" t="s">
        <v>970</v>
      </c>
      <c r="C30" s="77">
        <v>1055</v>
      </c>
      <c r="D30" s="111">
        <f>C30/100</f>
        <v>10.55</v>
      </c>
      <c r="E30" s="78">
        <v>25206666.666666668</v>
      </c>
      <c r="F30" s="118">
        <f>E30/2</f>
        <v>12603333.333333334</v>
      </c>
      <c r="G30" s="79">
        <v>4958866.5371567905</v>
      </c>
      <c r="H30" s="66">
        <f>E30/E40*100</f>
        <v>26.675603217158177</v>
      </c>
      <c r="I30" s="67">
        <f>STDEV(K58:K60)</f>
        <v>2.1871797659588084</v>
      </c>
    </row>
    <row r="33" spans="1:12">
      <c r="A33" s="53" t="s">
        <v>709</v>
      </c>
    </row>
    <row r="35" spans="1:12" ht="39">
      <c r="A35" s="14" t="s">
        <v>710</v>
      </c>
      <c r="B35" s="15" t="s">
        <v>711</v>
      </c>
      <c r="C35" s="15" t="s">
        <v>860</v>
      </c>
      <c r="D35" s="111"/>
      <c r="E35" s="56" t="s">
        <v>861</v>
      </c>
      <c r="F35" s="56"/>
      <c r="G35" s="57" t="s">
        <v>1024</v>
      </c>
    </row>
    <row r="36" spans="1:12">
      <c r="A36" s="14" t="s">
        <v>1025</v>
      </c>
      <c r="B36" s="15" t="s">
        <v>1026</v>
      </c>
      <c r="C36" s="15">
        <v>5</v>
      </c>
      <c r="D36" s="111"/>
      <c r="E36" s="71">
        <f>SUM(E16,E26)</f>
        <v>2767500000</v>
      </c>
      <c r="F36" s="71"/>
      <c r="G36" s="72">
        <f>(G16^2+G26^2)^0.5</f>
        <v>260797305.15287304</v>
      </c>
    </row>
    <row r="37" spans="1:12">
      <c r="A37" s="6" t="s">
        <v>1113</v>
      </c>
      <c r="B37" s="13" t="s">
        <v>1114</v>
      </c>
      <c r="C37" s="13">
        <v>80</v>
      </c>
      <c r="D37" s="34"/>
      <c r="E37" s="74">
        <f>SUM(E17,E27)</f>
        <v>304588333.33333331</v>
      </c>
      <c r="F37" s="74"/>
      <c r="G37" s="75">
        <f>(G17^2+G27^2)^0.5</f>
        <v>51197962.036263414</v>
      </c>
    </row>
    <row r="38" spans="1:12">
      <c r="A38" s="6" t="s">
        <v>1115</v>
      </c>
      <c r="B38" s="18" t="s">
        <v>967</v>
      </c>
      <c r="C38" s="18">
        <v>160</v>
      </c>
      <c r="D38" s="34"/>
      <c r="E38" s="74">
        <f>SUM(E18,E28)</f>
        <v>185493333.33333334</v>
      </c>
      <c r="F38" s="74"/>
      <c r="G38" s="75">
        <f>(G18^2+G28^2)^0.5</f>
        <v>11574920.935655026</v>
      </c>
    </row>
    <row r="39" spans="1:12">
      <c r="A39" s="6" t="s">
        <v>968</v>
      </c>
      <c r="B39" s="18" t="s">
        <v>694</v>
      </c>
      <c r="C39" s="18">
        <v>310</v>
      </c>
      <c r="D39" s="34"/>
      <c r="E39" s="74">
        <f>SUM(E19,E29)</f>
        <v>284482000</v>
      </c>
      <c r="F39" s="74"/>
      <c r="G39" s="75">
        <f>(G19^2+G29^2)^0.5</f>
        <v>24633949.257072039</v>
      </c>
    </row>
    <row r="40" spans="1:12">
      <c r="A40" s="17" t="s">
        <v>695</v>
      </c>
      <c r="B40" s="10" t="s">
        <v>970</v>
      </c>
      <c r="C40" s="77">
        <v>1055</v>
      </c>
      <c r="D40" s="112"/>
      <c r="E40" s="78">
        <f>SUM(E20,E30)</f>
        <v>94493333.333333343</v>
      </c>
      <c r="F40" s="78"/>
      <c r="G40" s="79">
        <f>(G20^2+G30^2)^0.5</f>
        <v>8153516.7054876629</v>
      </c>
    </row>
    <row r="43" spans="1:12">
      <c r="A43" s="53" t="s">
        <v>882</v>
      </c>
    </row>
    <row r="45" spans="1:12" ht="78">
      <c r="A45" s="54" t="s">
        <v>1033</v>
      </c>
      <c r="B45" s="55" t="s">
        <v>1034</v>
      </c>
      <c r="C45" s="82" t="s">
        <v>862</v>
      </c>
      <c r="D45" s="110"/>
      <c r="E45" s="55" t="s">
        <v>1015</v>
      </c>
      <c r="F45" s="55"/>
      <c r="G45" s="83" t="s">
        <v>980</v>
      </c>
      <c r="H45" s="55" t="s">
        <v>929</v>
      </c>
      <c r="I45" s="55" t="s">
        <v>945</v>
      </c>
      <c r="J45" s="82" t="s">
        <v>781</v>
      </c>
      <c r="K45" s="84" t="s">
        <v>1171</v>
      </c>
      <c r="L45" s="70" t="s">
        <v>1160</v>
      </c>
    </row>
    <row r="46" spans="1:12">
      <c r="A46" s="14" t="s">
        <v>1025</v>
      </c>
      <c r="B46" s="15" t="s">
        <v>1170</v>
      </c>
      <c r="C46" s="85">
        <v>4565625</v>
      </c>
      <c r="D46" s="113"/>
      <c r="E46" s="60">
        <f t="shared" ref="E46:E60" si="0">C46/H46*100</f>
        <v>6.2974137931034484</v>
      </c>
      <c r="F46" s="60"/>
      <c r="G46" s="86">
        <f>C46/L46*100</f>
        <v>0.18099603567889</v>
      </c>
      <c r="H46" s="58">
        <v>72500000</v>
      </c>
      <c r="I46" s="60">
        <f t="shared" ref="I46:I60" si="1">H46/L46*100</f>
        <v>2.8741328047571852</v>
      </c>
      <c r="J46" s="85">
        <v>2450000000</v>
      </c>
      <c r="K46" s="61">
        <f>J46/L46*100</f>
        <v>97.125867195242805</v>
      </c>
      <c r="L46" s="87">
        <f>SUM(H46,J46)</f>
        <v>2522500000</v>
      </c>
    </row>
    <row r="47" spans="1:12">
      <c r="A47" s="6" t="s">
        <v>971</v>
      </c>
      <c r="B47" s="13" t="s">
        <v>972</v>
      </c>
      <c r="C47" s="88">
        <v>4793750</v>
      </c>
      <c r="D47" s="40"/>
      <c r="E47" s="63">
        <f t="shared" si="0"/>
        <v>6.2357723577235769</v>
      </c>
      <c r="F47" s="63"/>
      <c r="G47" s="89">
        <f t="shared" ref="G47:G60" si="2">C47/L47*100</f>
        <v>0.17499429614419348</v>
      </c>
      <c r="H47" s="28">
        <v>76875000</v>
      </c>
      <c r="I47" s="63">
        <f t="shared" si="1"/>
        <v>2.8062970568104038</v>
      </c>
      <c r="J47" s="88">
        <v>2662500000</v>
      </c>
      <c r="K47" s="64">
        <f t="shared" ref="K47:K60" si="3">J47/L47*100</f>
        <v>97.193702943189592</v>
      </c>
      <c r="L47" s="90">
        <f t="shared" ref="L47:L60" si="4">SUM(H47,J47)</f>
        <v>2739375000</v>
      </c>
    </row>
    <row r="48" spans="1:12">
      <c r="A48" s="6" t="s">
        <v>971</v>
      </c>
      <c r="B48" s="13" t="s">
        <v>920</v>
      </c>
      <c r="C48" s="88">
        <v>4718750</v>
      </c>
      <c r="D48" s="40"/>
      <c r="E48" s="63">
        <f t="shared" si="0"/>
        <v>6.5652173913043486</v>
      </c>
      <c r="F48" s="63"/>
      <c r="G48" s="89">
        <f t="shared" si="2"/>
        <v>0.15519013360739978</v>
      </c>
      <c r="H48" s="28">
        <v>71875000</v>
      </c>
      <c r="I48" s="63">
        <f t="shared" si="1"/>
        <v>2.3638232271325799</v>
      </c>
      <c r="J48" s="88">
        <v>2968750000</v>
      </c>
      <c r="K48" s="64">
        <f t="shared" si="3"/>
        <v>97.636176772867429</v>
      </c>
      <c r="L48" s="90">
        <f t="shared" si="4"/>
        <v>3040625000</v>
      </c>
    </row>
    <row r="49" spans="1:12">
      <c r="A49" s="91" t="s">
        <v>921</v>
      </c>
      <c r="B49" s="92" t="s">
        <v>922</v>
      </c>
      <c r="C49" s="93">
        <v>20224750</v>
      </c>
      <c r="D49" s="114"/>
      <c r="E49" s="94">
        <f t="shared" si="0"/>
        <v>8.8472222222222214</v>
      </c>
      <c r="F49" s="94"/>
      <c r="G49" s="95">
        <f t="shared" si="2"/>
        <v>5.7078853046594986</v>
      </c>
      <c r="H49" s="96">
        <v>228600000</v>
      </c>
      <c r="I49" s="94">
        <f t="shared" si="1"/>
        <v>64.516129032258064</v>
      </c>
      <c r="J49" s="93">
        <v>125730000</v>
      </c>
      <c r="K49" s="97">
        <f t="shared" si="3"/>
        <v>35.483870967741936</v>
      </c>
      <c r="L49" s="98">
        <f t="shared" si="4"/>
        <v>354330000</v>
      </c>
    </row>
    <row r="50" spans="1:12">
      <c r="A50" s="6" t="s">
        <v>921</v>
      </c>
      <c r="B50" s="13" t="s">
        <v>923</v>
      </c>
      <c r="C50" s="88">
        <v>19716750</v>
      </c>
      <c r="D50" s="40"/>
      <c r="E50" s="63">
        <f t="shared" si="0"/>
        <v>8.8714285714285719</v>
      </c>
      <c r="F50" s="63"/>
      <c r="G50" s="89">
        <f t="shared" si="2"/>
        <v>5.8695652173913047</v>
      </c>
      <c r="H50" s="28">
        <v>222250000</v>
      </c>
      <c r="I50" s="63">
        <f t="shared" si="1"/>
        <v>66.162570888468807</v>
      </c>
      <c r="J50" s="88">
        <v>113665000</v>
      </c>
      <c r="K50" s="64">
        <f t="shared" si="3"/>
        <v>33.837429111531193</v>
      </c>
      <c r="L50" s="90">
        <f t="shared" si="4"/>
        <v>335915000</v>
      </c>
    </row>
    <row r="51" spans="1:12">
      <c r="A51" s="6" t="s">
        <v>921</v>
      </c>
      <c r="B51" s="13" t="s">
        <v>924</v>
      </c>
      <c r="C51" s="88">
        <v>12922250</v>
      </c>
      <c r="D51" s="40"/>
      <c r="E51" s="63">
        <f t="shared" si="0"/>
        <v>8.514644351464435</v>
      </c>
      <c r="F51" s="63"/>
      <c r="G51" s="89">
        <f t="shared" si="2"/>
        <v>5.78125</v>
      </c>
      <c r="H51" s="28">
        <v>151765000</v>
      </c>
      <c r="I51" s="63">
        <f t="shared" si="1"/>
        <v>67.897727272727266</v>
      </c>
      <c r="J51" s="88">
        <v>71755000</v>
      </c>
      <c r="K51" s="64">
        <f t="shared" si="3"/>
        <v>32.102272727272727</v>
      </c>
      <c r="L51" s="90">
        <f t="shared" si="4"/>
        <v>223520000</v>
      </c>
    </row>
    <row r="52" spans="1:12">
      <c r="A52" s="91" t="s">
        <v>925</v>
      </c>
      <c r="B52" s="92" t="s">
        <v>926</v>
      </c>
      <c r="C52" s="93">
        <v>6688000</v>
      </c>
      <c r="D52" s="114"/>
      <c r="E52" s="94">
        <f t="shared" si="0"/>
        <v>5.7417582417582418</v>
      </c>
      <c r="F52" s="94"/>
      <c r="G52" s="95">
        <f t="shared" si="2"/>
        <v>3.9050822122571001</v>
      </c>
      <c r="H52" s="96">
        <v>116480000</v>
      </c>
      <c r="I52" s="94">
        <f t="shared" si="1"/>
        <v>68.011958146487288</v>
      </c>
      <c r="J52" s="93">
        <v>54784000</v>
      </c>
      <c r="K52" s="97">
        <f t="shared" si="3"/>
        <v>31.988041853512705</v>
      </c>
      <c r="L52" s="98">
        <f t="shared" si="4"/>
        <v>171264000</v>
      </c>
    </row>
    <row r="53" spans="1:12">
      <c r="A53" s="6" t="s">
        <v>973</v>
      </c>
      <c r="B53" s="13" t="s">
        <v>974</v>
      </c>
      <c r="C53" s="88">
        <v>7360000</v>
      </c>
      <c r="D53" s="40"/>
      <c r="E53" s="63">
        <f t="shared" si="0"/>
        <v>5.9585492227979273</v>
      </c>
      <c r="F53" s="63"/>
      <c r="G53" s="89">
        <f t="shared" si="2"/>
        <v>3.9478201167181601</v>
      </c>
      <c r="H53" s="28">
        <v>123520000</v>
      </c>
      <c r="I53" s="63">
        <f t="shared" si="1"/>
        <v>66.25472021970478</v>
      </c>
      <c r="J53" s="88">
        <v>62912000</v>
      </c>
      <c r="K53" s="64">
        <f t="shared" si="3"/>
        <v>33.745279780295228</v>
      </c>
      <c r="L53" s="90">
        <f t="shared" si="4"/>
        <v>186432000</v>
      </c>
    </row>
    <row r="54" spans="1:12">
      <c r="A54" s="99" t="s">
        <v>973</v>
      </c>
      <c r="B54" s="100" t="s">
        <v>975</v>
      </c>
      <c r="C54" s="101">
        <v>7136000</v>
      </c>
      <c r="D54" s="115"/>
      <c r="E54" s="102">
        <f t="shared" si="0"/>
        <v>5.1860465116279073</v>
      </c>
      <c r="F54" s="102"/>
      <c r="G54" s="103">
        <f t="shared" si="2"/>
        <v>3.5898261429491303</v>
      </c>
      <c r="H54" s="104">
        <v>137600000</v>
      </c>
      <c r="I54" s="102">
        <f t="shared" si="1"/>
        <v>69.220862846104311</v>
      </c>
      <c r="J54" s="101">
        <v>61184000</v>
      </c>
      <c r="K54" s="105">
        <f t="shared" si="3"/>
        <v>30.779137153895686</v>
      </c>
      <c r="L54" s="106">
        <f t="shared" si="4"/>
        <v>198784000</v>
      </c>
    </row>
    <row r="55" spans="1:12">
      <c r="A55" s="6" t="s">
        <v>976</v>
      </c>
      <c r="B55" s="13" t="s">
        <v>1172</v>
      </c>
      <c r="C55" s="88">
        <v>10923000</v>
      </c>
      <c r="D55" s="40"/>
      <c r="E55" s="63">
        <f t="shared" si="0"/>
        <v>4.2219387755102042</v>
      </c>
      <c r="F55" s="63"/>
      <c r="G55" s="89">
        <f t="shared" si="2"/>
        <v>3.7502832540222069</v>
      </c>
      <c r="H55" s="28">
        <v>258720000</v>
      </c>
      <c r="I55" s="63">
        <f t="shared" si="1"/>
        <v>88.828461364151366</v>
      </c>
      <c r="J55" s="88">
        <v>32538000</v>
      </c>
      <c r="K55" s="64">
        <f t="shared" si="3"/>
        <v>11.171538635848629</v>
      </c>
      <c r="L55" s="90">
        <f t="shared" si="4"/>
        <v>291258000</v>
      </c>
    </row>
    <row r="56" spans="1:12">
      <c r="A56" s="6" t="s">
        <v>976</v>
      </c>
      <c r="B56" s="13" t="s">
        <v>1173</v>
      </c>
      <c r="C56" s="88">
        <v>11484000</v>
      </c>
      <c r="D56" s="40"/>
      <c r="E56" s="63">
        <f t="shared" si="0"/>
        <v>5.1632047477744809</v>
      </c>
      <c r="F56" s="63"/>
      <c r="G56" s="89">
        <f t="shared" si="2"/>
        <v>4.4489900281257988</v>
      </c>
      <c r="H56" s="28">
        <v>222420000</v>
      </c>
      <c r="I56" s="63">
        <f t="shared" si="1"/>
        <v>86.167220659677838</v>
      </c>
      <c r="J56" s="88">
        <v>35706000</v>
      </c>
      <c r="K56" s="64">
        <f t="shared" si="3"/>
        <v>13.832779340322169</v>
      </c>
      <c r="L56" s="90">
        <f t="shared" si="4"/>
        <v>258126000</v>
      </c>
    </row>
    <row r="57" spans="1:12">
      <c r="A57" s="99" t="s">
        <v>976</v>
      </c>
      <c r="B57" s="100" t="s">
        <v>1174</v>
      </c>
      <c r="C57" s="101">
        <v>13629000</v>
      </c>
      <c r="D57" s="115"/>
      <c r="E57" s="102">
        <f t="shared" si="0"/>
        <v>5.0612745098039218</v>
      </c>
      <c r="F57" s="102"/>
      <c r="G57" s="103">
        <f t="shared" si="2"/>
        <v>4.4823095289776429</v>
      </c>
      <c r="H57" s="104">
        <v>269280000</v>
      </c>
      <c r="I57" s="102">
        <f t="shared" si="1"/>
        <v>88.560885608856083</v>
      </c>
      <c r="J57" s="101">
        <v>34782000</v>
      </c>
      <c r="K57" s="105">
        <f t="shared" si="3"/>
        <v>11.439114391143912</v>
      </c>
      <c r="L57" s="106">
        <f t="shared" si="4"/>
        <v>304062000</v>
      </c>
    </row>
    <row r="58" spans="1:12">
      <c r="A58" s="6" t="s">
        <v>1163</v>
      </c>
      <c r="B58" s="13" t="s">
        <v>1164</v>
      </c>
      <c r="C58" s="88">
        <v>14288000</v>
      </c>
      <c r="D58" s="40"/>
      <c r="E58" s="63">
        <f t="shared" si="0"/>
        <v>21.784472769409039</v>
      </c>
      <c r="F58" s="63"/>
      <c r="G58" s="89">
        <f t="shared" si="2"/>
        <v>15.932203389830507</v>
      </c>
      <c r="H58" s="28">
        <v>65588000</v>
      </c>
      <c r="I58" s="63">
        <f t="shared" si="1"/>
        <v>73.135593220338976</v>
      </c>
      <c r="J58" s="88">
        <v>24092000</v>
      </c>
      <c r="K58" s="64">
        <f t="shared" si="3"/>
        <v>26.864406779661014</v>
      </c>
      <c r="L58" s="90">
        <f t="shared" si="4"/>
        <v>89680000</v>
      </c>
    </row>
    <row r="59" spans="1:12">
      <c r="A59" s="6" t="s">
        <v>1163</v>
      </c>
      <c r="B59" s="13" t="s">
        <v>1165</v>
      </c>
      <c r="C59" s="88">
        <v>10526000</v>
      </c>
      <c r="D59" s="40"/>
      <c r="E59" s="63">
        <f t="shared" si="0"/>
        <v>16.067285382830626</v>
      </c>
      <c r="F59" s="63"/>
      <c r="G59" s="89">
        <f t="shared" si="2"/>
        <v>12.181178540017591</v>
      </c>
      <c r="H59" s="28">
        <v>65512000</v>
      </c>
      <c r="I59" s="63">
        <f t="shared" si="1"/>
        <v>75.813544415127538</v>
      </c>
      <c r="J59" s="88">
        <v>20900000</v>
      </c>
      <c r="K59" s="64">
        <f t="shared" si="3"/>
        <v>24.186455584872473</v>
      </c>
      <c r="L59" s="90">
        <f t="shared" si="4"/>
        <v>86412000</v>
      </c>
    </row>
    <row r="60" spans="1:12">
      <c r="A60" s="17" t="s">
        <v>1163</v>
      </c>
      <c r="B60" s="10" t="s">
        <v>1167</v>
      </c>
      <c r="C60" s="107">
        <v>12502000</v>
      </c>
      <c r="D60" s="116"/>
      <c r="E60" s="68">
        <f t="shared" si="0"/>
        <v>16.287128712871286</v>
      </c>
      <c r="F60" s="68"/>
      <c r="G60" s="108">
        <f t="shared" si="2"/>
        <v>11.641896673743808</v>
      </c>
      <c r="H60" s="29">
        <v>76760000</v>
      </c>
      <c r="I60" s="68">
        <f t="shared" si="1"/>
        <v>71.47912243453645</v>
      </c>
      <c r="J60" s="107">
        <v>30628000</v>
      </c>
      <c r="K60" s="67">
        <f t="shared" si="3"/>
        <v>28.520877565463554</v>
      </c>
      <c r="L60" s="109">
        <f t="shared" si="4"/>
        <v>107388000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C11" sqref="C11"/>
    </sheetView>
  </sheetViews>
  <sheetFormatPr baseColWidth="10" defaultRowHeight="13" x14ac:dyDescent="0"/>
  <cols>
    <col min="1" max="1" width="22.28515625" customWidth="1"/>
    <col min="3" max="3" width="10.7109375" style="303"/>
  </cols>
  <sheetData>
    <row r="1" spans="1:10">
      <c r="A1" t="s">
        <v>285</v>
      </c>
    </row>
    <row r="2" spans="1:10" s="303" customFormat="1"/>
    <row r="3" spans="1:10" s="303" customFormat="1">
      <c r="A3" s="303" t="s">
        <v>278</v>
      </c>
    </row>
    <row r="4" spans="1:10" s="303" customFormat="1">
      <c r="A4" s="303">
        <f>2.5*0.2+0.8</f>
        <v>1.3</v>
      </c>
    </row>
    <row r="5" spans="1:10" s="303" customFormat="1">
      <c r="D5" s="303" t="s">
        <v>576</v>
      </c>
    </row>
    <row r="6" spans="1:10" s="303" customFormat="1"/>
    <row r="7" spans="1:10" s="43" customFormat="1" ht="39">
      <c r="A7" s="43" t="s">
        <v>276</v>
      </c>
      <c r="B7" s="43" t="s">
        <v>965</v>
      </c>
      <c r="C7" s="43" t="s">
        <v>864</v>
      </c>
      <c r="D7" s="43" t="s">
        <v>277</v>
      </c>
      <c r="E7" s="43" t="s">
        <v>279</v>
      </c>
      <c r="F7" s="43" t="s">
        <v>280</v>
      </c>
      <c r="G7" s="43" t="s">
        <v>282</v>
      </c>
      <c r="H7" s="43" t="s">
        <v>281</v>
      </c>
      <c r="I7" s="43" t="s">
        <v>283</v>
      </c>
      <c r="J7" s="43" t="s">
        <v>284</v>
      </c>
    </row>
    <row r="8" spans="1:10">
      <c r="B8">
        <v>0.44805168223103298</v>
      </c>
      <c r="C8" s="303">
        <f>B8*0.01</f>
        <v>4.4805168223103296E-3</v>
      </c>
      <c r="D8" s="301">
        <v>681452219.52155495</v>
      </c>
      <c r="E8" s="301">
        <f>D8*0.2/A$4</f>
        <v>104838803.00331615</v>
      </c>
      <c r="F8">
        <v>56.872123141379703</v>
      </c>
      <c r="G8">
        <v>75.344592057898396</v>
      </c>
      <c r="H8">
        <f>G8-F8</f>
        <v>18.472468916518693</v>
      </c>
      <c r="I8" s="301">
        <f>(F8/100)*E8</f>
        <v>59624053.143994443</v>
      </c>
      <c r="J8" s="301">
        <f>(H8/100)*E8</f>
        <v>19366315.29723784</v>
      </c>
    </row>
    <row r="9" spans="1:10">
      <c r="B9">
        <v>3.4703876167327601</v>
      </c>
      <c r="C9" s="303">
        <f>B9*0.01</f>
        <v>3.4703876167327605E-2</v>
      </c>
      <c r="D9" s="301">
        <v>50458232.0583345</v>
      </c>
      <c r="E9" s="301">
        <f>D9*0.2/A$4</f>
        <v>7762804.9320514612</v>
      </c>
      <c r="F9">
        <v>67.598724165454598</v>
      </c>
      <c r="G9">
        <v>83.764027397000902</v>
      </c>
      <c r="H9" s="303">
        <f>G9-F9</f>
        <v>16.165303231546304</v>
      </c>
      <c r="I9" s="301">
        <f>(F9/100)*E9</f>
        <v>5247557.0935197724</v>
      </c>
      <c r="J9" s="301">
        <f>(H9/100)*E9</f>
        <v>1254880.9565395508</v>
      </c>
    </row>
    <row r="10" spans="1:10">
      <c r="B10">
        <v>6.4599334783164801</v>
      </c>
      <c r="C10" s="303">
        <f>B10*0.01</f>
        <v>6.4599334783164805E-2</v>
      </c>
      <c r="D10" s="301">
        <v>22490469.4895739</v>
      </c>
      <c r="E10" s="301">
        <f>D10*0.2/A$4</f>
        <v>3460072.2291652155</v>
      </c>
      <c r="F10">
        <v>42.969501749382403</v>
      </c>
      <c r="G10">
        <v>95.197322135603102</v>
      </c>
      <c r="H10" s="303">
        <f>G10-F10</f>
        <v>52.227820386220699</v>
      </c>
      <c r="I10" s="301">
        <f>(F10/100)*E10</f>
        <v>1486775.797041042</v>
      </c>
      <c r="J10" s="301">
        <f>(H10/100)*E10</f>
        <v>1807120.3090819116</v>
      </c>
    </row>
    <row r="11" spans="1:10">
      <c r="B11">
        <v>9.5310246897786808</v>
      </c>
      <c r="C11" s="303">
        <f>B11*0.01</f>
        <v>9.5310246897786804E-2</v>
      </c>
      <c r="D11" s="301">
        <v>52914417.2956376</v>
      </c>
      <c r="E11" s="301">
        <f>D11*0.2/A$4</f>
        <v>8140679.5839442471</v>
      </c>
      <c r="F11">
        <v>44.9984067842596</v>
      </c>
      <c r="G11">
        <v>84.607643018717894</v>
      </c>
      <c r="H11" s="303">
        <f>G11-F11</f>
        <v>39.609236234458294</v>
      </c>
      <c r="I11" s="301">
        <f>(F11/100)*E11</f>
        <v>3663176.1141864043</v>
      </c>
      <c r="J11" s="301">
        <f>(H11/100)*E11</f>
        <v>3224461.0074947933</v>
      </c>
    </row>
    <row r="12" spans="1:10">
      <c r="B12">
        <v>12.500552641678301</v>
      </c>
      <c r="C12" s="303">
        <f>B12*0.01</f>
        <v>0.125005526416783</v>
      </c>
      <c r="D12" s="301">
        <v>39528207.752334401</v>
      </c>
      <c r="E12" s="301">
        <f>D12*0.2/A$4</f>
        <v>6081262.7311283695</v>
      </c>
      <c r="F12">
        <v>50.041171218636499</v>
      </c>
      <c r="G12">
        <v>80.5955787474484</v>
      </c>
      <c r="H12" s="303">
        <f>G12-F12</f>
        <v>30.5544075288119</v>
      </c>
      <c r="I12" s="301">
        <f>(F12/100)*E12</f>
        <v>3043135.0955390777</v>
      </c>
      <c r="J12" s="301">
        <f>(H12/100)*E12</f>
        <v>1858093.7977667188</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pane xSplit="2" ySplit="2" topLeftCell="C3" activePane="bottomRight" state="frozenSplit"/>
      <selection pane="topRight" activeCell="C1" sqref="C1"/>
      <selection pane="bottomLeft" activeCell="A3" sqref="A3"/>
      <selection pane="bottomRight" activeCell="I4" sqref="I4"/>
    </sheetView>
  </sheetViews>
  <sheetFormatPr baseColWidth="10" defaultRowHeight="13" x14ac:dyDescent="0"/>
  <cols>
    <col min="1" max="1" width="18.140625" customWidth="1"/>
  </cols>
  <sheetData>
    <row r="1" spans="1:9">
      <c r="A1" t="s">
        <v>1586</v>
      </c>
    </row>
    <row r="2" spans="1:9" s="43" customFormat="1" ht="26">
      <c r="A2" s="43" t="s">
        <v>944</v>
      </c>
      <c r="B2" s="43" t="s">
        <v>864</v>
      </c>
      <c r="C2" s="43" t="s">
        <v>1585</v>
      </c>
      <c r="D2" s="43" t="s">
        <v>1588</v>
      </c>
      <c r="E2" s="43" t="s">
        <v>1589</v>
      </c>
      <c r="F2" s="43" t="s">
        <v>1590</v>
      </c>
      <c r="G2" s="43" t="s">
        <v>1594</v>
      </c>
      <c r="H2" s="43" t="s">
        <v>1595</v>
      </c>
      <c r="I2" s="43" t="s">
        <v>1631</v>
      </c>
    </row>
    <row r="3" spans="1:9">
      <c r="A3" t="s">
        <v>1587</v>
      </c>
      <c r="B3">
        <v>25.238461106009801</v>
      </c>
      <c r="C3" s="301">
        <v>1530846.01091644</v>
      </c>
      <c r="D3" s="301">
        <v>8417.9397954808901</v>
      </c>
      <c r="E3" s="301">
        <v>2507138.5279119699</v>
      </c>
      <c r="F3" s="301">
        <f>D3*4.1</f>
        <v>34513.553161471646</v>
      </c>
      <c r="G3" s="301">
        <f>E3*1.5</f>
        <v>3760707.7918679547</v>
      </c>
      <c r="H3" s="301">
        <f>F3+G3</f>
        <v>3795221.3450294263</v>
      </c>
      <c r="I3" s="181">
        <f>G3/H3</f>
        <v>0.99090604999714349</v>
      </c>
    </row>
    <row r="4" spans="1:9">
      <c r="A4" s="328" t="s">
        <v>1587</v>
      </c>
      <c r="B4">
        <v>77.859190825103596</v>
      </c>
      <c r="C4" s="301">
        <v>2700889.7040734799</v>
      </c>
      <c r="D4" s="301">
        <v>2986.0914688265202</v>
      </c>
      <c r="E4" s="301">
        <v>457149.53376963298</v>
      </c>
      <c r="F4" s="301">
        <f t="shared" ref="F4:F8" si="0">D4*4.1</f>
        <v>12242.975022188732</v>
      </c>
      <c r="G4" s="301">
        <f t="shared" ref="G4:G37" si="1">E4*1.5</f>
        <v>685724.3006544495</v>
      </c>
      <c r="H4" s="301">
        <f t="shared" ref="H4:H57" si="2">F4+G4</f>
        <v>697967.27567663824</v>
      </c>
      <c r="I4" s="181">
        <f t="shared" ref="I4:I5" si="3">G4/H4</f>
        <v>0.98245909880184579</v>
      </c>
    </row>
    <row r="5" spans="1:9">
      <c r="A5" s="328" t="s">
        <v>1587</v>
      </c>
      <c r="B5">
        <v>154.19298015478799</v>
      </c>
      <c r="C5" s="301">
        <v>480293.65495400003</v>
      </c>
      <c r="D5" s="301">
        <v>1756.3931296764399</v>
      </c>
      <c r="E5" s="301">
        <v>254959.641984638</v>
      </c>
      <c r="F5" s="301">
        <f t="shared" si="0"/>
        <v>7201.2118316734031</v>
      </c>
      <c r="G5" s="301">
        <f t="shared" si="1"/>
        <v>382439.46297695697</v>
      </c>
      <c r="H5" s="301">
        <f t="shared" si="2"/>
        <v>389640.67480863037</v>
      </c>
      <c r="I5" s="181">
        <f t="shared" si="3"/>
        <v>0.98151832624966517</v>
      </c>
    </row>
    <row r="6" spans="1:9">
      <c r="A6" s="328" t="s">
        <v>1587</v>
      </c>
      <c r="B6">
        <v>173.77583719056199</v>
      </c>
      <c r="C6" s="301">
        <v>230681.99498907299</v>
      </c>
      <c r="D6" s="301"/>
      <c r="E6" s="301"/>
      <c r="F6" s="301"/>
      <c r="G6" s="301"/>
      <c r="H6" s="301"/>
    </row>
    <row r="7" spans="1:9">
      <c r="A7" s="328" t="s">
        <v>1587</v>
      </c>
      <c r="B7">
        <v>189.11980211007599</v>
      </c>
      <c r="C7" s="301">
        <v>265862.77546857297</v>
      </c>
      <c r="D7" s="301"/>
      <c r="E7" s="301"/>
      <c r="F7" s="301"/>
      <c r="G7" s="301"/>
      <c r="H7" s="301"/>
    </row>
    <row r="8" spans="1:9">
      <c r="A8" s="328" t="s">
        <v>1587</v>
      </c>
      <c r="B8">
        <v>224.24901148736001</v>
      </c>
      <c r="C8" s="301">
        <v>527962.09039689496</v>
      </c>
      <c r="D8" s="301">
        <v>3337.70404919155</v>
      </c>
      <c r="E8" s="301">
        <v>180947.201948637</v>
      </c>
      <c r="F8" s="301">
        <f t="shared" si="0"/>
        <v>13684.586601685354</v>
      </c>
      <c r="G8" s="301">
        <f t="shared" si="1"/>
        <v>271420.80292295548</v>
      </c>
      <c r="H8" s="301">
        <f t="shared" si="2"/>
        <v>285105.38952464086</v>
      </c>
      <c r="I8" s="181">
        <f t="shared" ref="I8" si="4">G8/H8</f>
        <v>0.95200165586311136</v>
      </c>
    </row>
    <row r="9" spans="1:9">
      <c r="A9" s="328" t="s">
        <v>1587</v>
      </c>
      <c r="B9">
        <v>241.500665254951</v>
      </c>
      <c r="C9" s="301">
        <v>103204.49904927801</v>
      </c>
      <c r="D9" s="301"/>
      <c r="E9" s="301"/>
      <c r="F9" s="301"/>
      <c r="G9" s="301"/>
      <c r="H9" s="301"/>
    </row>
    <row r="10" spans="1:9">
      <c r="A10" s="328" t="s">
        <v>1587</v>
      </c>
      <c r="B10">
        <v>252.77064632797999</v>
      </c>
      <c r="C10" s="301">
        <v>808228.65999919199</v>
      </c>
      <c r="D10" s="301"/>
      <c r="E10" s="301"/>
      <c r="F10" s="301"/>
      <c r="G10" s="301"/>
      <c r="H10" s="301"/>
    </row>
    <row r="11" spans="1:9">
      <c r="A11" s="328" t="s">
        <v>1587</v>
      </c>
      <c r="B11">
        <v>261.57075126960598</v>
      </c>
      <c r="C11" s="301">
        <v>1073549.11390519</v>
      </c>
      <c r="D11" s="301"/>
      <c r="E11" s="301"/>
      <c r="F11" s="301"/>
      <c r="G11" s="301"/>
      <c r="H11" s="301"/>
    </row>
    <row r="12" spans="1:9">
      <c r="A12" s="328" t="s">
        <v>1587</v>
      </c>
      <c r="B12">
        <v>272.196090924423</v>
      </c>
      <c r="C12" s="301">
        <v>143725.638467991</v>
      </c>
      <c r="D12" s="301">
        <v>1629.3325937398499</v>
      </c>
      <c r="E12" s="301">
        <v>47888.778726928598</v>
      </c>
      <c r="F12" s="301">
        <f>D12*4.1</f>
        <v>6680.2636343333843</v>
      </c>
      <c r="G12" s="301">
        <f>E12*1.5</f>
        <v>71833.168090392894</v>
      </c>
      <c r="H12" s="301">
        <f t="shared" si="2"/>
        <v>78513.431724726281</v>
      </c>
      <c r="I12" s="181">
        <f t="shared" ref="I12" si="5">G12/H12</f>
        <v>0.91491565853655632</v>
      </c>
    </row>
    <row r="13" spans="1:9">
      <c r="A13" s="328" t="s">
        <v>1587</v>
      </c>
      <c r="B13">
        <v>279.99550250173297</v>
      </c>
      <c r="C13" s="301">
        <v>344882.55946842598</v>
      </c>
      <c r="D13" s="301"/>
      <c r="E13" s="301">
        <v>146513.76799813399</v>
      </c>
      <c r="F13" s="301"/>
      <c r="G13" s="301">
        <f t="shared" si="1"/>
        <v>219770.65199720097</v>
      </c>
      <c r="H13" s="301"/>
    </row>
    <row r="14" spans="1:9">
      <c r="A14" s="328" t="s">
        <v>1587</v>
      </c>
      <c r="B14">
        <v>323.62873151809299</v>
      </c>
      <c r="C14" s="301">
        <v>140365.46669510801</v>
      </c>
      <c r="D14" s="301"/>
      <c r="E14" s="301">
        <v>362726.24012383702</v>
      </c>
      <c r="F14" s="301"/>
      <c r="G14" s="301">
        <f t="shared" si="1"/>
        <v>544089.36018575553</v>
      </c>
      <c r="H14" s="301"/>
    </row>
    <row r="15" spans="1:9">
      <c r="A15" s="328" t="s">
        <v>1587</v>
      </c>
      <c r="B15">
        <v>373.90701422333802</v>
      </c>
      <c r="C15" s="301">
        <v>93886.411463390497</v>
      </c>
      <c r="D15" s="301"/>
      <c r="E15" s="301">
        <v>167894.09834661099</v>
      </c>
      <c r="F15" s="301"/>
      <c r="G15" s="301">
        <f t="shared" si="1"/>
        <v>251841.14751991647</v>
      </c>
      <c r="H15" s="301"/>
    </row>
    <row r="16" spans="1:9">
      <c r="A16" s="328" t="s">
        <v>1587</v>
      </c>
      <c r="B16">
        <v>424.31647396135901</v>
      </c>
      <c r="C16" s="301">
        <v>143725.638467991</v>
      </c>
      <c r="D16" s="301"/>
      <c r="E16" s="301">
        <v>155269.389464315</v>
      </c>
      <c r="F16" s="301"/>
      <c r="G16" s="301">
        <f t="shared" si="1"/>
        <v>232904.08419647248</v>
      </c>
      <c r="H16" s="301"/>
    </row>
    <row r="17" spans="1:9">
      <c r="A17" s="328" t="s">
        <v>1587</v>
      </c>
      <c r="B17">
        <v>474.72593369937903</v>
      </c>
      <c r="C17" s="301">
        <v>220021.82031514301</v>
      </c>
      <c r="D17" s="301"/>
      <c r="E17" s="301">
        <v>132567.86296786001</v>
      </c>
      <c r="F17" s="301"/>
      <c r="G17" s="301">
        <f t="shared" si="1"/>
        <v>198851.79445179002</v>
      </c>
      <c r="H17" s="301"/>
    </row>
    <row r="18" spans="1:9">
      <c r="A18" s="328" t="s">
        <v>1587</v>
      </c>
      <c r="B18">
        <v>526.20354927571498</v>
      </c>
      <c r="C18" s="301">
        <v>285416.74702466402</v>
      </c>
      <c r="D18" s="301"/>
      <c r="E18" s="301">
        <v>84457.643393948398</v>
      </c>
      <c r="F18" s="301"/>
      <c r="G18" s="301">
        <f t="shared" si="1"/>
        <v>126686.4650909226</v>
      </c>
      <c r="H18" s="301"/>
    </row>
    <row r="19" spans="1:9">
      <c r="A19" s="328" t="s">
        <v>1587</v>
      </c>
      <c r="B19">
        <v>574.19560369544399</v>
      </c>
      <c r="C19" s="301">
        <v>103204.49904927801</v>
      </c>
      <c r="D19" s="301"/>
      <c r="E19" s="301">
        <v>70217.699925718203</v>
      </c>
      <c r="F19" s="301"/>
      <c r="G19" s="301">
        <f t="shared" si="1"/>
        <v>105326.54988857731</v>
      </c>
      <c r="H19" s="301"/>
    </row>
    <row r="20" spans="1:9">
      <c r="A20" s="328" t="s">
        <v>1587</v>
      </c>
      <c r="B20">
        <v>626.044262878773</v>
      </c>
      <c r="C20" s="301">
        <v>1392629.5829347901</v>
      </c>
      <c r="D20" s="301"/>
      <c r="E20" s="301"/>
      <c r="F20" s="301"/>
      <c r="G20" s="301"/>
      <c r="H20" s="301"/>
    </row>
    <row r="21" spans="1:9">
      <c r="A21" s="328" t="s">
        <v>1587</v>
      </c>
      <c r="B21">
        <v>669.58004609935699</v>
      </c>
      <c r="C21" s="301">
        <v>306408.89586203301</v>
      </c>
      <c r="D21" s="301"/>
      <c r="E21" s="301"/>
      <c r="F21" s="301"/>
      <c r="G21" s="301"/>
      <c r="H21" s="301"/>
    </row>
    <row r="22" spans="1:9">
      <c r="A22" s="328" t="s">
        <v>1587</v>
      </c>
      <c r="B22">
        <v>714.37138091936299</v>
      </c>
      <c r="C22" s="301">
        <v>186443.79969595899</v>
      </c>
      <c r="D22" s="301"/>
      <c r="E22" s="301">
        <v>28535.758246757901</v>
      </c>
      <c r="F22" s="301"/>
      <c r="G22" s="301">
        <f t="shared" si="1"/>
        <v>42803.63737013685</v>
      </c>
      <c r="H22" s="301"/>
    </row>
    <row r="23" spans="1:9">
      <c r="A23" s="328" t="s">
        <v>1587</v>
      </c>
      <c r="B23">
        <v>721.01643460824903</v>
      </c>
      <c r="C23" s="301">
        <v>306408.89586203301</v>
      </c>
      <c r="D23" s="301"/>
      <c r="E23" s="301">
        <v>14670.729009414101</v>
      </c>
      <c r="F23" s="301"/>
      <c r="G23" s="301">
        <f t="shared" si="1"/>
        <v>22006.093514121152</v>
      </c>
      <c r="H23" s="301"/>
    </row>
    <row r="24" spans="1:9" s="328" customFormat="1">
      <c r="A24" s="328" t="s">
        <v>1587</v>
      </c>
      <c r="B24">
        <v>762.53443526170804</v>
      </c>
      <c r="C24" s="301"/>
      <c r="D24" s="301"/>
      <c r="E24" s="301">
        <v>43761.581747467899</v>
      </c>
      <c r="F24" s="301"/>
      <c r="G24" s="301">
        <f t="shared" si="1"/>
        <v>65642.372621201852</v>
      </c>
      <c r="H24" s="301"/>
    </row>
    <row r="25" spans="1:9">
      <c r="A25" s="328" t="s">
        <v>1591</v>
      </c>
      <c r="B25">
        <v>8.1442197777487308</v>
      </c>
      <c r="C25" s="301">
        <v>21151563.0271759</v>
      </c>
      <c r="E25" s="301">
        <v>5280060.4602145096</v>
      </c>
      <c r="F25" s="181"/>
      <c r="G25" s="301">
        <f t="shared" si="1"/>
        <v>7920090.690321764</v>
      </c>
      <c r="H25" s="301"/>
    </row>
    <row r="26" spans="1:9">
      <c r="A26" s="328" t="s">
        <v>1591</v>
      </c>
      <c r="B26">
        <v>39.604220152540201</v>
      </c>
      <c r="C26" s="301">
        <v>3673402.29637925</v>
      </c>
      <c r="D26" s="301">
        <v>25083.338588291499</v>
      </c>
      <c r="E26" s="301">
        <v>1014625.63994926</v>
      </c>
      <c r="F26" s="301">
        <f>D26*4.1</f>
        <v>102841.68821199513</v>
      </c>
      <c r="G26" s="301">
        <f t="shared" si="1"/>
        <v>1521938.45992389</v>
      </c>
      <c r="H26" s="301">
        <f t="shared" si="2"/>
        <v>1624780.1481358851</v>
      </c>
      <c r="I26" s="181">
        <f t="shared" ref="I26:I35" si="6">G26/H26</f>
        <v>0.9367042437526174</v>
      </c>
    </row>
    <row r="27" spans="1:9">
      <c r="A27" s="328" t="s">
        <v>1591</v>
      </c>
      <c r="B27">
        <v>76.521185090793196</v>
      </c>
      <c r="C27" s="301">
        <v>580361.54760977405</v>
      </c>
      <c r="D27" s="301">
        <v>55814.566970132</v>
      </c>
      <c r="E27" s="301">
        <v>495117.77094717597</v>
      </c>
      <c r="F27" s="301">
        <f t="shared" ref="F27:F57" si="7">D27*4.1</f>
        <v>228839.72457754117</v>
      </c>
      <c r="G27" s="301">
        <f t="shared" si="1"/>
        <v>742676.65642076393</v>
      </c>
      <c r="H27" s="301">
        <f t="shared" si="2"/>
        <v>971516.38099830505</v>
      </c>
      <c r="I27" s="181">
        <f t="shared" si="6"/>
        <v>0.76445098708228543</v>
      </c>
    </row>
    <row r="28" spans="1:9">
      <c r="A28" s="328" t="s">
        <v>1591</v>
      </c>
      <c r="B28">
        <v>126.84444277870401</v>
      </c>
      <c r="C28" s="301">
        <v>515618.82769015798</v>
      </c>
      <c r="D28" s="301">
        <v>2688.51961155033</v>
      </c>
      <c r="E28" s="301">
        <v>162134.692951912</v>
      </c>
      <c r="F28" s="301">
        <f t="shared" si="7"/>
        <v>11022.930407356353</v>
      </c>
      <c r="G28" s="301">
        <f t="shared" si="1"/>
        <v>243202.039427868</v>
      </c>
      <c r="H28" s="301">
        <f t="shared" si="2"/>
        <v>254224.96983522436</v>
      </c>
      <c r="I28" s="181">
        <f t="shared" si="6"/>
        <v>0.9566410395701852</v>
      </c>
    </row>
    <row r="29" spans="1:9">
      <c r="A29" s="328" t="s">
        <v>1591</v>
      </c>
      <c r="B29">
        <v>176.41062159173899</v>
      </c>
      <c r="C29" s="301">
        <v>3851380.59903546</v>
      </c>
      <c r="D29" s="301">
        <v>15195.767458136401</v>
      </c>
      <c r="E29" s="301">
        <v>111881.617950749</v>
      </c>
      <c r="F29" s="301">
        <f t="shared" si="7"/>
        <v>62302.646578359236</v>
      </c>
      <c r="G29" s="301">
        <f t="shared" si="1"/>
        <v>167822.4269261235</v>
      </c>
      <c r="H29" s="301">
        <f t="shared" si="2"/>
        <v>230125.07350448275</v>
      </c>
      <c r="I29" s="181">
        <f t="shared" si="6"/>
        <v>0.72926615240322512</v>
      </c>
    </row>
    <row r="30" spans="1:9">
      <c r="A30" s="328" t="s">
        <v>1591</v>
      </c>
      <c r="B30">
        <v>226.302869029102</v>
      </c>
      <c r="C30" s="301">
        <v>225288.86446388101</v>
      </c>
      <c r="E30" s="301">
        <v>106256.11253018799</v>
      </c>
      <c r="F30" s="181"/>
      <c r="G30" s="301">
        <f t="shared" si="1"/>
        <v>159384.16879528199</v>
      </c>
      <c r="H30" s="301"/>
    </row>
    <row r="31" spans="1:9">
      <c r="A31" s="328" t="s">
        <v>1591</v>
      </c>
      <c r="B31">
        <v>275.56546670914298</v>
      </c>
      <c r="C31" s="301">
        <v>247648.451314404</v>
      </c>
      <c r="D31" s="301">
        <v>218386.17758073701</v>
      </c>
      <c r="E31" s="301">
        <v>121592.226391729</v>
      </c>
      <c r="F31" s="301">
        <f t="shared" si="7"/>
        <v>895383.32808102167</v>
      </c>
      <c r="G31" s="301">
        <f t="shared" si="1"/>
        <v>182388.33958759351</v>
      </c>
      <c r="H31" s="301">
        <f t="shared" si="2"/>
        <v>1077771.6676686152</v>
      </c>
      <c r="I31" s="181">
        <f t="shared" si="6"/>
        <v>0.16922725384137008</v>
      </c>
    </row>
    <row r="32" spans="1:9">
      <c r="A32" s="328" t="s">
        <v>1591</v>
      </c>
      <c r="B32">
        <v>327.07681352247801</v>
      </c>
      <c r="C32" s="301">
        <v>397479.80537156499</v>
      </c>
      <c r="E32" s="301">
        <v>32180.123051811501</v>
      </c>
      <c r="F32" s="181"/>
      <c r="G32" s="301">
        <f t="shared" si="1"/>
        <v>48270.184577717249</v>
      </c>
      <c r="H32" s="301"/>
    </row>
    <row r="33" spans="1:9">
      <c r="A33" s="328" t="s">
        <v>1591</v>
      </c>
      <c r="B33">
        <v>377.62869403894001</v>
      </c>
      <c r="C33" s="301">
        <v>1495056.2547578099</v>
      </c>
      <c r="D33" s="301">
        <v>10260.7361943127</v>
      </c>
      <c r="E33" s="301">
        <v>29759.264363951799</v>
      </c>
      <c r="F33" s="301">
        <f t="shared" si="7"/>
        <v>42069.018396682062</v>
      </c>
      <c r="G33" s="301">
        <f t="shared" si="1"/>
        <v>44638.896545927695</v>
      </c>
      <c r="H33" s="301">
        <f t="shared" si="2"/>
        <v>86707.914942609757</v>
      </c>
      <c r="I33" s="181">
        <f t="shared" si="6"/>
        <v>0.51481916703305908</v>
      </c>
    </row>
    <row r="34" spans="1:9">
      <c r="A34" s="328" t="s">
        <v>1591</v>
      </c>
      <c r="B34">
        <v>426.59520641643002</v>
      </c>
      <c r="C34" s="301">
        <v>253576.842073879</v>
      </c>
      <c r="D34" s="301">
        <v>13060.4235233257</v>
      </c>
      <c r="E34" s="301">
        <v>30613.668900756202</v>
      </c>
      <c r="F34" s="301">
        <f t="shared" si="7"/>
        <v>53547.736445635368</v>
      </c>
      <c r="G34" s="301">
        <f t="shared" si="1"/>
        <v>45920.503351134306</v>
      </c>
      <c r="H34" s="301">
        <f t="shared" si="2"/>
        <v>99468.239796769674</v>
      </c>
      <c r="I34" s="181">
        <f t="shared" si="6"/>
        <v>0.46165995743925509</v>
      </c>
    </row>
    <row r="35" spans="1:9">
      <c r="A35" s="328" t="s">
        <v>1591</v>
      </c>
      <c r="B35">
        <v>476.884732867342</v>
      </c>
      <c r="C35" s="301">
        <v>182084.917038382</v>
      </c>
      <c r="D35" s="301">
        <v>10857.9784881292</v>
      </c>
      <c r="E35" s="301">
        <v>30663.0978512088</v>
      </c>
      <c r="F35" s="301">
        <f t="shared" si="7"/>
        <v>44517.711801329715</v>
      </c>
      <c r="G35" s="301">
        <f t="shared" si="1"/>
        <v>45994.646776813199</v>
      </c>
      <c r="H35" s="301">
        <f t="shared" si="2"/>
        <v>90512.358578142914</v>
      </c>
      <c r="I35" s="181">
        <f t="shared" si="6"/>
        <v>0.5081587475936139</v>
      </c>
    </row>
    <row r="36" spans="1:9" s="328" customFormat="1">
      <c r="A36" s="328" t="s">
        <v>1591</v>
      </c>
      <c r="B36" s="181">
        <v>523.41597796143196</v>
      </c>
      <c r="C36" s="301"/>
      <c r="D36" s="301"/>
      <c r="E36" s="301">
        <v>16214.06378837</v>
      </c>
      <c r="G36" s="301">
        <f>E36*1.5</f>
        <v>24321.095682555002</v>
      </c>
      <c r="H36" s="301"/>
    </row>
    <row r="37" spans="1:9">
      <c r="A37" s="328" t="s">
        <v>1591</v>
      </c>
      <c r="B37">
        <v>577.76361898693801</v>
      </c>
      <c r="C37" s="301">
        <v>623046.62518112198</v>
      </c>
      <c r="D37" s="301"/>
      <c r="E37" s="301">
        <v>1983.0313282393399</v>
      </c>
      <c r="F37" s="301"/>
      <c r="G37" s="301">
        <f t="shared" si="1"/>
        <v>2974.5469923590099</v>
      </c>
      <c r="H37" s="301"/>
    </row>
    <row r="38" spans="1:9">
      <c r="A38" s="328" t="s">
        <v>1591</v>
      </c>
      <c r="B38">
        <v>627.89573299851895</v>
      </c>
      <c r="C38" s="301">
        <v>165644.90501698101</v>
      </c>
      <c r="D38" s="301">
        <v>9553.0707888657998</v>
      </c>
      <c r="E38" s="301"/>
      <c r="F38" s="301">
        <f t="shared" si="7"/>
        <v>39167.590234349773</v>
      </c>
      <c r="G38" s="301"/>
      <c r="H38" s="301"/>
    </row>
    <row r="39" spans="1:9">
      <c r="A39" s="328" t="s">
        <v>1591</v>
      </c>
      <c r="B39">
        <v>678.28270524520701</v>
      </c>
      <c r="C39" s="301">
        <v>220021.82031514301</v>
      </c>
      <c r="D39" s="301">
        <v>12487.241307435699</v>
      </c>
      <c r="E39" s="301"/>
      <c r="F39" s="301">
        <f t="shared" si="7"/>
        <v>51197.689360486365</v>
      </c>
      <c r="G39" s="301"/>
      <c r="H39" s="301"/>
    </row>
    <row r="40" spans="1:9">
      <c r="A40" s="328" t="s">
        <v>1591</v>
      </c>
      <c r="B40">
        <v>726.69827408504</v>
      </c>
      <c r="C40" s="301">
        <v>1152507.69996664</v>
      </c>
      <c r="D40" s="301">
        <v>12507.8618607114</v>
      </c>
      <c r="E40" s="301"/>
      <c r="F40" s="301">
        <f t="shared" si="7"/>
        <v>51282.233628916736</v>
      </c>
      <c r="G40" s="301"/>
      <c r="H40" s="301"/>
    </row>
    <row r="41" spans="1:9">
      <c r="A41" s="328" t="s">
        <v>1591</v>
      </c>
      <c r="B41">
        <v>776.86411933362001</v>
      </c>
      <c r="C41" s="301">
        <v>379111.64380428998</v>
      </c>
      <c r="D41" s="301">
        <v>14312.0919018479</v>
      </c>
      <c r="E41" s="301"/>
      <c r="F41" s="301">
        <f t="shared" si="7"/>
        <v>58679.576797576381</v>
      </c>
      <c r="G41" s="301"/>
      <c r="H41" s="301"/>
    </row>
    <row r="42" spans="1:9">
      <c r="A42" s="328" t="s">
        <v>1592</v>
      </c>
      <c r="B42">
        <v>9.1149298202875499</v>
      </c>
      <c r="C42" s="301">
        <v>9689500.0626136605</v>
      </c>
      <c r="D42" s="301">
        <v>399256.14789176401</v>
      </c>
      <c r="E42" s="301">
        <v>22828482.638986699</v>
      </c>
      <c r="F42" s="301">
        <f t="shared" si="7"/>
        <v>1636950.2063562323</v>
      </c>
      <c r="G42" s="301">
        <f t="shared" ref="G42:G57" si="8">E42*1.5</f>
        <v>34242723.958480045</v>
      </c>
      <c r="H42" s="301">
        <f t="shared" si="2"/>
        <v>35879674.16483628</v>
      </c>
      <c r="I42" s="181">
        <f t="shared" ref="I42:I47" si="9">G42/H42</f>
        <v>0.95437667023296102</v>
      </c>
    </row>
    <row r="43" spans="1:9">
      <c r="A43" s="328" t="s">
        <v>1592</v>
      </c>
      <c r="B43">
        <v>22.6374079418324</v>
      </c>
      <c r="C43" s="301">
        <v>113447.39305714901</v>
      </c>
      <c r="D43" s="301">
        <v>216552.23391520101</v>
      </c>
      <c r="E43" s="301">
        <v>6364361.45556127</v>
      </c>
      <c r="F43" s="301">
        <f t="shared" si="7"/>
        <v>887864.15905232402</v>
      </c>
      <c r="G43" s="301">
        <f t="shared" si="8"/>
        <v>9546542.1833419055</v>
      </c>
      <c r="H43" s="301">
        <f t="shared" si="2"/>
        <v>10434406.342394229</v>
      </c>
      <c r="I43" s="181">
        <f t="shared" si="9"/>
        <v>0.91490994984113316</v>
      </c>
    </row>
    <row r="44" spans="1:9" s="328" customFormat="1">
      <c r="A44" s="328" t="s">
        <v>1592</v>
      </c>
      <c r="B44" s="181">
        <v>36.363636363636303</v>
      </c>
      <c r="C44" s="301"/>
      <c r="D44" s="301">
        <v>216671.36807929</v>
      </c>
      <c r="E44" s="301">
        <v>6896994.0491415802</v>
      </c>
      <c r="F44" s="301">
        <f t="shared" si="7"/>
        <v>888352.6091250889</v>
      </c>
      <c r="G44" s="301">
        <f t="shared" si="8"/>
        <v>10345491.073712371</v>
      </c>
      <c r="H44" s="301">
        <f t="shared" si="2"/>
        <v>11233843.68283746</v>
      </c>
      <c r="I44" s="181">
        <f t="shared" si="9"/>
        <v>0.92092175801927234</v>
      </c>
    </row>
    <row r="45" spans="1:9">
      <c r="A45" s="328" t="s">
        <v>1592</v>
      </c>
      <c r="B45">
        <v>46.665292431085199</v>
      </c>
      <c r="C45" s="301">
        <v>83412.833972486405</v>
      </c>
      <c r="D45" s="301">
        <v>369098.93229399202</v>
      </c>
      <c r="E45" s="301">
        <v>7473928.5524080498</v>
      </c>
      <c r="F45" s="301">
        <f t="shared" si="7"/>
        <v>1513305.6224053672</v>
      </c>
      <c r="G45" s="301">
        <f t="shared" si="8"/>
        <v>11210892.828612074</v>
      </c>
      <c r="H45" s="301">
        <f t="shared" si="2"/>
        <v>12724198.451017441</v>
      </c>
      <c r="I45" s="181">
        <f t="shared" si="9"/>
        <v>0.88106868749093104</v>
      </c>
    </row>
    <row r="46" spans="1:9">
      <c r="A46" s="328" t="s">
        <v>1592</v>
      </c>
      <c r="B46">
        <v>57.545490321008998</v>
      </c>
      <c r="C46" s="301">
        <v>55792.438382860601</v>
      </c>
      <c r="D46" s="301">
        <v>200173.26518121699</v>
      </c>
      <c r="E46" s="301">
        <v>757573.59944858903</v>
      </c>
      <c r="F46" s="301">
        <f t="shared" si="7"/>
        <v>820710.38724298961</v>
      </c>
      <c r="G46" s="301">
        <f t="shared" si="8"/>
        <v>1136360.3991728835</v>
      </c>
      <c r="H46" s="301">
        <f t="shared" si="2"/>
        <v>1957070.7864158731</v>
      </c>
      <c r="I46" s="181">
        <f t="shared" si="9"/>
        <v>0.58064348364934892</v>
      </c>
    </row>
    <row r="47" spans="1:9">
      <c r="A47" s="328" t="s">
        <v>1592</v>
      </c>
      <c r="B47">
        <v>67.593651031613703</v>
      </c>
      <c r="C47" s="301">
        <v>195477.10134205699</v>
      </c>
      <c r="D47" s="301">
        <v>117580.55746259401</v>
      </c>
      <c r="E47" s="301">
        <v>400076.78007147298</v>
      </c>
      <c r="F47" s="301">
        <f t="shared" si="7"/>
        <v>482080.28559663537</v>
      </c>
      <c r="G47" s="301">
        <f t="shared" si="8"/>
        <v>600115.17010720947</v>
      </c>
      <c r="H47" s="301">
        <f t="shared" si="2"/>
        <v>1082195.4557038448</v>
      </c>
      <c r="I47" s="181">
        <f t="shared" si="9"/>
        <v>0.55453491968038526</v>
      </c>
    </row>
    <row r="48" spans="1:9">
      <c r="A48" s="328" t="s">
        <v>1593</v>
      </c>
      <c r="B48">
        <v>7.0873076851003098</v>
      </c>
      <c r="C48" s="301">
        <v>26796754.149700101</v>
      </c>
      <c r="D48" s="301"/>
      <c r="E48" s="301">
        <v>191999761.62086099</v>
      </c>
      <c r="F48" s="301"/>
      <c r="G48" s="301">
        <f t="shared" si="8"/>
        <v>287999642.43129146</v>
      </c>
      <c r="H48" s="301"/>
    </row>
    <row r="49" spans="1:9">
      <c r="A49" s="328" t="s">
        <v>1593</v>
      </c>
      <c r="B49">
        <v>44.8962764462268</v>
      </c>
      <c r="C49" s="301">
        <v>1180097.27689491</v>
      </c>
      <c r="D49" s="301">
        <v>39443.988882422702</v>
      </c>
      <c r="E49" s="301"/>
      <c r="F49" s="301">
        <f t="shared" si="7"/>
        <v>161720.35441793306</v>
      </c>
      <c r="G49" s="301"/>
      <c r="H49" s="301"/>
    </row>
    <row r="50" spans="1:9">
      <c r="A50" s="328" t="s">
        <v>1593</v>
      </c>
      <c r="B50">
        <v>94.975919644697598</v>
      </c>
      <c r="C50" s="301">
        <v>225288.86446387999</v>
      </c>
      <c r="D50" s="301">
        <v>46351.261825705398</v>
      </c>
      <c r="E50" s="301">
        <v>2870681.4289095299</v>
      </c>
      <c r="F50" s="301">
        <f t="shared" si="7"/>
        <v>190040.17348539212</v>
      </c>
      <c r="G50" s="301">
        <f t="shared" si="8"/>
        <v>4306022.1433642954</v>
      </c>
      <c r="H50" s="301">
        <f t="shared" si="2"/>
        <v>4496062.3168496871</v>
      </c>
      <c r="I50" s="181">
        <f t="shared" ref="I50" si="10">G50/H50</f>
        <v>0.95773186399726118</v>
      </c>
    </row>
    <row r="51" spans="1:9">
      <c r="A51" s="328" t="s">
        <v>1593</v>
      </c>
      <c r="B51">
        <v>142.034743174109</v>
      </c>
      <c r="C51" s="301">
        <v>225288.86446387999</v>
      </c>
      <c r="D51" s="301">
        <v>35575.849005785902</v>
      </c>
      <c r="E51" s="301"/>
      <c r="F51" s="301">
        <f t="shared" si="7"/>
        <v>145860.98092372218</v>
      </c>
      <c r="G51" s="301"/>
      <c r="H51" s="301"/>
    </row>
    <row r="52" spans="1:9" s="328" customFormat="1">
      <c r="A52" s="328" t="s">
        <v>1593</v>
      </c>
      <c r="B52" s="181">
        <v>189.531680440771</v>
      </c>
      <c r="C52" s="301"/>
      <c r="D52" s="301">
        <v>20925.406146625701</v>
      </c>
      <c r="E52" s="301">
        <v>552890.60977759503</v>
      </c>
      <c r="F52" s="301">
        <f t="shared" si="7"/>
        <v>85794.165201165364</v>
      </c>
      <c r="G52" s="301">
        <f t="shared" si="8"/>
        <v>829335.91466639261</v>
      </c>
      <c r="H52" s="301">
        <f t="shared" si="2"/>
        <v>915130.07986755797</v>
      </c>
      <c r="I52" s="181">
        <f t="shared" ref="I52" si="11">G52/H52</f>
        <v>0.90624921299321526</v>
      </c>
    </row>
    <row r="53" spans="1:9">
      <c r="A53" s="328" t="s">
        <v>1593</v>
      </c>
      <c r="B53">
        <v>242.65502314337601</v>
      </c>
      <c r="C53" s="301">
        <v>150689.222393423</v>
      </c>
      <c r="D53" s="301">
        <v>30425.671991744901</v>
      </c>
      <c r="E53" s="301">
        <v>2809144.1271997602</v>
      </c>
      <c r="F53" s="301">
        <f t="shared" si="7"/>
        <v>124745.25516615408</v>
      </c>
      <c r="G53" s="301">
        <f t="shared" si="8"/>
        <v>4213716.1907996405</v>
      </c>
      <c r="H53" s="301">
        <f t="shared" si="2"/>
        <v>4338461.4459657948</v>
      </c>
      <c r="I53" s="181">
        <f t="shared" ref="I53:I57" si="12">G53/H53</f>
        <v>0.97124666043024277</v>
      </c>
    </row>
    <row r="54" spans="1:9">
      <c r="A54" s="328" t="s">
        <v>1593</v>
      </c>
      <c r="B54">
        <v>292.925810018177</v>
      </c>
      <c r="C54" s="301">
        <v>96133.933429329496</v>
      </c>
      <c r="D54" s="301">
        <v>28896.9021561015</v>
      </c>
      <c r="E54" s="301">
        <v>256346.956761471</v>
      </c>
      <c r="F54" s="301">
        <f t="shared" si="7"/>
        <v>118477.29884001614</v>
      </c>
      <c r="G54" s="301">
        <f t="shared" si="8"/>
        <v>384520.43514220649</v>
      </c>
      <c r="H54" s="301">
        <f t="shared" si="2"/>
        <v>502997.73398222262</v>
      </c>
      <c r="I54" s="181">
        <f t="shared" si="12"/>
        <v>0.76445758929760221</v>
      </c>
    </row>
    <row r="55" spans="1:9">
      <c r="A55" s="328" t="s">
        <v>1593</v>
      </c>
      <c r="B55" s="181">
        <v>339.39393939393898</v>
      </c>
      <c r="C55" s="301"/>
      <c r="D55" s="301">
        <v>29725.4578764416</v>
      </c>
      <c r="E55" s="301">
        <v>243466.534759214</v>
      </c>
      <c r="F55" s="301">
        <f t="shared" si="7"/>
        <v>121874.37729341055</v>
      </c>
      <c r="G55" s="301">
        <f t="shared" si="8"/>
        <v>365199.80213882099</v>
      </c>
      <c r="H55" s="301">
        <f t="shared" si="2"/>
        <v>487074.17943223153</v>
      </c>
      <c r="I55" s="181">
        <f t="shared" si="12"/>
        <v>0.74978271803388141</v>
      </c>
    </row>
    <row r="56" spans="1:9">
      <c r="A56" s="328" t="s">
        <v>1593</v>
      </c>
      <c r="B56" s="181">
        <v>390.08264462809899</v>
      </c>
      <c r="D56" s="301"/>
      <c r="E56" s="301">
        <v>219236.60686883601</v>
      </c>
      <c r="F56" s="301"/>
      <c r="G56" s="301"/>
      <c r="H56" s="301"/>
    </row>
    <row r="57" spans="1:9">
      <c r="A57" s="328" t="s">
        <v>1593</v>
      </c>
      <c r="B57" s="181">
        <v>438.56749311294698</v>
      </c>
      <c r="C57" s="301"/>
      <c r="D57" s="301">
        <v>31454.5215892821</v>
      </c>
      <c r="E57" s="301">
        <v>475214.58293034398</v>
      </c>
      <c r="F57" s="301">
        <f t="shared" si="7"/>
        <v>128963.53851605659</v>
      </c>
      <c r="G57" s="301">
        <f t="shared" si="8"/>
        <v>712821.874395516</v>
      </c>
      <c r="H57" s="301">
        <f t="shared" si="2"/>
        <v>841785.41291157261</v>
      </c>
      <c r="I57" s="181">
        <f t="shared" si="12"/>
        <v>0.84679760834771811</v>
      </c>
    </row>
    <row r="58" spans="1:9">
      <c r="A58" s="328" t="s">
        <v>1593</v>
      </c>
      <c r="B58" s="181">
        <v>489.25619834710699</v>
      </c>
      <c r="D58" s="301"/>
      <c r="E58" s="301">
        <v>132645.65741439399</v>
      </c>
      <c r="F58" s="301"/>
      <c r="H58" s="301"/>
    </row>
    <row r="59" spans="1:9">
      <c r="D59" s="301"/>
      <c r="E59" s="301"/>
      <c r="F59" s="301"/>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7" sqref="C7"/>
    </sheetView>
  </sheetViews>
  <sheetFormatPr baseColWidth="10" defaultRowHeight="13" x14ac:dyDescent="0"/>
  <sheetData>
    <row r="1" spans="1:4">
      <c r="A1" t="s">
        <v>1581</v>
      </c>
    </row>
    <row r="2" spans="1:4" s="43" customFormat="1" ht="26">
      <c r="A2" s="43" t="s">
        <v>864</v>
      </c>
      <c r="B2" s="43" t="s">
        <v>1468</v>
      </c>
      <c r="C2" s="43" t="s">
        <v>1469</v>
      </c>
      <c r="D2" s="43" t="s">
        <v>1580</v>
      </c>
    </row>
    <row r="3" spans="1:4">
      <c r="A3">
        <v>1.3713080168776399</v>
      </c>
      <c r="B3" s="301">
        <v>1592885.2068425899</v>
      </c>
      <c r="C3" s="301"/>
      <c r="D3" s="301">
        <v>668954.878691416</v>
      </c>
    </row>
    <row r="4" spans="1:4">
      <c r="A4">
        <v>3.7974683544303698</v>
      </c>
      <c r="B4" s="301">
        <v>541023.12774690404</v>
      </c>
      <c r="C4" s="301">
        <v>4314402.26144375</v>
      </c>
      <c r="D4" s="301">
        <v>964110.880490746</v>
      </c>
    </row>
    <row r="5" spans="1:4">
      <c r="A5">
        <v>6.2236286919831203</v>
      </c>
      <c r="B5" s="301">
        <v>2388752.9326488902</v>
      </c>
      <c r="C5" s="301"/>
      <c r="D5" s="301">
        <v>517947.46792312001</v>
      </c>
    </row>
    <row r="6" spans="1:4">
      <c r="A6">
        <v>8.8607594936708907</v>
      </c>
      <c r="B6" s="301">
        <v>1834761.22999149</v>
      </c>
      <c r="C6" s="301">
        <v>2234633.7269165898</v>
      </c>
      <c r="D6" s="301">
        <v>4314402.2614437602</v>
      </c>
    </row>
    <row r="7" spans="1:4">
      <c r="A7">
        <v>10.2320675105485</v>
      </c>
      <c r="B7" s="301">
        <v>1184019.8142570399</v>
      </c>
      <c r="C7" s="301">
        <v>1668100.53720005</v>
      </c>
      <c r="D7" s="301">
        <v>10372250.954070499</v>
      </c>
    </row>
    <row r="8" spans="1:4">
      <c r="A8">
        <v>11.1814345991561</v>
      </c>
      <c r="B8" s="301">
        <v>834103.39710132196</v>
      </c>
      <c r="C8" s="301">
        <v>1441219.5967188601</v>
      </c>
      <c r="D8" s="301">
        <v>12451970.847350201</v>
      </c>
    </row>
    <row r="9" spans="1:4">
      <c r="A9">
        <v>12.8691983122362</v>
      </c>
      <c r="B9" s="301">
        <v>2180289.3178823199</v>
      </c>
      <c r="C9" s="301"/>
      <c r="D9" s="301">
        <v>1930697.7288832499</v>
      </c>
    </row>
    <row r="10" spans="1:4">
      <c r="A10">
        <v>13.6075949367088</v>
      </c>
      <c r="B10" s="301">
        <v>8089979.9323143903</v>
      </c>
      <c r="C10" s="301"/>
      <c r="D10" s="301">
        <v>372759.372031493</v>
      </c>
    </row>
    <row r="11" spans="1:4">
      <c r="A11">
        <v>14.8734177215189</v>
      </c>
      <c r="B11" s="301">
        <v>102068.752229897</v>
      </c>
      <c r="C11" s="301"/>
      <c r="D11" s="301">
        <v>1494869.13370923</v>
      </c>
    </row>
    <row r="12" spans="1:4">
      <c r="A12">
        <v>16.6666666666666</v>
      </c>
      <c r="B12" s="301">
        <v>1578745.9021228901</v>
      </c>
      <c r="C12" s="301"/>
      <c r="D12" s="301">
        <v>2586416.2052759598</v>
      </c>
    </row>
    <row r="13" spans="1:4">
      <c r="A13">
        <v>17.510548523206701</v>
      </c>
      <c r="B13" s="301">
        <v>506323.06218029099</v>
      </c>
      <c r="C13" s="301">
        <v>537228.11183240195</v>
      </c>
      <c r="D13" s="301">
        <v>3593813.6638046298</v>
      </c>
    </row>
    <row r="14" spans="1:4">
      <c r="A14">
        <v>19.092827004219401</v>
      </c>
      <c r="B14" s="301">
        <v>308203.281898716</v>
      </c>
      <c r="C14" s="301"/>
      <c r="D14" s="301">
        <v>1389495.4943731299</v>
      </c>
    </row>
    <row r="15" spans="1:4">
      <c r="A15">
        <v>20.042194092827</v>
      </c>
      <c r="B15" s="301">
        <v>217119.174302673</v>
      </c>
      <c r="C15" s="301"/>
      <c r="D15" s="301">
        <v>1157422.88059206</v>
      </c>
    </row>
    <row r="16" spans="1:4">
      <c r="A16">
        <v>27.848101265822699</v>
      </c>
      <c r="B16" s="301">
        <v>4747818.9725349899</v>
      </c>
      <c r="C16" s="301"/>
      <c r="D16" s="301"/>
    </row>
    <row r="17" spans="1:4">
      <c r="A17">
        <v>29.5358649789029</v>
      </c>
      <c r="B17" s="301">
        <v>80152.112080291496</v>
      </c>
      <c r="C17" s="301"/>
      <c r="D17" s="301">
        <v>268269.57952797198</v>
      </c>
    </row>
    <row r="18" spans="1:4">
      <c r="A18">
        <v>31.223628691983102</v>
      </c>
      <c r="B18" s="301">
        <v>80073.292959551502</v>
      </c>
      <c r="C18" s="301"/>
      <c r="D18" s="301"/>
    </row>
    <row r="19" spans="1:4">
      <c r="A19">
        <v>43.354430379746802</v>
      </c>
      <c r="B19" s="301">
        <v>919830.35853593901</v>
      </c>
      <c r="C19" s="301">
        <v>26826957.952797201</v>
      </c>
      <c r="D19" s="301">
        <v>249359.20049841501</v>
      </c>
    </row>
    <row r="20" spans="1:4">
      <c r="A20">
        <v>49.367088607594901</v>
      </c>
      <c r="B20" s="301">
        <v>79230.866934046004</v>
      </c>
      <c r="C20" s="301">
        <v>1441219.5967188501</v>
      </c>
      <c r="D20" s="301">
        <v>25864.162052759599</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H8" sqref="H8"/>
    </sheetView>
  </sheetViews>
  <sheetFormatPr baseColWidth="10" defaultRowHeight="13" x14ac:dyDescent="0"/>
  <cols>
    <col min="1" max="1" width="31.140625" style="299" customWidth="1"/>
    <col min="5" max="5" width="12" bestFit="1" customWidth="1"/>
  </cols>
  <sheetData>
    <row r="1" spans="1:14" s="43" customFormat="1" ht="91">
      <c r="B1" s="43" t="s">
        <v>351</v>
      </c>
      <c r="E1" s="43" t="s">
        <v>352</v>
      </c>
      <c r="H1" s="43" t="s">
        <v>354</v>
      </c>
      <c r="K1" s="43" t="s">
        <v>355</v>
      </c>
    </row>
    <row r="2" spans="1:14">
      <c r="A2" s="299" t="s">
        <v>312</v>
      </c>
      <c r="B2" s="288" t="s">
        <v>460</v>
      </c>
      <c r="C2" t="s">
        <v>310</v>
      </c>
      <c r="D2" t="s">
        <v>311</v>
      </c>
      <c r="E2" s="288" t="s">
        <v>460</v>
      </c>
      <c r="F2" s="299" t="s">
        <v>310</v>
      </c>
      <c r="G2" s="299" t="s">
        <v>311</v>
      </c>
      <c r="H2" s="288" t="s">
        <v>460</v>
      </c>
      <c r="I2" s="299" t="s">
        <v>310</v>
      </c>
      <c r="J2" s="299" t="s">
        <v>311</v>
      </c>
      <c r="K2" s="288" t="s">
        <v>460</v>
      </c>
      <c r="L2" s="299" t="s">
        <v>310</v>
      </c>
      <c r="M2" s="299" t="s">
        <v>311</v>
      </c>
      <c r="N2" t="s">
        <v>446</v>
      </c>
    </row>
    <row r="3" spans="1:14">
      <c r="A3" s="299" t="s">
        <v>313</v>
      </c>
      <c r="B3">
        <v>3790</v>
      </c>
      <c r="C3">
        <v>3</v>
      </c>
      <c r="D3">
        <v>1330</v>
      </c>
      <c r="E3" s="301">
        <f>B3*10^7</f>
        <v>37900000000</v>
      </c>
      <c r="F3" s="301">
        <f>C3*10^7</f>
        <v>30000000</v>
      </c>
      <c r="G3" s="301">
        <f>D3*10^7</f>
        <v>13300000000</v>
      </c>
      <c r="H3" s="301">
        <f>E3*0.1</f>
        <v>3790000000</v>
      </c>
      <c r="I3" s="301">
        <f>F3*0.1</f>
        <v>3000000</v>
      </c>
      <c r="J3" s="301">
        <f>G3*0.1</f>
        <v>1330000000</v>
      </c>
      <c r="K3" s="301">
        <f>H3/$B$14</f>
        <v>3295652173.9130435</v>
      </c>
      <c r="L3" s="301">
        <f>I3/$B$14</f>
        <v>2608695.6521739131</v>
      </c>
      <c r="M3" s="301">
        <f>J3/$B$14</f>
        <v>1156521739.130435</v>
      </c>
      <c r="N3" t="s">
        <v>353</v>
      </c>
    </row>
    <row r="4" spans="1:14">
      <c r="A4" s="299" t="s">
        <v>314</v>
      </c>
      <c r="B4">
        <v>4100</v>
      </c>
      <c r="C4">
        <v>7</v>
      </c>
      <c r="D4">
        <v>1710</v>
      </c>
      <c r="E4" s="301">
        <f t="shared" ref="E4:E10" si="0">B4*10^7</f>
        <v>41000000000</v>
      </c>
      <c r="F4" s="301">
        <f t="shared" ref="F4:F10" si="1">C4*10^7</f>
        <v>70000000</v>
      </c>
      <c r="G4" s="301">
        <f t="shared" ref="G4:G10" si="2">D4*10^7</f>
        <v>17100000000</v>
      </c>
      <c r="H4" s="301">
        <f t="shared" ref="H4:H10" si="3">E4*0.1</f>
        <v>4100000000</v>
      </c>
      <c r="I4" s="301">
        <f t="shared" ref="I4:I10" si="4">F4*0.1</f>
        <v>7000000</v>
      </c>
      <c r="J4" s="301">
        <f t="shared" ref="J4:J10" si="5">G4*0.1</f>
        <v>1710000000</v>
      </c>
      <c r="K4" s="301">
        <f t="shared" ref="K4:K10" si="6">H4/$B$14</f>
        <v>3565217391.304348</v>
      </c>
      <c r="L4" s="301">
        <f t="shared" ref="L4:L10" si="7">I4/$B$14</f>
        <v>6086956.5217391308</v>
      </c>
      <c r="M4" s="301">
        <f t="shared" ref="M4:M10" si="8">J4/$B$14</f>
        <v>1486956521.7391305</v>
      </c>
      <c r="N4" s="299" t="s">
        <v>353</v>
      </c>
    </row>
    <row r="5" spans="1:14">
      <c r="A5" s="299" t="s">
        <v>315</v>
      </c>
      <c r="B5">
        <v>5280</v>
      </c>
      <c r="C5">
        <v>14</v>
      </c>
      <c r="D5">
        <v>1910</v>
      </c>
      <c r="E5" s="301">
        <f t="shared" si="0"/>
        <v>52800000000</v>
      </c>
      <c r="F5" s="301">
        <f t="shared" si="1"/>
        <v>140000000</v>
      </c>
      <c r="G5" s="301">
        <f t="shared" si="2"/>
        <v>19100000000</v>
      </c>
      <c r="H5" s="301">
        <f t="shared" si="3"/>
        <v>5280000000</v>
      </c>
      <c r="I5" s="301">
        <f t="shared" si="4"/>
        <v>14000000</v>
      </c>
      <c r="J5" s="301">
        <f t="shared" si="5"/>
        <v>1910000000</v>
      </c>
      <c r="K5" s="301">
        <f t="shared" si="6"/>
        <v>4591304347.826087</v>
      </c>
      <c r="L5" s="301">
        <f t="shared" si="7"/>
        <v>12173913.043478262</v>
      </c>
      <c r="M5" s="301">
        <f t="shared" si="8"/>
        <v>1660869565.2173915</v>
      </c>
      <c r="N5" s="299" t="s">
        <v>353</v>
      </c>
    </row>
    <row r="6" spans="1:14">
      <c r="A6" s="299" t="s">
        <v>441</v>
      </c>
      <c r="B6">
        <v>4480</v>
      </c>
      <c r="C6">
        <v>4</v>
      </c>
      <c r="D6">
        <v>1310</v>
      </c>
      <c r="E6" s="301">
        <f t="shared" si="0"/>
        <v>44800000000</v>
      </c>
      <c r="F6" s="301">
        <f t="shared" si="1"/>
        <v>40000000</v>
      </c>
      <c r="G6" s="301">
        <f t="shared" si="2"/>
        <v>13100000000</v>
      </c>
      <c r="H6" s="301">
        <f t="shared" si="3"/>
        <v>4480000000</v>
      </c>
      <c r="I6" s="301">
        <f t="shared" si="4"/>
        <v>4000000</v>
      </c>
      <c r="J6" s="301">
        <f t="shared" si="5"/>
        <v>1310000000</v>
      </c>
      <c r="K6" s="301">
        <f t="shared" si="6"/>
        <v>3895652173.913044</v>
      </c>
      <c r="L6" s="301">
        <f t="shared" si="7"/>
        <v>3478260.8695652178</v>
      </c>
      <c r="M6" s="301">
        <f t="shared" si="8"/>
        <v>1139130434.7826087</v>
      </c>
      <c r="N6" s="299" t="s">
        <v>353</v>
      </c>
    </row>
    <row r="7" spans="1:14">
      <c r="A7" s="299" t="s">
        <v>318</v>
      </c>
      <c r="B7">
        <v>3790</v>
      </c>
      <c r="C7">
        <v>3</v>
      </c>
      <c r="D7">
        <v>1330</v>
      </c>
      <c r="E7" s="301">
        <f t="shared" si="0"/>
        <v>37900000000</v>
      </c>
      <c r="F7" s="301">
        <f t="shared" si="1"/>
        <v>30000000</v>
      </c>
      <c r="G7" s="301">
        <f t="shared" si="2"/>
        <v>13300000000</v>
      </c>
      <c r="H7" s="301">
        <f t="shared" si="3"/>
        <v>3790000000</v>
      </c>
      <c r="I7" s="301">
        <f t="shared" si="4"/>
        <v>3000000</v>
      </c>
      <c r="J7" s="301">
        <f t="shared" si="5"/>
        <v>1330000000</v>
      </c>
      <c r="K7" s="301">
        <f t="shared" si="6"/>
        <v>3295652173.9130435</v>
      </c>
      <c r="L7" s="301">
        <f t="shared" si="7"/>
        <v>2608695.6521739131</v>
      </c>
      <c r="M7" s="301">
        <f t="shared" si="8"/>
        <v>1156521739.130435</v>
      </c>
      <c r="N7" s="299" t="s">
        <v>353</v>
      </c>
    </row>
    <row r="8" spans="1:14">
      <c r="A8" s="299" t="s">
        <v>319</v>
      </c>
      <c r="B8">
        <v>4700</v>
      </c>
      <c r="C8">
        <v>11</v>
      </c>
      <c r="D8">
        <v>2000</v>
      </c>
      <c r="E8" s="301">
        <f t="shared" si="0"/>
        <v>47000000000</v>
      </c>
      <c r="F8" s="301">
        <f t="shared" si="1"/>
        <v>110000000</v>
      </c>
      <c r="G8" s="301">
        <f t="shared" si="2"/>
        <v>20000000000</v>
      </c>
      <c r="H8" s="301">
        <f t="shared" si="3"/>
        <v>4700000000</v>
      </c>
      <c r="I8" s="301">
        <f t="shared" si="4"/>
        <v>11000000</v>
      </c>
      <c r="J8" s="301">
        <f t="shared" si="5"/>
        <v>2000000000</v>
      </c>
      <c r="K8" s="301">
        <f t="shared" si="6"/>
        <v>4086956521.739131</v>
      </c>
      <c r="L8" s="301">
        <f t="shared" si="7"/>
        <v>9565217.3913043477</v>
      </c>
      <c r="M8" s="301">
        <f t="shared" si="8"/>
        <v>1739130434.7826087</v>
      </c>
      <c r="N8" s="299" t="s">
        <v>353</v>
      </c>
    </row>
    <row r="9" spans="1:14">
      <c r="A9" s="299" t="s">
        <v>349</v>
      </c>
      <c r="B9">
        <v>6030</v>
      </c>
      <c r="C9">
        <v>8</v>
      </c>
      <c r="D9">
        <v>1870</v>
      </c>
      <c r="E9" s="301">
        <f t="shared" si="0"/>
        <v>60300000000</v>
      </c>
      <c r="F9" s="301">
        <f t="shared" si="1"/>
        <v>80000000</v>
      </c>
      <c r="G9" s="301">
        <f t="shared" si="2"/>
        <v>18700000000</v>
      </c>
      <c r="H9" s="301">
        <f t="shared" si="3"/>
        <v>6030000000</v>
      </c>
      <c r="I9" s="301">
        <f t="shared" si="4"/>
        <v>8000000</v>
      </c>
      <c r="J9" s="301">
        <f t="shared" si="5"/>
        <v>1870000000</v>
      </c>
      <c r="K9" s="301">
        <f t="shared" si="6"/>
        <v>5243478260.869566</v>
      </c>
      <c r="L9" s="301">
        <f t="shared" si="7"/>
        <v>6956521.7391304355</v>
      </c>
      <c r="M9" s="301">
        <f t="shared" si="8"/>
        <v>1626086956.5217392</v>
      </c>
      <c r="N9" s="299" t="s">
        <v>353</v>
      </c>
    </row>
    <row r="10" spans="1:14">
      <c r="A10" s="299" t="s">
        <v>350</v>
      </c>
      <c r="B10">
        <v>4060</v>
      </c>
      <c r="C10">
        <v>8</v>
      </c>
      <c r="D10">
        <v>1090</v>
      </c>
      <c r="E10" s="301">
        <f t="shared" si="0"/>
        <v>40600000000</v>
      </c>
      <c r="F10" s="301">
        <f t="shared" si="1"/>
        <v>80000000</v>
      </c>
      <c r="G10" s="301">
        <f t="shared" si="2"/>
        <v>10900000000</v>
      </c>
      <c r="H10" s="301">
        <f t="shared" si="3"/>
        <v>4060000000</v>
      </c>
      <c r="I10" s="301">
        <f t="shared" si="4"/>
        <v>8000000</v>
      </c>
      <c r="J10" s="301">
        <f t="shared" si="5"/>
        <v>1090000000</v>
      </c>
      <c r="K10" s="301">
        <f t="shared" si="6"/>
        <v>3530434782.608696</v>
      </c>
      <c r="L10" s="301">
        <f t="shared" si="7"/>
        <v>6956521.7391304355</v>
      </c>
      <c r="M10" s="301">
        <f t="shared" si="8"/>
        <v>947826086.95652187</v>
      </c>
      <c r="N10" s="299" t="s">
        <v>353</v>
      </c>
    </row>
    <row r="13" spans="1:14">
      <c r="B13" s="299" t="s">
        <v>356</v>
      </c>
      <c r="C13" s="299"/>
    </row>
    <row r="14" spans="1:14">
      <c r="B14" s="299">
        <f>2.5*0.1+0.9</f>
        <v>1.1499999999999999</v>
      </c>
      <c r="C14" s="299"/>
    </row>
    <row r="15" spans="1:14">
      <c r="B15" s="299"/>
      <c r="C15" s="299" t="s">
        <v>576</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7" sqref="D7"/>
    </sheetView>
  </sheetViews>
  <sheetFormatPr baseColWidth="10" defaultRowHeight="13" x14ac:dyDescent="0"/>
  <cols>
    <col min="1" max="1" width="19.85546875" customWidth="1"/>
    <col min="2" max="2" width="19.85546875" style="299" customWidth="1"/>
    <col min="4" max="4" width="10.7109375" style="304"/>
    <col min="5" max="5" width="19.28515625" customWidth="1"/>
  </cols>
  <sheetData>
    <row r="1" spans="1:5">
      <c r="A1" t="s">
        <v>360</v>
      </c>
    </row>
    <row r="2" spans="1:5" s="304" customFormat="1">
      <c r="A2" s="304" t="s">
        <v>163</v>
      </c>
    </row>
    <row r="3" spans="1:5" s="43" customFormat="1">
      <c r="B3" s="43" t="s">
        <v>362</v>
      </c>
      <c r="C3" s="43" t="s">
        <v>905</v>
      </c>
      <c r="D3" s="43" t="s">
        <v>317</v>
      </c>
      <c r="E3" s="43" t="s">
        <v>366</v>
      </c>
    </row>
    <row r="4" spans="1:5">
      <c r="A4" t="s">
        <v>361</v>
      </c>
      <c r="B4" s="299" t="s">
        <v>363</v>
      </c>
      <c r="C4">
        <v>0.25</v>
      </c>
      <c r="D4" s="304">
        <f t="shared" ref="D4:D9" si="0">C4*0.01</f>
        <v>2.5000000000000001E-3</v>
      </c>
      <c r="E4">
        <v>0.61</v>
      </c>
    </row>
    <row r="5" spans="1:5">
      <c r="A5" s="299" t="s">
        <v>361</v>
      </c>
      <c r="B5" s="299" t="s">
        <v>364</v>
      </c>
      <c r="C5">
        <v>0.25</v>
      </c>
      <c r="D5" s="304">
        <f t="shared" si="0"/>
        <v>2.5000000000000001E-3</v>
      </c>
      <c r="E5">
        <v>0.51</v>
      </c>
    </row>
    <row r="6" spans="1:5">
      <c r="A6" s="299" t="s">
        <v>361</v>
      </c>
      <c r="B6" s="299" t="s">
        <v>365</v>
      </c>
      <c r="C6">
        <v>0.25</v>
      </c>
      <c r="D6" s="304">
        <f t="shared" si="0"/>
        <v>2.5000000000000001E-3</v>
      </c>
      <c r="E6">
        <v>0.65</v>
      </c>
    </row>
    <row r="7" spans="1:5">
      <c r="A7" s="299" t="s">
        <v>361</v>
      </c>
      <c r="B7" s="299" t="s">
        <v>363</v>
      </c>
      <c r="C7">
        <v>9.5</v>
      </c>
      <c r="D7" s="304">
        <f t="shared" si="0"/>
        <v>9.5000000000000001E-2</v>
      </c>
      <c r="E7">
        <v>0.51</v>
      </c>
    </row>
    <row r="8" spans="1:5">
      <c r="A8" s="299" t="s">
        <v>361</v>
      </c>
      <c r="B8" s="299" t="s">
        <v>364</v>
      </c>
      <c r="C8">
        <v>9.5</v>
      </c>
      <c r="D8" s="304">
        <f t="shared" si="0"/>
        <v>9.5000000000000001E-2</v>
      </c>
      <c r="E8">
        <v>0.54</v>
      </c>
    </row>
    <row r="9" spans="1:5">
      <c r="A9" s="299" t="s">
        <v>361</v>
      </c>
      <c r="B9" s="299" t="s">
        <v>365</v>
      </c>
      <c r="C9">
        <v>9.5</v>
      </c>
      <c r="D9" s="304">
        <f t="shared" si="0"/>
        <v>9.5000000000000001E-2</v>
      </c>
      <c r="E9">
        <v>0.13</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G9" sqref="G9"/>
    </sheetView>
  </sheetViews>
  <sheetFormatPr baseColWidth="10" defaultRowHeight="13" x14ac:dyDescent="0"/>
  <cols>
    <col min="2" max="2" width="11.5703125" customWidth="1"/>
    <col min="3" max="4" width="14.42578125" customWidth="1"/>
    <col min="5" max="5" width="11.42578125" customWidth="1"/>
  </cols>
  <sheetData>
    <row r="1" spans="1:9">
      <c r="A1" s="149" t="s">
        <v>756</v>
      </c>
    </row>
    <row r="2" spans="1:9">
      <c r="A2" t="s">
        <v>253</v>
      </c>
    </row>
    <row r="3" spans="1:9">
      <c r="A3" t="s">
        <v>259</v>
      </c>
    </row>
    <row r="4" spans="1:9">
      <c r="C4" s="149"/>
    </row>
    <row r="5" spans="1:9">
      <c r="C5" s="149"/>
      <c r="D5" s="149" t="s">
        <v>791</v>
      </c>
      <c r="E5" s="149" t="s">
        <v>791</v>
      </c>
      <c r="F5" s="149" t="s">
        <v>791</v>
      </c>
      <c r="G5" s="303" t="s">
        <v>1239</v>
      </c>
      <c r="H5" s="303" t="s">
        <v>1239</v>
      </c>
      <c r="I5" s="303" t="s">
        <v>1239</v>
      </c>
    </row>
    <row r="6" spans="1:9" s="43" customFormat="1" ht="52">
      <c r="B6" s="43" t="s">
        <v>864</v>
      </c>
      <c r="C6" s="329" t="s">
        <v>258</v>
      </c>
      <c r="D6" s="300" t="s">
        <v>1261</v>
      </c>
      <c r="E6" s="43" t="s">
        <v>902</v>
      </c>
      <c r="F6" s="43" t="s">
        <v>798</v>
      </c>
      <c r="G6" s="43" t="s">
        <v>85</v>
      </c>
      <c r="H6" s="43" t="s">
        <v>233</v>
      </c>
      <c r="I6" s="43" t="s">
        <v>86</v>
      </c>
    </row>
    <row r="7" spans="1:9">
      <c r="A7" s="149" t="s">
        <v>254</v>
      </c>
      <c r="B7">
        <v>0.01</v>
      </c>
      <c r="C7" s="330">
        <v>253000000</v>
      </c>
      <c r="D7" s="148">
        <v>137000000</v>
      </c>
      <c r="E7" s="148">
        <v>43000000</v>
      </c>
      <c r="F7" s="148">
        <v>12700000</v>
      </c>
      <c r="G7" s="301">
        <f t="shared" ref="G7:I10" si="0">C7/1.3</f>
        <v>194615384.61538461</v>
      </c>
      <c r="H7" s="301">
        <f t="shared" si="0"/>
        <v>105384615.38461538</v>
      </c>
      <c r="I7" s="301">
        <f t="shared" si="0"/>
        <v>33076923.076923076</v>
      </c>
    </row>
    <row r="8" spans="1:9">
      <c r="A8" t="s">
        <v>255</v>
      </c>
      <c r="B8" s="149">
        <v>0.01</v>
      </c>
      <c r="C8" s="330">
        <v>178000000</v>
      </c>
      <c r="D8" s="148">
        <v>139000000</v>
      </c>
      <c r="E8" s="148">
        <v>13400000</v>
      </c>
      <c r="F8" s="148">
        <v>3350000</v>
      </c>
      <c r="G8" s="301">
        <f>C8/1.3</f>
        <v>136923076.92307693</v>
      </c>
      <c r="H8" s="301">
        <f t="shared" si="0"/>
        <v>106923076.92307691</v>
      </c>
      <c r="I8" s="301">
        <f t="shared" si="0"/>
        <v>10307692.307692308</v>
      </c>
    </row>
    <row r="9" spans="1:9">
      <c r="A9" t="s">
        <v>256</v>
      </c>
      <c r="B9" s="149">
        <v>0.01</v>
      </c>
      <c r="C9" s="330">
        <v>279000000</v>
      </c>
      <c r="D9" s="148">
        <v>207000000</v>
      </c>
      <c r="E9" s="148">
        <v>18100000</v>
      </c>
      <c r="F9" s="148">
        <v>5360000</v>
      </c>
      <c r="G9" s="301">
        <f t="shared" si="0"/>
        <v>214615384.61538461</v>
      </c>
      <c r="H9" s="301">
        <f t="shared" si="0"/>
        <v>159230769.23076922</v>
      </c>
      <c r="I9" s="301">
        <f t="shared" si="0"/>
        <v>13923076.923076922</v>
      </c>
    </row>
    <row r="10" spans="1:9">
      <c r="A10" s="303" t="s">
        <v>257</v>
      </c>
      <c r="B10" s="149">
        <v>0.01</v>
      </c>
      <c r="C10" s="330">
        <v>221000000</v>
      </c>
      <c r="D10" s="148">
        <v>149000000</v>
      </c>
      <c r="E10" s="148">
        <v>17300000</v>
      </c>
      <c r="F10" s="148">
        <v>11600000</v>
      </c>
      <c r="G10" s="301">
        <f t="shared" si="0"/>
        <v>170000000</v>
      </c>
      <c r="H10" s="301">
        <f t="shared" si="0"/>
        <v>114615384.61538461</v>
      </c>
      <c r="I10" s="301">
        <f t="shared" si="0"/>
        <v>13307692.307692308</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F10" sqref="F10"/>
    </sheetView>
  </sheetViews>
  <sheetFormatPr baseColWidth="10" defaultRowHeight="13" x14ac:dyDescent="0"/>
  <cols>
    <col min="2" max="2" width="10.7109375" style="126"/>
    <col min="3" max="3" width="14.85546875" customWidth="1"/>
    <col min="4" max="5" width="14.85546875" style="136" customWidth="1"/>
    <col min="6" max="6" width="14.85546875" customWidth="1"/>
    <col min="7" max="8" width="14.85546875" style="136" customWidth="1"/>
    <col min="9" max="9" width="15.7109375" customWidth="1"/>
    <col min="10" max="10" width="15.7109375" style="136" customWidth="1"/>
    <col min="12" max="14" width="10.7109375" style="136"/>
  </cols>
  <sheetData>
    <row r="1" spans="1:16">
      <c r="A1" s="126" t="s">
        <v>421</v>
      </c>
    </row>
    <row r="2" spans="1:16">
      <c r="A2" s="128"/>
      <c r="B2" s="128"/>
      <c r="C2" s="128" t="s">
        <v>807</v>
      </c>
      <c r="D2" s="137"/>
      <c r="E2" s="137"/>
      <c r="F2" s="128" t="s">
        <v>839</v>
      </c>
      <c r="G2" s="137"/>
      <c r="H2" s="137"/>
      <c r="I2" s="128" t="s">
        <v>617</v>
      </c>
      <c r="J2" s="137"/>
      <c r="K2" s="128" t="s">
        <v>804</v>
      </c>
    </row>
    <row r="3" spans="1:16" s="43" customFormat="1" ht="39">
      <c r="A3" s="265" t="s">
        <v>689</v>
      </c>
      <c r="B3" s="266" t="s">
        <v>1028</v>
      </c>
      <c r="C3" s="265" t="s">
        <v>690</v>
      </c>
      <c r="D3" s="269" t="s">
        <v>1014</v>
      </c>
      <c r="E3" s="290" t="s">
        <v>424</v>
      </c>
      <c r="F3" s="265" t="s">
        <v>691</v>
      </c>
      <c r="G3" s="269" t="s">
        <v>1012</v>
      </c>
      <c r="H3" s="290" t="s">
        <v>425</v>
      </c>
      <c r="I3" s="265" t="s">
        <v>869</v>
      </c>
      <c r="J3" s="269" t="s">
        <v>874</v>
      </c>
      <c r="K3" s="265" t="s">
        <v>914</v>
      </c>
      <c r="L3" s="262" t="s">
        <v>915</v>
      </c>
      <c r="M3" s="233" t="s">
        <v>916</v>
      </c>
      <c r="N3" s="262" t="s">
        <v>439</v>
      </c>
      <c r="O3" s="265" t="s">
        <v>1099</v>
      </c>
      <c r="P3" s="265" t="s">
        <v>844</v>
      </c>
    </row>
    <row r="4" spans="1:16">
      <c r="A4">
        <v>0.1</v>
      </c>
      <c r="B4" s="32">
        <f>(225*A4)/8</f>
        <v>2.8125</v>
      </c>
      <c r="E4" s="138"/>
      <c r="H4" s="138"/>
      <c r="I4">
        <v>5.5</v>
      </c>
      <c r="J4" s="136">
        <f>9306.6*EXP(2.065*I4)</f>
        <v>796692312.28694689</v>
      </c>
      <c r="M4" s="138"/>
      <c r="N4" s="181">
        <v>26.946803869742599</v>
      </c>
      <c r="O4" s="129"/>
    </row>
    <row r="5" spans="1:16">
      <c r="A5">
        <v>0.3</v>
      </c>
      <c r="B5" s="32">
        <f t="shared" ref="B5:B35" si="0">(225*A5)/8</f>
        <v>8.4375</v>
      </c>
      <c r="C5">
        <v>2.5</v>
      </c>
      <c r="D5" s="136">
        <f>9306.6*EXP(2.065*C5)</f>
        <v>1624936.189311171</v>
      </c>
      <c r="E5" s="138">
        <f>(D5*1.5)</f>
        <v>2437404.2839667564</v>
      </c>
      <c r="H5" s="138"/>
      <c r="K5">
        <v>5.3</v>
      </c>
      <c r="L5" s="136">
        <f>9306.6*EXP(2.065*K5)</f>
        <v>527141254.05917823</v>
      </c>
      <c r="M5" s="138">
        <f>L5/2</f>
        <v>263570627.02958912</v>
      </c>
      <c r="N5" s="181">
        <v>21.804511278195399</v>
      </c>
      <c r="O5" s="129">
        <v>100000</v>
      </c>
      <c r="P5">
        <v>1.1499999999999999</v>
      </c>
    </row>
    <row r="6" spans="1:16">
      <c r="A6">
        <v>0.35</v>
      </c>
      <c r="B6" s="32">
        <f t="shared" si="0"/>
        <v>9.84375</v>
      </c>
      <c r="E6" s="138"/>
      <c r="H6" s="138"/>
      <c r="I6">
        <v>4.7</v>
      </c>
      <c r="J6" s="136">
        <f>9306.6*EXP(2.065*I6)</f>
        <v>152698982.20748571</v>
      </c>
      <c r="M6" s="138"/>
      <c r="N6" s="181">
        <v>15.8556801560214</v>
      </c>
      <c r="O6" s="129">
        <v>1000000</v>
      </c>
      <c r="P6">
        <v>2.25</v>
      </c>
    </row>
    <row r="7" spans="1:16">
      <c r="A7">
        <v>0.4</v>
      </c>
      <c r="B7" s="32">
        <f t="shared" si="0"/>
        <v>11.25</v>
      </c>
      <c r="C7">
        <v>1.3</v>
      </c>
      <c r="D7" s="136">
        <f t="shared" ref="D7:D32" si="1">9306.6*EXP(2.065*C7)</f>
        <v>136349.82500648053</v>
      </c>
      <c r="E7" s="221">
        <f>(D7*1.5)</f>
        <v>204524.73750972078</v>
      </c>
      <c r="F7">
        <v>2.7</v>
      </c>
      <c r="G7" s="136">
        <f>9306.6*EXP(2.065*F7)</f>
        <v>2455839.2271755775</v>
      </c>
      <c r="H7" s="138">
        <f>(G7*4.1)</f>
        <v>10068940.831419867</v>
      </c>
      <c r="I7">
        <v>4.7</v>
      </c>
      <c r="J7" s="136">
        <f t="shared" ref="J7:J35" si="2">9306.6*EXP(2.065*I7)</f>
        <v>152698982.20748571</v>
      </c>
      <c r="K7">
        <v>4.3499999999999996</v>
      </c>
      <c r="L7" s="136">
        <f t="shared" ref="L7:L34" si="3">9306.6*EXP(2.065*K7)</f>
        <v>74122456.78349483</v>
      </c>
      <c r="M7" s="138">
        <f t="shared" ref="M7:M34" si="4">L7/2</f>
        <v>37061228.391747415</v>
      </c>
      <c r="N7" s="181">
        <v>12.961584849495701</v>
      </c>
      <c r="O7" s="129">
        <v>10000000</v>
      </c>
      <c r="P7">
        <v>3.4</v>
      </c>
    </row>
    <row r="8" spans="1:16">
      <c r="A8">
        <v>0.75</v>
      </c>
      <c r="B8" s="32">
        <f t="shared" si="0"/>
        <v>21.09375</v>
      </c>
      <c r="E8" s="138"/>
      <c r="H8" s="138"/>
      <c r="I8">
        <v>5.2</v>
      </c>
      <c r="J8" s="136">
        <f t="shared" si="2"/>
        <v>428790539.54909134</v>
      </c>
      <c r="M8" s="138"/>
      <c r="N8" s="181">
        <v>9.42338782108855</v>
      </c>
      <c r="O8" s="129">
        <v>100000000</v>
      </c>
      <c r="P8">
        <v>4.5</v>
      </c>
    </row>
    <row r="9" spans="1:16">
      <c r="A9">
        <v>1.2</v>
      </c>
      <c r="B9" s="32">
        <f t="shared" si="0"/>
        <v>33.75</v>
      </c>
      <c r="E9" s="138"/>
      <c r="H9" s="138"/>
      <c r="I9">
        <v>5</v>
      </c>
      <c r="J9" s="136">
        <f t="shared" si="2"/>
        <v>283714527.2530365</v>
      </c>
      <c r="M9" s="138"/>
      <c r="N9" s="181">
        <v>7.7346095614462698</v>
      </c>
      <c r="O9" s="129">
        <v>1000000000</v>
      </c>
      <c r="P9">
        <v>5.6</v>
      </c>
    </row>
    <row r="10" spans="1:16" s="126" customFormat="1">
      <c r="A10" s="126">
        <v>1.4</v>
      </c>
      <c r="B10" s="32">
        <f t="shared" si="0"/>
        <v>39.375</v>
      </c>
      <c r="D10" s="136"/>
      <c r="E10" s="138"/>
      <c r="G10" s="136"/>
      <c r="H10" s="138"/>
      <c r="I10" s="126">
        <v>4.8</v>
      </c>
      <c r="J10" s="136">
        <f t="shared" si="2"/>
        <v>187723201.7736679</v>
      </c>
      <c r="L10" s="136"/>
      <c r="M10" s="138"/>
      <c r="N10" s="181">
        <v>4.1140393646231601</v>
      </c>
    </row>
    <row r="11" spans="1:16">
      <c r="A11">
        <v>1.3</v>
      </c>
      <c r="B11" s="32">
        <f t="shared" si="0"/>
        <v>36.5625</v>
      </c>
      <c r="C11">
        <v>2.1</v>
      </c>
      <c r="D11" s="136">
        <f t="shared" si="1"/>
        <v>711392.15071342082</v>
      </c>
      <c r="E11" s="221">
        <f>(D11*1.5)</f>
        <v>1067088.2260701312</v>
      </c>
      <c r="F11">
        <v>0.9</v>
      </c>
      <c r="G11" s="136">
        <f t="shared" ref="G11:G34" si="5">9306.6*EXP(2.065*F11)</f>
        <v>59693.541136453707</v>
      </c>
      <c r="H11" s="221">
        <f>(G11*4.1)</f>
        <v>244743.51865946018</v>
      </c>
      <c r="K11">
        <v>5.0999999999999996</v>
      </c>
      <c r="L11" s="136">
        <f t="shared" si="3"/>
        <v>348789485.53353059</v>
      </c>
      <c r="M11" s="138">
        <f t="shared" si="4"/>
        <v>174394742.7667653</v>
      </c>
      <c r="N11" s="181">
        <v>2.98724627267827</v>
      </c>
    </row>
    <row r="12" spans="1:16">
      <c r="A12">
        <v>1.9</v>
      </c>
      <c r="B12" s="32">
        <f t="shared" si="0"/>
        <v>53.4375</v>
      </c>
      <c r="C12">
        <v>2.25</v>
      </c>
      <c r="D12" s="136">
        <f t="shared" si="1"/>
        <v>969687.47210589598</v>
      </c>
      <c r="E12" s="221">
        <f>(D12*1.5)</f>
        <v>1454531.2081588439</v>
      </c>
      <c r="F12">
        <v>1.7</v>
      </c>
      <c r="G12" s="136">
        <f t="shared" si="5"/>
        <v>311445.33270023286</v>
      </c>
      <c r="H12" s="221">
        <f>(G12*4.1)</f>
        <v>1276925.8640709545</v>
      </c>
      <c r="K12">
        <v>4.95</v>
      </c>
      <c r="L12" s="136">
        <f t="shared" si="3"/>
        <v>255882549.16923288</v>
      </c>
      <c r="M12" s="138">
        <f t="shared" si="4"/>
        <v>127941274.58461644</v>
      </c>
      <c r="N12" s="181">
        <v>3.1445507967871902</v>
      </c>
    </row>
    <row r="13" spans="1:16">
      <c r="A13">
        <v>2</v>
      </c>
      <c r="B13" s="32">
        <f t="shared" si="0"/>
        <v>56.25</v>
      </c>
      <c r="E13" s="138"/>
      <c r="H13" s="138"/>
      <c r="I13">
        <v>5.4</v>
      </c>
      <c r="J13" s="136">
        <f t="shared" si="2"/>
        <v>648050449.11507285</v>
      </c>
      <c r="M13" s="138"/>
      <c r="N13" s="181">
        <v>0.80576868793143597</v>
      </c>
    </row>
    <row r="14" spans="1:16">
      <c r="A14">
        <v>2.4</v>
      </c>
      <c r="B14" s="32">
        <f t="shared" si="0"/>
        <v>67.5</v>
      </c>
      <c r="E14" s="138"/>
      <c r="H14" s="138"/>
      <c r="I14">
        <v>5.2</v>
      </c>
      <c r="J14" s="136">
        <f t="shared" si="2"/>
        <v>428790539.54909134</v>
      </c>
      <c r="M14" s="138"/>
      <c r="N14" s="181">
        <v>0.80268931714952996</v>
      </c>
    </row>
    <row r="15" spans="1:16">
      <c r="A15">
        <v>2.75</v>
      </c>
      <c r="B15" s="32">
        <f t="shared" si="0"/>
        <v>77.34375</v>
      </c>
      <c r="C15">
        <v>2.2000000000000002</v>
      </c>
      <c r="D15" s="136">
        <f t="shared" si="1"/>
        <v>874562.55646236124</v>
      </c>
      <c r="E15" s="221">
        <f>(D15*1.5)</f>
        <v>1311843.8346935418</v>
      </c>
      <c r="F15">
        <v>3.3</v>
      </c>
      <c r="G15" s="136">
        <f t="shared" si="5"/>
        <v>8477948.9114210662</v>
      </c>
      <c r="H15" s="221">
        <f>(G15*4.1)</f>
        <v>34759590.536826365</v>
      </c>
      <c r="I15">
        <v>5.2</v>
      </c>
      <c r="J15" s="136">
        <f t="shared" si="2"/>
        <v>428790539.54909134</v>
      </c>
      <c r="K15">
        <v>4.7</v>
      </c>
      <c r="L15" s="136">
        <f t="shared" si="3"/>
        <v>152698982.20748571</v>
      </c>
      <c r="M15" s="138">
        <f t="shared" si="4"/>
        <v>76349491.103742853</v>
      </c>
      <c r="N15" s="181">
        <v>0.47678924273141199</v>
      </c>
    </row>
    <row r="16" spans="1:16">
      <c r="A16">
        <v>3</v>
      </c>
      <c r="B16" s="32">
        <f t="shared" si="0"/>
        <v>84.375</v>
      </c>
      <c r="E16" s="138"/>
      <c r="H16" s="138"/>
      <c r="I16">
        <v>5.0999999999999996</v>
      </c>
      <c r="J16" s="136">
        <f t="shared" si="2"/>
        <v>348789485.53353059</v>
      </c>
      <c r="M16" s="138"/>
      <c r="N16" s="181">
        <v>0.39082347506992499</v>
      </c>
    </row>
    <row r="17" spans="1:14">
      <c r="A17">
        <v>3.3</v>
      </c>
      <c r="B17" s="32">
        <f t="shared" si="0"/>
        <v>92.8125</v>
      </c>
      <c r="E17" s="138"/>
      <c r="H17" s="138"/>
      <c r="I17">
        <v>5.35</v>
      </c>
      <c r="J17" s="136">
        <f t="shared" si="2"/>
        <v>584477652.64390779</v>
      </c>
      <c r="M17" s="138"/>
      <c r="N17" s="181">
        <v>0.37901922040595598</v>
      </c>
    </row>
    <row r="18" spans="1:14">
      <c r="A18">
        <v>3.5</v>
      </c>
      <c r="B18" s="32">
        <f t="shared" si="0"/>
        <v>98.4375</v>
      </c>
      <c r="C18">
        <v>2.1</v>
      </c>
      <c r="D18" s="136">
        <f t="shared" si="1"/>
        <v>711392.15071342082</v>
      </c>
      <c r="E18" s="221">
        <f>(D18*1.5)</f>
        <v>1067088.2260701312</v>
      </c>
      <c r="F18">
        <v>1.4</v>
      </c>
      <c r="G18" s="136">
        <f t="shared" si="5"/>
        <v>167624.07542910983</v>
      </c>
      <c r="H18" s="221">
        <f>(G18*4.1)</f>
        <v>687258.7092593502</v>
      </c>
      <c r="K18">
        <v>4.8</v>
      </c>
      <c r="L18" s="136">
        <f t="shared" si="3"/>
        <v>187723201.7736679</v>
      </c>
      <c r="M18" s="138">
        <f t="shared" si="4"/>
        <v>93861600.886833951</v>
      </c>
      <c r="N18" s="181">
        <v>0.29484975236726602</v>
      </c>
    </row>
    <row r="19" spans="1:14">
      <c r="A19">
        <v>3.6</v>
      </c>
      <c r="B19" s="32">
        <f t="shared" si="0"/>
        <v>101.25</v>
      </c>
      <c r="E19" s="138"/>
      <c r="H19" s="138"/>
      <c r="I19">
        <v>5.5</v>
      </c>
      <c r="J19" s="136">
        <f t="shared" si="2"/>
        <v>796692312.28694689</v>
      </c>
      <c r="M19" s="138"/>
      <c r="N19" s="181">
        <v>0.84990633580539099</v>
      </c>
    </row>
    <row r="20" spans="1:14">
      <c r="A20">
        <v>4</v>
      </c>
      <c r="B20" s="32">
        <f t="shared" si="0"/>
        <v>112.5</v>
      </c>
      <c r="C20">
        <v>2.5</v>
      </c>
      <c r="D20" s="136">
        <f t="shared" si="1"/>
        <v>1624936.189311171</v>
      </c>
      <c r="E20" s="221">
        <f>(D20*1.5)</f>
        <v>2437404.2839667564</v>
      </c>
      <c r="F20">
        <v>2</v>
      </c>
      <c r="G20" s="136">
        <f t="shared" si="5"/>
        <v>578665.05758464488</v>
      </c>
      <c r="H20" s="221">
        <f>(G20*4.1)</f>
        <v>2372526.7360970438</v>
      </c>
      <c r="I20">
        <v>4.9000000000000004</v>
      </c>
      <c r="J20" s="136">
        <f t="shared" si="2"/>
        <v>230780847.22446695</v>
      </c>
      <c r="K20">
        <v>4.0999999999999996</v>
      </c>
      <c r="L20" s="136">
        <f t="shared" si="3"/>
        <v>44232886.323452815</v>
      </c>
      <c r="M20" s="138">
        <f t="shared" si="4"/>
        <v>22116443.161726408</v>
      </c>
      <c r="N20" s="181">
        <v>-5.7994816392501002E-2</v>
      </c>
    </row>
    <row r="21" spans="1:14">
      <c r="A21">
        <v>4.3</v>
      </c>
      <c r="B21" s="32">
        <f t="shared" si="0"/>
        <v>120.9375</v>
      </c>
      <c r="C21">
        <v>1.3</v>
      </c>
      <c r="D21" s="136">
        <f t="shared" si="1"/>
        <v>136349.82500648053</v>
      </c>
      <c r="E21" s="221">
        <f t="shared" ref="E21:E32" si="6">(D21*1.5)</f>
        <v>204524.73750972078</v>
      </c>
      <c r="F21">
        <v>0.6</v>
      </c>
      <c r="G21" s="136">
        <f t="shared" si="5"/>
        <v>32127.868333536626</v>
      </c>
      <c r="H21" s="221">
        <f t="shared" ref="H21:H34" si="7">(G21*4.1)</f>
        <v>131724.26016750015</v>
      </c>
      <c r="K21">
        <v>4.3499999999999996</v>
      </c>
      <c r="L21" s="136">
        <f t="shared" si="3"/>
        <v>74122456.78349483</v>
      </c>
      <c r="M21" s="138">
        <f t="shared" si="4"/>
        <v>37061228.391747415</v>
      </c>
      <c r="N21" s="181">
        <v>1.8607097949652101</v>
      </c>
    </row>
    <row r="22" spans="1:14">
      <c r="A22">
        <v>4.7</v>
      </c>
      <c r="B22" s="32">
        <f t="shared" si="0"/>
        <v>132.1875</v>
      </c>
      <c r="C22">
        <v>2</v>
      </c>
      <c r="D22" s="136">
        <f t="shared" si="1"/>
        <v>578665.05758464488</v>
      </c>
      <c r="E22" s="221">
        <f t="shared" si="6"/>
        <v>867997.58637696737</v>
      </c>
      <c r="F22">
        <v>1.85</v>
      </c>
      <c r="G22" s="136">
        <f t="shared" si="5"/>
        <v>424526.24345433485</v>
      </c>
      <c r="H22" s="221">
        <f t="shared" si="7"/>
        <v>1740557.5981627728</v>
      </c>
      <c r="I22">
        <v>4.0999999999999996</v>
      </c>
      <c r="J22" s="136">
        <f t="shared" si="2"/>
        <v>44232886.323452815</v>
      </c>
      <c r="M22" s="138"/>
      <c r="N22" s="181">
        <v>2.7362775539531401</v>
      </c>
    </row>
    <row r="23" spans="1:14">
      <c r="A23">
        <v>5</v>
      </c>
      <c r="B23" s="32">
        <f t="shared" si="0"/>
        <v>140.625</v>
      </c>
      <c r="C23">
        <v>1.4</v>
      </c>
      <c r="D23" s="136">
        <f t="shared" si="1"/>
        <v>167624.07542910983</v>
      </c>
      <c r="E23" s="221">
        <f t="shared" si="6"/>
        <v>251436.11314366473</v>
      </c>
      <c r="F23">
        <v>2.6</v>
      </c>
      <c r="G23" s="136">
        <f t="shared" si="5"/>
        <v>1997644.1213007821</v>
      </c>
      <c r="H23" s="221">
        <f t="shared" si="7"/>
        <v>8190340.8973332057</v>
      </c>
      <c r="K23">
        <v>3.9</v>
      </c>
      <c r="L23" s="136">
        <f t="shared" si="3"/>
        <v>29267232.540840495</v>
      </c>
      <c r="M23" s="138">
        <f t="shared" si="4"/>
        <v>14633616.270420248</v>
      </c>
      <c r="N23" s="181">
        <v>2.8094126100233701</v>
      </c>
    </row>
    <row r="24" spans="1:14">
      <c r="A24">
        <v>5.3</v>
      </c>
      <c r="B24" s="32">
        <f t="shared" si="0"/>
        <v>149.0625</v>
      </c>
      <c r="C24">
        <v>1.75</v>
      </c>
      <c r="D24" s="136">
        <f t="shared" si="1"/>
        <v>345320.79510342726</v>
      </c>
      <c r="E24" s="221">
        <f t="shared" si="6"/>
        <v>517981.19265514088</v>
      </c>
      <c r="F24">
        <v>3.5</v>
      </c>
      <c r="G24" s="136">
        <f t="shared" si="5"/>
        <v>12813105.917398747</v>
      </c>
      <c r="H24" s="221">
        <f t="shared" si="7"/>
        <v>52533734.261334859</v>
      </c>
      <c r="K24">
        <v>4</v>
      </c>
      <c r="L24" s="136">
        <f t="shared" si="3"/>
        <v>35980191.355536968</v>
      </c>
      <c r="M24" s="138">
        <f t="shared" si="4"/>
        <v>17990095.677768484</v>
      </c>
      <c r="N24" s="181">
        <v>4.0075444584156799</v>
      </c>
    </row>
    <row r="25" spans="1:14">
      <c r="A25">
        <v>5.8</v>
      </c>
      <c r="B25" s="32">
        <f t="shared" si="0"/>
        <v>163.125</v>
      </c>
      <c r="C25">
        <v>0.9</v>
      </c>
      <c r="D25" s="136">
        <f t="shared" si="1"/>
        <v>59693.541136453707</v>
      </c>
      <c r="E25" s="221">
        <f t="shared" si="6"/>
        <v>89540.311704680556</v>
      </c>
      <c r="F25">
        <v>2.7</v>
      </c>
      <c r="G25" s="136">
        <f t="shared" si="5"/>
        <v>2455839.2271755775</v>
      </c>
      <c r="H25" s="221">
        <f t="shared" si="7"/>
        <v>10068940.831419867</v>
      </c>
      <c r="K25">
        <v>4.5</v>
      </c>
      <c r="L25" s="136">
        <f t="shared" si="3"/>
        <v>101035157.15289396</v>
      </c>
      <c r="M25" s="138">
        <f t="shared" si="4"/>
        <v>50517578.57644698</v>
      </c>
      <c r="N25" s="181">
        <v>3.9233749903769599</v>
      </c>
    </row>
    <row r="26" spans="1:14">
      <c r="A26">
        <v>6</v>
      </c>
      <c r="B26" s="32">
        <f t="shared" si="0"/>
        <v>168.75</v>
      </c>
      <c r="C26">
        <v>1.5</v>
      </c>
      <c r="D26" s="136">
        <f t="shared" si="1"/>
        <v>206071.62981051486</v>
      </c>
      <c r="E26" s="221">
        <f t="shared" si="6"/>
        <v>309107.44471577229</v>
      </c>
      <c r="F26">
        <v>2.2999999999999998</v>
      </c>
      <c r="G26" s="136">
        <f t="shared" si="5"/>
        <v>1075158.9884692139</v>
      </c>
      <c r="H26" s="221">
        <f t="shared" si="7"/>
        <v>4408151.8527237764</v>
      </c>
      <c r="K26">
        <v>4.3</v>
      </c>
      <c r="L26" s="136">
        <f t="shared" si="3"/>
        <v>66851152.727654211</v>
      </c>
      <c r="M26" s="138">
        <f t="shared" si="4"/>
        <v>33425576.363827106</v>
      </c>
      <c r="N26" s="181">
        <v>5.1230465241602197</v>
      </c>
    </row>
    <row r="27" spans="1:14" s="126" customFormat="1">
      <c r="A27" s="126">
        <v>6.5</v>
      </c>
      <c r="B27" s="32">
        <f t="shared" si="0"/>
        <v>182.8125</v>
      </c>
      <c r="D27" s="136"/>
      <c r="E27" s="138"/>
      <c r="G27" s="136"/>
      <c r="H27" s="138"/>
      <c r="I27" s="126">
        <v>5.45</v>
      </c>
      <c r="J27" s="136">
        <f t="shared" si="2"/>
        <v>718537967.53134942</v>
      </c>
      <c r="L27" s="136"/>
      <c r="M27" s="138"/>
      <c r="N27" s="181">
        <v>9.9350765993482106</v>
      </c>
    </row>
    <row r="28" spans="1:14">
      <c r="A28">
        <v>6.6</v>
      </c>
      <c r="B28" s="32">
        <f t="shared" si="0"/>
        <v>185.625</v>
      </c>
      <c r="C28">
        <v>1.65</v>
      </c>
      <c r="D28" s="136">
        <f t="shared" si="1"/>
        <v>280893.00336432608</v>
      </c>
      <c r="E28" s="221">
        <f t="shared" si="6"/>
        <v>421339.50504648912</v>
      </c>
      <c r="F28">
        <v>1.1000000000000001</v>
      </c>
      <c r="G28" s="136">
        <f t="shared" si="5"/>
        <v>90217.536476965557</v>
      </c>
      <c r="H28" s="221">
        <f t="shared" si="7"/>
        <v>369891.89955555875</v>
      </c>
      <c r="I28">
        <v>5.2</v>
      </c>
      <c r="J28" s="136">
        <f t="shared" si="2"/>
        <v>428790539.54909134</v>
      </c>
      <c r="K28">
        <v>3.85</v>
      </c>
      <c r="L28" s="136">
        <f t="shared" si="3"/>
        <v>26396160.049287118</v>
      </c>
      <c r="M28" s="138">
        <f t="shared" si="4"/>
        <v>13198080.024643559</v>
      </c>
      <c r="N28" s="181">
        <v>6.9593779671020801</v>
      </c>
    </row>
    <row r="29" spans="1:14">
      <c r="A29">
        <v>6.7</v>
      </c>
      <c r="B29" s="32">
        <f t="shared" si="0"/>
        <v>188.4375</v>
      </c>
      <c r="E29" s="138"/>
      <c r="H29" s="138"/>
      <c r="I29">
        <v>4.8</v>
      </c>
      <c r="J29" s="136">
        <f t="shared" si="2"/>
        <v>187723201.7736679</v>
      </c>
      <c r="M29" s="138"/>
      <c r="N29" s="181">
        <v>6.3917472863045104</v>
      </c>
    </row>
    <row r="30" spans="1:14">
      <c r="A30">
        <v>8.5</v>
      </c>
      <c r="B30" s="32">
        <f t="shared" si="0"/>
        <v>239.0625</v>
      </c>
      <c r="C30">
        <v>2</v>
      </c>
      <c r="D30" s="136">
        <f t="shared" si="1"/>
        <v>578665.05758464488</v>
      </c>
      <c r="E30" s="221">
        <f t="shared" si="6"/>
        <v>867997.58637696737</v>
      </c>
      <c r="F30">
        <v>0.9</v>
      </c>
      <c r="G30" s="136">
        <f t="shared" si="5"/>
        <v>59693.541136453707</v>
      </c>
      <c r="H30" s="221">
        <f t="shared" si="7"/>
        <v>244743.51865946018</v>
      </c>
      <c r="I30">
        <v>4.0999999999999996</v>
      </c>
      <c r="J30" s="136">
        <f t="shared" si="2"/>
        <v>44232886.323452815</v>
      </c>
      <c r="K30">
        <v>3.65</v>
      </c>
      <c r="L30" s="136">
        <f t="shared" si="3"/>
        <v>17465343.516100563</v>
      </c>
      <c r="M30" s="138">
        <f t="shared" si="4"/>
        <v>8732671.7580502816</v>
      </c>
      <c r="N30" s="181">
        <v>13.4211809386948</v>
      </c>
    </row>
    <row r="31" spans="1:14">
      <c r="A31">
        <v>8.8000000000000007</v>
      </c>
      <c r="B31" s="32">
        <f t="shared" si="0"/>
        <v>247.50000000000003</v>
      </c>
      <c r="E31" s="138"/>
      <c r="H31" s="138"/>
      <c r="I31">
        <v>3.65</v>
      </c>
      <c r="J31" s="136">
        <f t="shared" si="2"/>
        <v>17465343.516100563</v>
      </c>
      <c r="M31" s="138"/>
      <c r="N31" s="181">
        <v>13.4973953655469</v>
      </c>
    </row>
    <row r="32" spans="1:14">
      <c r="A32">
        <v>9</v>
      </c>
      <c r="B32" s="32">
        <f t="shared" si="0"/>
        <v>253.125</v>
      </c>
      <c r="C32">
        <v>2.15</v>
      </c>
      <c r="D32" s="136">
        <f t="shared" si="1"/>
        <v>788769.25521675008</v>
      </c>
      <c r="E32" s="221">
        <f t="shared" si="6"/>
        <v>1183153.882825125</v>
      </c>
      <c r="F32">
        <v>1.6</v>
      </c>
      <c r="G32" s="136">
        <f t="shared" si="5"/>
        <v>253337.81262656991</v>
      </c>
      <c r="H32" s="221">
        <f t="shared" si="7"/>
        <v>1038685.0317689365</v>
      </c>
      <c r="I32">
        <v>3.8</v>
      </c>
      <c r="J32" s="136">
        <f t="shared" si="2"/>
        <v>23806735.548887398</v>
      </c>
      <c r="K32">
        <v>4.4000000000000004</v>
      </c>
      <c r="L32" s="136">
        <f t="shared" si="3"/>
        <v>82184650.158595055</v>
      </c>
      <c r="M32" s="138">
        <f t="shared" si="4"/>
        <v>41092325.079297528</v>
      </c>
      <c r="N32" s="181">
        <v>14.2156586004259</v>
      </c>
    </row>
    <row r="33" spans="1:14">
      <c r="A33">
        <v>9.1999999999999993</v>
      </c>
      <c r="B33" s="32">
        <f t="shared" si="0"/>
        <v>258.75</v>
      </c>
      <c r="E33" s="138"/>
      <c r="H33" s="138"/>
      <c r="I33">
        <v>4.4000000000000004</v>
      </c>
      <c r="J33" s="136">
        <f t="shared" si="2"/>
        <v>82184650.158595055</v>
      </c>
      <c r="M33" s="138"/>
      <c r="N33" s="181">
        <v>15.096358644050399</v>
      </c>
    </row>
    <row r="34" spans="1:14">
      <c r="A34">
        <v>9.3000000000000007</v>
      </c>
      <c r="B34" s="32">
        <f t="shared" si="0"/>
        <v>261.5625</v>
      </c>
      <c r="E34" s="138"/>
      <c r="F34">
        <v>2.75</v>
      </c>
      <c r="G34" s="136">
        <f t="shared" si="5"/>
        <v>2722957.3396455734</v>
      </c>
      <c r="H34" s="221">
        <f t="shared" si="7"/>
        <v>11164125.09254685</v>
      </c>
      <c r="I34">
        <v>3.9</v>
      </c>
      <c r="J34" s="136">
        <f t="shared" si="2"/>
        <v>29267232.540840495</v>
      </c>
      <c r="K34">
        <v>4.75</v>
      </c>
      <c r="L34" s="136">
        <f t="shared" si="3"/>
        <v>169307831.61912376</v>
      </c>
      <c r="M34" s="138">
        <f t="shared" si="4"/>
        <v>84653915.809561878</v>
      </c>
      <c r="N34" s="181">
        <v>15.0914829736457</v>
      </c>
    </row>
    <row r="35" spans="1:14">
      <c r="A35">
        <v>9.35</v>
      </c>
      <c r="B35" s="32">
        <f t="shared" si="0"/>
        <v>262.96875</v>
      </c>
      <c r="E35" s="138"/>
      <c r="H35" s="138"/>
      <c r="I35">
        <v>4.9000000000000004</v>
      </c>
      <c r="J35" s="136">
        <f t="shared" si="2"/>
        <v>230780847.22446695</v>
      </c>
      <c r="M35" s="138"/>
      <c r="N35" s="181">
        <v>16.053016500295101</v>
      </c>
    </row>
    <row r="36" spans="1:14">
      <c r="H36" s="138"/>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2" workbookViewId="0">
      <selection activeCell="H8" sqref="H8"/>
    </sheetView>
  </sheetViews>
  <sheetFormatPr baseColWidth="10" defaultRowHeight="13" x14ac:dyDescent="0"/>
  <cols>
    <col min="1" max="1" width="23.42578125" customWidth="1"/>
  </cols>
  <sheetData>
    <row r="1" spans="1:8">
      <c r="A1" t="s">
        <v>122</v>
      </c>
    </row>
    <row r="2" spans="1:8">
      <c r="A2" t="s">
        <v>123</v>
      </c>
    </row>
    <row r="4" spans="1:8" s="43" customFormat="1" ht="26">
      <c r="B4" s="43" t="s">
        <v>782</v>
      </c>
      <c r="C4" s="43" t="s">
        <v>439</v>
      </c>
      <c r="D4" s="43" t="s">
        <v>126</v>
      </c>
      <c r="E4" s="43" t="s">
        <v>127</v>
      </c>
      <c r="F4" s="43" t="s">
        <v>864</v>
      </c>
      <c r="G4" s="43" t="s">
        <v>131</v>
      </c>
      <c r="H4" s="43" t="s">
        <v>132</v>
      </c>
    </row>
    <row r="5" spans="1:8">
      <c r="A5" t="s">
        <v>128</v>
      </c>
      <c r="B5">
        <v>16</v>
      </c>
      <c r="C5">
        <v>29</v>
      </c>
      <c r="D5" s="301">
        <v>7500000</v>
      </c>
      <c r="E5" s="301">
        <v>1300000</v>
      </c>
      <c r="F5">
        <f>B5*0.01</f>
        <v>0.16</v>
      </c>
      <c r="G5" s="301">
        <f>E5/1.3</f>
        <v>1000000</v>
      </c>
      <c r="H5" s="301">
        <f>D5/1.3</f>
        <v>5769230.769230769</v>
      </c>
    </row>
    <row r="6" spans="1:8">
      <c r="A6" s="303" t="s">
        <v>128</v>
      </c>
      <c r="B6">
        <v>29</v>
      </c>
      <c r="C6" t="s">
        <v>124</v>
      </c>
      <c r="D6" s="301">
        <v>83000000</v>
      </c>
      <c r="E6" s="301">
        <v>10000000</v>
      </c>
      <c r="F6" s="303">
        <f t="shared" ref="F6:F19" si="0">B6*0.01</f>
        <v>0.28999999999999998</v>
      </c>
      <c r="G6" s="301">
        <f t="shared" ref="G6:G19" si="1">E6/1.3</f>
        <v>7692307.692307692</v>
      </c>
      <c r="H6" s="301">
        <f t="shared" ref="H6:H19" si="2">D6/1.3</f>
        <v>63846153.84615384</v>
      </c>
    </row>
    <row r="7" spans="1:8">
      <c r="A7" s="303" t="s">
        <v>128</v>
      </c>
      <c r="B7">
        <v>65</v>
      </c>
      <c r="C7">
        <v>29</v>
      </c>
      <c r="D7" t="s">
        <v>125</v>
      </c>
      <c r="E7" s="301">
        <v>3400</v>
      </c>
      <c r="F7" s="303">
        <f t="shared" si="0"/>
        <v>0.65</v>
      </c>
      <c r="G7" s="301">
        <f t="shared" si="1"/>
        <v>2615.3846153846152</v>
      </c>
      <c r="H7" s="301"/>
    </row>
    <row r="8" spans="1:8">
      <c r="A8" s="303" t="s">
        <v>128</v>
      </c>
      <c r="B8">
        <v>88</v>
      </c>
      <c r="C8">
        <v>28.9</v>
      </c>
      <c r="D8" s="301">
        <v>200000000</v>
      </c>
      <c r="E8" s="301">
        <v>100000000</v>
      </c>
      <c r="F8" s="303">
        <f t="shared" si="0"/>
        <v>0.88</v>
      </c>
      <c r="G8" s="301">
        <f t="shared" si="1"/>
        <v>76923076.923076928</v>
      </c>
      <c r="H8" s="301">
        <f t="shared" si="2"/>
        <v>153846153.84615386</v>
      </c>
    </row>
    <row r="9" spans="1:8">
      <c r="A9" s="303" t="s">
        <v>128</v>
      </c>
      <c r="B9">
        <v>95</v>
      </c>
      <c r="C9">
        <v>29.8</v>
      </c>
      <c r="D9" s="301">
        <v>19000</v>
      </c>
      <c r="E9" s="301">
        <v>43000</v>
      </c>
      <c r="F9" s="303">
        <f t="shared" si="0"/>
        <v>0.95000000000000007</v>
      </c>
      <c r="G9" s="301">
        <f t="shared" si="1"/>
        <v>33076.923076923078</v>
      </c>
      <c r="H9" s="301">
        <f t="shared" si="2"/>
        <v>14615.384615384615</v>
      </c>
    </row>
    <row r="10" spans="1:8">
      <c r="A10" s="303" t="s">
        <v>128</v>
      </c>
      <c r="B10">
        <v>156</v>
      </c>
      <c r="C10">
        <v>28</v>
      </c>
      <c r="D10" s="301">
        <v>1100000</v>
      </c>
      <c r="E10" s="301">
        <v>1100000</v>
      </c>
      <c r="F10" s="303">
        <f t="shared" si="0"/>
        <v>1.56</v>
      </c>
      <c r="G10" s="301">
        <f t="shared" si="1"/>
        <v>846153.84615384613</v>
      </c>
      <c r="H10" s="301">
        <f t="shared" si="2"/>
        <v>846153.84615384613</v>
      </c>
    </row>
    <row r="11" spans="1:8">
      <c r="A11" s="303" t="s">
        <v>128</v>
      </c>
      <c r="B11">
        <v>174</v>
      </c>
      <c r="C11">
        <v>29.5</v>
      </c>
      <c r="D11" s="301">
        <v>17000000</v>
      </c>
      <c r="E11" s="301">
        <v>5500000</v>
      </c>
      <c r="F11" s="303">
        <f t="shared" si="0"/>
        <v>1.74</v>
      </c>
      <c r="G11" s="301">
        <f t="shared" si="1"/>
        <v>4230769.230769231</v>
      </c>
      <c r="H11" s="301">
        <f t="shared" si="2"/>
        <v>13076923.076923076</v>
      </c>
    </row>
    <row r="12" spans="1:8">
      <c r="A12" s="303" t="s">
        <v>128</v>
      </c>
      <c r="B12">
        <v>232</v>
      </c>
      <c r="C12">
        <v>28.2</v>
      </c>
      <c r="D12" s="301">
        <v>30000</v>
      </c>
      <c r="E12" s="301">
        <v>180000</v>
      </c>
      <c r="F12" s="303">
        <f t="shared" si="0"/>
        <v>2.3199999999999998</v>
      </c>
      <c r="G12" s="301">
        <f t="shared" si="1"/>
        <v>138461.53846153847</v>
      </c>
      <c r="H12" s="301">
        <f t="shared" si="2"/>
        <v>23076.923076923074</v>
      </c>
    </row>
    <row r="13" spans="1:8">
      <c r="A13" s="303" t="s">
        <v>128</v>
      </c>
      <c r="B13">
        <v>296</v>
      </c>
      <c r="C13">
        <v>29.6</v>
      </c>
      <c r="D13" s="301">
        <v>51000</v>
      </c>
      <c r="E13" s="301">
        <v>18000</v>
      </c>
      <c r="F13" s="303">
        <f t="shared" si="0"/>
        <v>2.96</v>
      </c>
      <c r="G13" s="301">
        <f t="shared" si="1"/>
        <v>13846.153846153846</v>
      </c>
      <c r="H13" s="301">
        <f t="shared" si="2"/>
        <v>39230.769230769227</v>
      </c>
    </row>
    <row r="14" spans="1:8">
      <c r="A14" s="303" t="s">
        <v>129</v>
      </c>
      <c r="B14">
        <v>19</v>
      </c>
      <c r="C14">
        <v>28.4</v>
      </c>
      <c r="D14" s="301">
        <v>320000</v>
      </c>
      <c r="E14" s="301">
        <v>190000</v>
      </c>
      <c r="F14" s="303">
        <f t="shared" si="0"/>
        <v>0.19</v>
      </c>
      <c r="G14" s="301">
        <f t="shared" si="1"/>
        <v>146153.84615384616</v>
      </c>
      <c r="H14" s="301">
        <f t="shared" si="2"/>
        <v>246153.84615384616</v>
      </c>
    </row>
    <row r="15" spans="1:8">
      <c r="A15" s="303" t="s">
        <v>129</v>
      </c>
      <c r="B15">
        <v>35</v>
      </c>
      <c r="C15">
        <v>28.8</v>
      </c>
      <c r="D15" s="301">
        <v>640000</v>
      </c>
      <c r="E15" s="301">
        <v>1000000</v>
      </c>
      <c r="F15" s="303">
        <f t="shared" si="0"/>
        <v>0.35000000000000003</v>
      </c>
      <c r="G15" s="301">
        <f t="shared" si="1"/>
        <v>769230.76923076925</v>
      </c>
      <c r="H15" s="301">
        <f t="shared" si="2"/>
        <v>492307.69230769231</v>
      </c>
    </row>
    <row r="16" spans="1:8">
      <c r="A16" s="303" t="s">
        <v>129</v>
      </c>
      <c r="B16">
        <v>81</v>
      </c>
      <c r="C16">
        <v>31.3</v>
      </c>
      <c r="D16" s="301">
        <v>2200000</v>
      </c>
      <c r="E16" s="301">
        <v>3000000</v>
      </c>
      <c r="F16" s="303">
        <f t="shared" si="0"/>
        <v>0.81</v>
      </c>
      <c r="G16" s="301">
        <f t="shared" si="1"/>
        <v>2307692.3076923075</v>
      </c>
      <c r="H16" s="301">
        <f t="shared" si="2"/>
        <v>1692307.6923076923</v>
      </c>
    </row>
    <row r="17" spans="1:8">
      <c r="A17" s="303" t="s">
        <v>129</v>
      </c>
      <c r="B17">
        <v>126</v>
      </c>
      <c r="C17">
        <v>27.8</v>
      </c>
      <c r="D17" s="301">
        <v>1700000</v>
      </c>
      <c r="E17" s="301">
        <v>400000</v>
      </c>
      <c r="F17" s="303">
        <f t="shared" si="0"/>
        <v>1.26</v>
      </c>
      <c r="G17" s="301">
        <f t="shared" si="1"/>
        <v>307692.30769230769</v>
      </c>
      <c r="H17" s="301">
        <f t="shared" si="2"/>
        <v>1307692.3076923077</v>
      </c>
    </row>
    <row r="18" spans="1:8">
      <c r="A18" s="303" t="s">
        <v>129</v>
      </c>
      <c r="B18">
        <v>207</v>
      </c>
      <c r="C18">
        <v>27.1</v>
      </c>
      <c r="D18" s="301">
        <v>1400000</v>
      </c>
      <c r="E18" s="301">
        <v>520000</v>
      </c>
      <c r="F18" s="303">
        <f t="shared" si="0"/>
        <v>2.0699999999999998</v>
      </c>
      <c r="G18" s="301">
        <f t="shared" si="1"/>
        <v>400000</v>
      </c>
      <c r="H18" s="301">
        <f t="shared" si="2"/>
        <v>1076923.076923077</v>
      </c>
    </row>
    <row r="19" spans="1:8">
      <c r="A19" s="303" t="s">
        <v>129</v>
      </c>
      <c r="B19">
        <v>310</v>
      </c>
      <c r="C19">
        <v>23.4</v>
      </c>
      <c r="D19" s="301">
        <v>510000</v>
      </c>
      <c r="E19" s="301">
        <v>1400000</v>
      </c>
      <c r="F19" s="303">
        <f t="shared" si="0"/>
        <v>3.1</v>
      </c>
      <c r="G19" s="301">
        <f t="shared" si="1"/>
        <v>1076923.076923077</v>
      </c>
      <c r="H19" s="301">
        <f t="shared" si="2"/>
        <v>392307.69230769231</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topLeftCell="X1" workbookViewId="0">
      <selection activeCell="G13" sqref="G13"/>
    </sheetView>
  </sheetViews>
  <sheetFormatPr baseColWidth="10" defaultRowHeight="13" x14ac:dyDescent="0"/>
  <cols>
    <col min="1" max="7" width="10.7109375" style="229"/>
    <col min="8" max="8" width="10.7109375" style="326"/>
    <col min="9" max="15" width="10.7109375" style="229"/>
    <col min="16" max="16" width="10.7109375" style="326"/>
    <col min="17" max="23" width="10.7109375" style="229"/>
    <col min="24" max="24" width="10.7109375" style="326"/>
    <col min="25" max="31" width="10.7109375" style="229"/>
    <col min="32" max="32" width="10.7109375" style="326"/>
    <col min="33" max="16384" width="10.7109375" style="229"/>
  </cols>
  <sheetData>
    <row r="1" spans="1:33" ht="39" customHeight="1">
      <c r="A1" s="337" t="s">
        <v>417</v>
      </c>
      <c r="B1" s="337"/>
      <c r="C1" s="337"/>
      <c r="D1" s="337"/>
      <c r="E1" s="337"/>
      <c r="F1" s="337"/>
      <c r="G1" s="337"/>
      <c r="H1" s="337"/>
      <c r="I1" s="337"/>
      <c r="J1" s="337"/>
      <c r="K1" s="337"/>
      <c r="L1" s="337"/>
      <c r="M1" s="337"/>
      <c r="N1" s="337"/>
    </row>
    <row r="2" spans="1:33">
      <c r="B2" s="263" t="s">
        <v>609</v>
      </c>
      <c r="C2" s="263"/>
      <c r="D2" s="263" t="s">
        <v>610</v>
      </c>
    </row>
    <row r="3" spans="1:33">
      <c r="B3" s="263" t="s">
        <v>700</v>
      </c>
      <c r="C3" s="263"/>
      <c r="J3" s="263" t="s">
        <v>1031</v>
      </c>
      <c r="K3" s="263"/>
      <c r="L3" s="263"/>
      <c r="R3" s="263" t="s">
        <v>908</v>
      </c>
      <c r="S3" s="263"/>
      <c r="T3" s="263"/>
      <c r="Z3" s="263" t="s">
        <v>908</v>
      </c>
      <c r="AA3" s="263"/>
      <c r="AB3" s="263"/>
    </row>
    <row r="4" spans="1:33">
      <c r="B4" s="263" t="s">
        <v>842</v>
      </c>
      <c r="C4" s="263"/>
      <c r="D4" s="229" t="s">
        <v>850</v>
      </c>
      <c r="J4" s="263" t="s">
        <v>904</v>
      </c>
      <c r="K4" s="263"/>
      <c r="L4" s="263"/>
      <c r="R4" s="263" t="s">
        <v>909</v>
      </c>
      <c r="S4" s="263"/>
      <c r="T4" s="263"/>
      <c r="Z4" s="263" t="s">
        <v>910</v>
      </c>
      <c r="AA4" s="263"/>
      <c r="AB4" s="263"/>
    </row>
    <row r="5" spans="1:33">
      <c r="B5" s="12" t="s">
        <v>1209</v>
      </c>
      <c r="C5" s="9" t="s">
        <v>1059</v>
      </c>
      <c r="D5" s="7" t="s">
        <v>877</v>
      </c>
      <c r="E5" s="19" t="s">
        <v>800</v>
      </c>
      <c r="F5" s="19" t="s">
        <v>612</v>
      </c>
      <c r="G5" s="18" t="s">
        <v>613</v>
      </c>
      <c r="H5" s="18" t="s">
        <v>1462</v>
      </c>
      <c r="I5" s="18" t="s">
        <v>439</v>
      </c>
      <c r="J5" s="12" t="s">
        <v>1209</v>
      </c>
      <c r="K5" s="9" t="s">
        <v>1059</v>
      </c>
      <c r="L5" s="7" t="s">
        <v>877</v>
      </c>
      <c r="M5" s="16" t="s">
        <v>800</v>
      </c>
      <c r="N5" s="19" t="s">
        <v>989</v>
      </c>
      <c r="O5" s="18" t="s">
        <v>613</v>
      </c>
      <c r="P5" s="18" t="s">
        <v>1462</v>
      </c>
      <c r="Q5" s="18" t="s">
        <v>454</v>
      </c>
      <c r="R5" s="12" t="s">
        <v>1209</v>
      </c>
      <c r="S5" s="9" t="s">
        <v>1059</v>
      </c>
      <c r="T5" s="7" t="s">
        <v>877</v>
      </c>
      <c r="U5" s="16" t="s">
        <v>800</v>
      </c>
      <c r="V5" s="19" t="s">
        <v>989</v>
      </c>
      <c r="W5" s="18" t="s">
        <v>613</v>
      </c>
      <c r="X5" s="18" t="s">
        <v>1462</v>
      </c>
      <c r="Y5" s="18" t="s">
        <v>454</v>
      </c>
      <c r="Z5" s="12" t="s">
        <v>1209</v>
      </c>
      <c r="AA5" s="9" t="s">
        <v>1059</v>
      </c>
      <c r="AB5" s="9" t="s">
        <v>877</v>
      </c>
      <c r="AC5" s="9" t="s">
        <v>800</v>
      </c>
      <c r="AD5" s="20" t="s">
        <v>989</v>
      </c>
      <c r="AE5" s="18" t="s">
        <v>613</v>
      </c>
      <c r="AF5" s="18" t="s">
        <v>1462</v>
      </c>
      <c r="AG5" s="18" t="s">
        <v>454</v>
      </c>
    </row>
    <row r="6" spans="1:33">
      <c r="B6" s="6">
        <v>0</v>
      </c>
      <c r="C6" s="13">
        <f>26.217*B6</f>
        <v>0</v>
      </c>
      <c r="D6" s="13">
        <v>0.75</v>
      </c>
      <c r="E6" s="15">
        <f>(251188.6432)*(10^D6)</f>
        <v>1412537.5448985379</v>
      </c>
      <c r="F6" s="8">
        <f>E6*3.6/2</f>
        <v>2542567.5808173683</v>
      </c>
      <c r="G6" s="13">
        <v>8.4717607973421902</v>
      </c>
      <c r="H6" s="13">
        <f>G6/100</f>
        <v>8.4717607973421899E-2</v>
      </c>
      <c r="I6" s="289">
        <v>24.7</v>
      </c>
      <c r="J6" s="6">
        <v>0</v>
      </c>
      <c r="K6" s="13">
        <f>26.217*J6</f>
        <v>0</v>
      </c>
      <c r="L6" s="13">
        <v>0.95</v>
      </c>
      <c r="M6" s="15">
        <f>(251188.6432)*(10^L6)</f>
        <v>2238721.1390054272</v>
      </c>
      <c r="N6" s="8">
        <f>M6*3.6/2</f>
        <v>4029698.050209769</v>
      </c>
      <c r="O6" s="289">
        <v>11.754550420479699</v>
      </c>
      <c r="P6" s="326">
        <f>O6/100</f>
        <v>0.11754550420479699</v>
      </c>
      <c r="Q6" s="4">
        <v>28.84</v>
      </c>
      <c r="R6" s="6">
        <v>0</v>
      </c>
      <c r="S6" s="13">
        <f>26.217*R6</f>
        <v>0</v>
      </c>
      <c r="T6" s="13">
        <v>0.25</v>
      </c>
      <c r="U6" s="15">
        <f>(251188.6432)*(10^T6)</f>
        <v>446683.59223817353</v>
      </c>
      <c r="V6" s="8">
        <f>U6*3.6/2</f>
        <v>804030.46602871234</v>
      </c>
      <c r="W6" s="289">
        <v>3.4313840032312499</v>
      </c>
      <c r="X6" s="326">
        <f>W6/100</f>
        <v>3.4313840032312498E-2</v>
      </c>
      <c r="Y6" s="4">
        <v>29.7</v>
      </c>
      <c r="Z6" s="6">
        <v>0.2</v>
      </c>
      <c r="AA6" s="13">
        <f>26.217*Z6</f>
        <v>5.2434000000000003</v>
      </c>
      <c r="AB6" s="13">
        <v>2.65</v>
      </c>
      <c r="AC6" s="13">
        <f>(251188.6432)*(10^AB6)</f>
        <v>112201845.45210263</v>
      </c>
      <c r="AD6" s="8">
        <f>AC6*3.6/2</f>
        <v>201963321.81378475</v>
      </c>
      <c r="AE6" s="289">
        <v>31.959958017937801</v>
      </c>
      <c r="AF6" s="326">
        <f>AE6/100</f>
        <v>0.31959958017937801</v>
      </c>
      <c r="AG6" s="289">
        <v>0</v>
      </c>
    </row>
    <row r="7" spans="1:33">
      <c r="B7" s="6">
        <v>0.3</v>
      </c>
      <c r="C7" s="13">
        <f t="shared" ref="C7:C22" si="0">26.217*B7</f>
        <v>7.8650999999999991</v>
      </c>
      <c r="D7" s="13">
        <v>0.5</v>
      </c>
      <c r="E7" s="13">
        <f>(251188.6432)*(10^D7)</f>
        <v>794328.23487936589</v>
      </c>
      <c r="F7" s="8">
        <f t="shared" ref="F7:F22" si="1">E7*3.6/2</f>
        <v>1429790.8227828587</v>
      </c>
      <c r="G7" s="13">
        <v>5.4817275747508099</v>
      </c>
      <c r="H7" s="13">
        <f t="shared" ref="H7:H22" si="2">G7/100</f>
        <v>5.4817275747508096E-2</v>
      </c>
      <c r="I7" s="289">
        <v>12.6</v>
      </c>
      <c r="J7" s="6">
        <v>0.1</v>
      </c>
      <c r="K7" s="13">
        <f t="shared" ref="K7:K28" si="3">26.217*J7</f>
        <v>2.6217000000000001</v>
      </c>
      <c r="L7" s="13">
        <v>0.2</v>
      </c>
      <c r="M7" s="13">
        <f t="shared" ref="M7:M28" si="4">(251188.6432)*(10^L7)</f>
        <v>398107.17063122359</v>
      </c>
      <c r="N7" s="8">
        <f t="shared" ref="N7:N28" si="5">M7*3.6/2</f>
        <v>716592.90713620244</v>
      </c>
      <c r="O7" s="289">
        <v>2.1536521381412501</v>
      </c>
      <c r="P7" s="326">
        <f t="shared" ref="P7:P28" si="6">O7/100</f>
        <v>2.1536521381412502E-2</v>
      </c>
      <c r="Q7" s="4">
        <v>19.21</v>
      </c>
      <c r="R7" s="6">
        <v>0.15</v>
      </c>
      <c r="S7" s="13">
        <f t="shared" ref="S7:S13" si="7">26.217*R7</f>
        <v>3.9325499999999995</v>
      </c>
      <c r="T7" s="13">
        <v>0</v>
      </c>
      <c r="U7" s="13">
        <f t="shared" ref="U7:U12" si="8">(251188.6432)*(10^T7)</f>
        <v>251188.64319999999</v>
      </c>
      <c r="V7" s="8">
        <f t="shared" ref="V7:V13" si="9">U7*3.6/2</f>
        <v>452139.55776</v>
      </c>
      <c r="W7" s="289">
        <v>0.81432572361324496</v>
      </c>
      <c r="X7" s="326">
        <f t="shared" ref="X7:X13" si="10">W7/100</f>
        <v>8.1432572361324496E-3</v>
      </c>
      <c r="Y7" s="4">
        <v>24.5</v>
      </c>
      <c r="Z7" s="6">
        <v>0.8</v>
      </c>
      <c r="AA7" s="13">
        <f t="shared" ref="AA7:AA18" si="11">26.217*Z7</f>
        <v>20.973600000000001</v>
      </c>
      <c r="AB7" s="13">
        <v>2.8</v>
      </c>
      <c r="AC7" s="13">
        <f t="shared" ref="AC7:AC18" si="12">(251188.6432)*(10^AB7)</f>
        <v>158489319.27705473</v>
      </c>
      <c r="AD7" s="8">
        <f t="shared" ref="AD7:AD18" si="13">AC7*3.6/2</f>
        <v>285280774.69869852</v>
      </c>
      <c r="AE7" s="289">
        <v>21.825265568348001</v>
      </c>
      <c r="AF7" s="326">
        <f t="shared" ref="AF7:AF18" si="14">AE7/100</f>
        <v>0.21825265568348001</v>
      </c>
      <c r="AG7" s="289">
        <v>0</v>
      </c>
    </row>
    <row r="8" spans="1:33">
      <c r="B8" s="6">
        <v>0.5</v>
      </c>
      <c r="C8" s="13">
        <f t="shared" si="0"/>
        <v>13.108499999999999</v>
      </c>
      <c r="D8" s="13">
        <v>0.3</v>
      </c>
      <c r="E8" s="13">
        <f t="shared" ref="E8:E22" si="15">(251188.6432)*(10^D8)</f>
        <v>501187.23372512392</v>
      </c>
      <c r="F8" s="8">
        <f t="shared" si="1"/>
        <v>902137.02070522308</v>
      </c>
      <c r="G8" s="13">
        <v>3.48837209302323</v>
      </c>
      <c r="H8" s="13">
        <f t="shared" si="2"/>
        <v>3.4883720930232301E-2</v>
      </c>
      <c r="I8" s="289">
        <v>6.5</v>
      </c>
      <c r="J8" s="6">
        <v>0.2</v>
      </c>
      <c r="K8" s="13">
        <f t="shared" si="3"/>
        <v>5.2434000000000003</v>
      </c>
      <c r="L8" s="13">
        <v>0.05</v>
      </c>
      <c r="M8" s="13">
        <f>(251188.6432)*(10^L8)</f>
        <v>281838.29318147141</v>
      </c>
      <c r="N8" s="8">
        <f t="shared" si="5"/>
        <v>507308.92772664857</v>
      </c>
      <c r="O8" s="289">
        <v>0.33382113930794399</v>
      </c>
      <c r="P8" s="326">
        <f t="shared" si="6"/>
        <v>3.3382113930794399E-3</v>
      </c>
      <c r="Q8" s="4">
        <v>12.1</v>
      </c>
      <c r="R8" s="6">
        <v>0.5</v>
      </c>
      <c r="S8" s="13">
        <f t="shared" si="7"/>
        <v>13.108499999999999</v>
      </c>
      <c r="T8" s="13">
        <v>0</v>
      </c>
      <c r="U8" s="13">
        <f t="shared" si="8"/>
        <v>251188.64319999999</v>
      </c>
      <c r="V8" s="8">
        <f t="shared" si="9"/>
        <v>452139.55776</v>
      </c>
      <c r="W8" s="289">
        <v>0.48302083298559301</v>
      </c>
      <c r="X8" s="326">
        <f t="shared" si="10"/>
        <v>4.8302083298559298E-3</v>
      </c>
      <c r="Y8" s="4">
        <v>0.5</v>
      </c>
      <c r="Z8" s="6">
        <v>1.7</v>
      </c>
      <c r="AA8" s="13">
        <f t="shared" si="11"/>
        <v>44.568899999999999</v>
      </c>
      <c r="AB8" s="13">
        <v>2.2000000000000002</v>
      </c>
      <c r="AC8" s="13">
        <f t="shared" si="12"/>
        <v>39810717.063122399</v>
      </c>
      <c r="AD8" s="8">
        <f t="shared" si="13"/>
        <v>71659290.71362032</v>
      </c>
      <c r="AE8" s="289">
        <v>26.404649831435599</v>
      </c>
      <c r="AF8" s="326">
        <f t="shared" si="14"/>
        <v>0.264046498314356</v>
      </c>
      <c r="AG8" s="289">
        <v>0</v>
      </c>
    </row>
    <row r="9" spans="1:33">
      <c r="B9" s="6">
        <v>0.6</v>
      </c>
      <c r="C9" s="13">
        <f t="shared" si="0"/>
        <v>15.730199999999998</v>
      </c>
      <c r="D9" s="13">
        <v>0.1</v>
      </c>
      <c r="E9" s="13">
        <f t="shared" si="15"/>
        <v>316227.76607857813</v>
      </c>
      <c r="F9" s="8">
        <f t="shared" si="1"/>
        <v>569209.9789414407</v>
      </c>
      <c r="G9" s="13">
        <v>0.66445182724249996</v>
      </c>
      <c r="H9" s="13">
        <f t="shared" si="2"/>
        <v>6.6445182724249995E-3</v>
      </c>
      <c r="I9" s="18">
        <v>5.7</v>
      </c>
      <c r="J9" s="6">
        <v>0.3</v>
      </c>
      <c r="K9" s="13">
        <f t="shared" si="3"/>
        <v>7.8650999999999991</v>
      </c>
      <c r="L9" s="13">
        <v>0</v>
      </c>
      <c r="M9" s="13">
        <f>(251188.6432)*(10^L9)</f>
        <v>251188.64319999999</v>
      </c>
      <c r="N9" s="8">
        <f t="shared" si="5"/>
        <v>452139.55776</v>
      </c>
      <c r="O9" s="289">
        <v>0.33719307000802401</v>
      </c>
      <c r="P9" s="326">
        <f t="shared" si="6"/>
        <v>3.3719307000802403E-3</v>
      </c>
      <c r="Q9" s="4">
        <v>3.39</v>
      </c>
      <c r="R9" s="6">
        <v>1.1000000000000001</v>
      </c>
      <c r="S9" s="13">
        <f t="shared" si="7"/>
        <v>28.838699999999999</v>
      </c>
      <c r="T9" s="13">
        <v>0</v>
      </c>
      <c r="U9" s="13">
        <f t="shared" si="8"/>
        <v>251188.64319999999</v>
      </c>
      <c r="V9" s="8">
        <f t="shared" si="9"/>
        <v>452139.55776</v>
      </c>
      <c r="W9" s="289">
        <v>0</v>
      </c>
      <c r="X9" s="326">
        <f t="shared" si="10"/>
        <v>0</v>
      </c>
      <c r="Y9" s="2">
        <v>0</v>
      </c>
      <c r="Z9" s="6">
        <v>2.4</v>
      </c>
      <c r="AA9" s="13">
        <f t="shared" si="11"/>
        <v>62.920799999999993</v>
      </c>
      <c r="AB9" s="13">
        <v>0.15</v>
      </c>
      <c r="AC9" s="13">
        <f t="shared" si="12"/>
        <v>354813.38930284913</v>
      </c>
      <c r="AD9" s="8">
        <f t="shared" si="13"/>
        <v>638664.10074512847</v>
      </c>
      <c r="AE9" s="289">
        <v>2.1859296482411898</v>
      </c>
      <c r="AF9" s="326">
        <f t="shared" si="14"/>
        <v>2.1859296482411899E-2</v>
      </c>
      <c r="AG9" s="289">
        <v>0</v>
      </c>
    </row>
    <row r="10" spans="1:33">
      <c r="B10" s="6">
        <v>0.8</v>
      </c>
      <c r="C10" s="13">
        <f t="shared" si="0"/>
        <v>20.973600000000001</v>
      </c>
      <c r="D10" s="13">
        <v>0</v>
      </c>
      <c r="E10" s="13">
        <f t="shared" si="15"/>
        <v>251188.64319999999</v>
      </c>
      <c r="F10" s="8">
        <f t="shared" si="1"/>
        <v>452139.55776</v>
      </c>
      <c r="G10" s="13">
        <v>0</v>
      </c>
      <c r="H10" s="13">
        <f t="shared" si="2"/>
        <v>0</v>
      </c>
      <c r="I10" s="18">
        <v>3.8</v>
      </c>
      <c r="J10" s="6">
        <v>0.4</v>
      </c>
      <c r="K10" s="13">
        <f t="shared" si="3"/>
        <v>10.486800000000001</v>
      </c>
      <c r="L10" s="13">
        <v>0</v>
      </c>
      <c r="M10" s="13">
        <f t="shared" si="4"/>
        <v>251188.64319999999</v>
      </c>
      <c r="N10" s="8">
        <f t="shared" si="5"/>
        <v>452139.55776</v>
      </c>
      <c r="O10" s="289">
        <v>0</v>
      </c>
      <c r="P10" s="326">
        <f t="shared" si="6"/>
        <v>0</v>
      </c>
      <c r="Q10" s="4">
        <v>0.47</v>
      </c>
      <c r="R10" s="6">
        <v>4.5</v>
      </c>
      <c r="S10" s="13">
        <f t="shared" si="7"/>
        <v>117.97649999999999</v>
      </c>
      <c r="T10" s="13">
        <v>0</v>
      </c>
      <c r="U10" s="13">
        <f t="shared" si="8"/>
        <v>251188.64319999999</v>
      </c>
      <c r="V10" s="8">
        <f t="shared" si="9"/>
        <v>452139.55776</v>
      </c>
      <c r="W10" s="229">
        <v>0</v>
      </c>
      <c r="X10" s="326">
        <f t="shared" si="10"/>
        <v>0</v>
      </c>
      <c r="Y10" s="2">
        <v>0</v>
      </c>
      <c r="Z10" s="6">
        <v>3.1</v>
      </c>
      <c r="AA10" s="13">
        <f t="shared" si="11"/>
        <v>81.2727</v>
      </c>
      <c r="AB10" s="13">
        <v>0.15</v>
      </c>
      <c r="AC10" s="13">
        <f t="shared" si="12"/>
        <v>354813.38930284913</v>
      </c>
      <c r="AD10" s="8">
        <f t="shared" si="13"/>
        <v>638664.10074512847</v>
      </c>
      <c r="AE10" s="289">
        <v>2.1776604541695601</v>
      </c>
      <c r="AF10" s="326">
        <f t="shared" si="14"/>
        <v>2.17766045416956E-2</v>
      </c>
      <c r="AG10" s="289">
        <v>0</v>
      </c>
    </row>
    <row r="11" spans="1:33">
      <c r="B11" s="6">
        <v>1.2</v>
      </c>
      <c r="C11" s="13">
        <f t="shared" si="0"/>
        <v>31.460399999999996</v>
      </c>
      <c r="D11" s="13">
        <v>0</v>
      </c>
      <c r="E11" s="13">
        <f t="shared" si="15"/>
        <v>251188.64319999999</v>
      </c>
      <c r="F11" s="8">
        <f t="shared" si="1"/>
        <v>452139.55776</v>
      </c>
      <c r="G11" s="13">
        <v>0</v>
      </c>
      <c r="H11" s="13">
        <f t="shared" si="2"/>
        <v>0</v>
      </c>
      <c r="I11" s="18">
        <v>2.8</v>
      </c>
      <c r="J11" s="6">
        <v>0.5</v>
      </c>
      <c r="K11" s="13">
        <f t="shared" si="3"/>
        <v>13.108499999999999</v>
      </c>
      <c r="L11" s="13">
        <v>0</v>
      </c>
      <c r="M11" s="13">
        <f t="shared" si="4"/>
        <v>251188.64319999999</v>
      </c>
      <c r="N11" s="8">
        <f t="shared" si="5"/>
        <v>452139.55776</v>
      </c>
      <c r="O11" s="289">
        <v>0</v>
      </c>
      <c r="P11" s="326">
        <f t="shared" si="6"/>
        <v>0</v>
      </c>
      <c r="Q11" s="3">
        <v>0</v>
      </c>
      <c r="R11" s="6">
        <v>5.9</v>
      </c>
      <c r="S11" s="13">
        <f t="shared" si="7"/>
        <v>154.68029999999999</v>
      </c>
      <c r="T11" s="13">
        <v>0</v>
      </c>
      <c r="U11" s="13">
        <f t="shared" si="8"/>
        <v>251188.64319999999</v>
      </c>
      <c r="V11" s="8">
        <f t="shared" si="9"/>
        <v>452139.55776</v>
      </c>
      <c r="W11" s="229">
        <v>0</v>
      </c>
      <c r="X11" s="326">
        <f t="shared" si="10"/>
        <v>0</v>
      </c>
      <c r="Y11" s="2">
        <v>0</v>
      </c>
      <c r="Z11" s="6">
        <v>3.8</v>
      </c>
      <c r="AA11" s="13">
        <f t="shared" si="11"/>
        <v>99.624599999999987</v>
      </c>
      <c r="AB11" s="13">
        <v>0.25</v>
      </c>
      <c r="AC11" s="13">
        <f t="shared" si="12"/>
        <v>446683.59223817353</v>
      </c>
      <c r="AD11" s="8">
        <f t="shared" si="13"/>
        <v>804030.46602871234</v>
      </c>
      <c r="AE11" s="289">
        <v>2.96005343171554</v>
      </c>
      <c r="AF11" s="326">
        <f t="shared" si="14"/>
        <v>2.96005343171554E-2</v>
      </c>
      <c r="AG11" s="289">
        <v>0</v>
      </c>
    </row>
    <row r="12" spans="1:33">
      <c r="B12" s="6">
        <v>1.4</v>
      </c>
      <c r="C12" s="13">
        <f t="shared" si="0"/>
        <v>36.703799999999994</v>
      </c>
      <c r="D12" s="13">
        <v>0</v>
      </c>
      <c r="E12" s="13">
        <f t="shared" si="15"/>
        <v>251188.64319999999</v>
      </c>
      <c r="F12" s="8">
        <f t="shared" si="1"/>
        <v>452139.55776</v>
      </c>
      <c r="G12" s="13">
        <v>0</v>
      </c>
      <c r="H12" s="13">
        <f t="shared" si="2"/>
        <v>0</v>
      </c>
      <c r="I12" s="18">
        <v>1.2</v>
      </c>
      <c r="J12" s="6">
        <v>0.6</v>
      </c>
      <c r="K12" s="13">
        <f t="shared" si="3"/>
        <v>15.730199999999998</v>
      </c>
      <c r="L12" s="13">
        <v>0</v>
      </c>
      <c r="M12" s="13">
        <f t="shared" si="4"/>
        <v>251188.64319999999</v>
      </c>
      <c r="N12" s="8">
        <f t="shared" si="5"/>
        <v>452139.55776</v>
      </c>
      <c r="O12" s="289">
        <v>0</v>
      </c>
      <c r="P12" s="326">
        <f t="shared" si="6"/>
        <v>0</v>
      </c>
      <c r="Q12" s="3">
        <v>0</v>
      </c>
      <c r="R12" s="6">
        <v>7.4</v>
      </c>
      <c r="S12" s="13">
        <f t="shared" si="7"/>
        <v>194.00579999999999</v>
      </c>
      <c r="T12" s="13">
        <v>0</v>
      </c>
      <c r="U12" s="13">
        <f t="shared" si="8"/>
        <v>251188.64319999999</v>
      </c>
      <c r="V12" s="8">
        <f t="shared" si="9"/>
        <v>452139.55776</v>
      </c>
      <c r="W12" s="229">
        <v>0</v>
      </c>
      <c r="X12" s="326">
        <f t="shared" si="10"/>
        <v>0</v>
      </c>
      <c r="Y12" s="2">
        <v>0</v>
      </c>
      <c r="Z12" s="6">
        <v>4.5999999999999996</v>
      </c>
      <c r="AA12" s="13">
        <f t="shared" si="11"/>
        <v>120.59819999999999</v>
      </c>
      <c r="AB12" s="13">
        <v>0</v>
      </c>
      <c r="AC12" s="13">
        <f t="shared" si="12"/>
        <v>251188.64319999999</v>
      </c>
      <c r="AD12" s="8">
        <f t="shared" si="13"/>
        <v>452139.55776</v>
      </c>
      <c r="AE12" s="289">
        <v>0.10209274219197501</v>
      </c>
      <c r="AF12" s="326">
        <f t="shared" si="14"/>
        <v>1.02092742191975E-3</v>
      </c>
      <c r="AG12" s="293">
        <v>0</v>
      </c>
    </row>
    <row r="13" spans="1:33">
      <c r="B13" s="6">
        <v>1.6</v>
      </c>
      <c r="C13" s="13">
        <f t="shared" si="0"/>
        <v>41.947200000000002</v>
      </c>
      <c r="D13" s="13">
        <v>0</v>
      </c>
      <c r="E13" s="13">
        <f t="shared" si="15"/>
        <v>251188.64319999999</v>
      </c>
      <c r="F13" s="8">
        <f t="shared" si="1"/>
        <v>452139.55776</v>
      </c>
      <c r="G13" s="13">
        <v>0</v>
      </c>
      <c r="H13" s="13">
        <f t="shared" si="2"/>
        <v>0</v>
      </c>
      <c r="I13" s="18">
        <v>0</v>
      </c>
      <c r="J13" s="6">
        <v>0.7</v>
      </c>
      <c r="K13" s="13">
        <f t="shared" si="3"/>
        <v>18.351899999999997</v>
      </c>
      <c r="L13" s="13">
        <v>0</v>
      </c>
      <c r="M13" s="13">
        <f t="shared" si="4"/>
        <v>251188.64319999999</v>
      </c>
      <c r="N13" s="8">
        <f t="shared" si="5"/>
        <v>452139.55776</v>
      </c>
      <c r="O13" s="289">
        <v>0</v>
      </c>
      <c r="P13" s="326">
        <f t="shared" si="6"/>
        <v>0</v>
      </c>
      <c r="Q13" s="3">
        <v>0</v>
      </c>
      <c r="R13" s="17">
        <v>10.3</v>
      </c>
      <c r="S13" s="10">
        <f t="shared" si="7"/>
        <v>270.0351</v>
      </c>
      <c r="T13" s="10">
        <v>0</v>
      </c>
      <c r="U13" s="10">
        <f>(251188.6432)*(10^T13)</f>
        <v>251188.64319999999</v>
      </c>
      <c r="V13" s="11">
        <f t="shared" si="9"/>
        <v>452139.55776</v>
      </c>
      <c r="W13" s="229">
        <v>0</v>
      </c>
      <c r="X13" s="326">
        <f t="shared" si="10"/>
        <v>0</v>
      </c>
      <c r="Y13" s="2">
        <v>0</v>
      </c>
      <c r="Z13" s="6">
        <v>5.3</v>
      </c>
      <c r="AA13" s="13">
        <f t="shared" si="11"/>
        <v>138.95009999999999</v>
      </c>
      <c r="AB13" s="13">
        <v>0.15</v>
      </c>
      <c r="AC13" s="13">
        <f t="shared" si="12"/>
        <v>354813.38930284913</v>
      </c>
      <c r="AD13" s="8">
        <f t="shared" si="13"/>
        <v>638664.10074512847</v>
      </c>
      <c r="AE13" s="289">
        <v>1.8340118313084399</v>
      </c>
      <c r="AF13" s="326">
        <f t="shared" si="14"/>
        <v>1.8340118313084398E-2</v>
      </c>
      <c r="AG13" s="293">
        <v>0</v>
      </c>
    </row>
    <row r="14" spans="1:33">
      <c r="B14" s="6">
        <v>1.8</v>
      </c>
      <c r="C14" s="13">
        <f t="shared" si="0"/>
        <v>47.190599999999996</v>
      </c>
      <c r="D14" s="13">
        <v>0</v>
      </c>
      <c r="E14" s="13">
        <f t="shared" si="15"/>
        <v>251188.64319999999</v>
      </c>
      <c r="F14" s="8">
        <f t="shared" si="1"/>
        <v>452139.55776</v>
      </c>
      <c r="G14" s="13">
        <v>0</v>
      </c>
      <c r="H14" s="13">
        <f t="shared" si="2"/>
        <v>0</v>
      </c>
      <c r="I14" s="18">
        <v>0</v>
      </c>
      <c r="J14" s="6">
        <v>0.8</v>
      </c>
      <c r="K14" s="13">
        <f t="shared" si="3"/>
        <v>20.973600000000001</v>
      </c>
      <c r="L14" s="13">
        <v>0</v>
      </c>
      <c r="M14" s="13">
        <f t="shared" si="4"/>
        <v>251188.64319999999</v>
      </c>
      <c r="N14" s="8">
        <f t="shared" si="5"/>
        <v>452139.55776</v>
      </c>
      <c r="O14" s="289">
        <v>0</v>
      </c>
      <c r="P14" s="326">
        <f t="shared" si="6"/>
        <v>0</v>
      </c>
      <c r="Q14" s="3">
        <v>0</v>
      </c>
      <c r="Z14" s="6">
        <v>6.35</v>
      </c>
      <c r="AA14" s="13">
        <f t="shared" si="11"/>
        <v>166.47794999999999</v>
      </c>
      <c r="AB14" s="13">
        <v>0</v>
      </c>
      <c r="AC14" s="13">
        <f t="shared" si="12"/>
        <v>251188.64319999999</v>
      </c>
      <c r="AD14" s="8">
        <f t="shared" si="13"/>
        <v>452139.55776</v>
      </c>
      <c r="AE14" s="289">
        <v>8.1578779975831003E-2</v>
      </c>
      <c r="AF14" s="326">
        <f t="shared" si="14"/>
        <v>8.1578779975831003E-4</v>
      </c>
      <c r="AG14" s="293">
        <v>0</v>
      </c>
    </row>
    <row r="15" spans="1:33">
      <c r="B15" s="6">
        <v>1.9</v>
      </c>
      <c r="C15" s="13">
        <f t="shared" si="0"/>
        <v>49.812299999999993</v>
      </c>
      <c r="D15" s="13">
        <v>0</v>
      </c>
      <c r="E15" s="13">
        <f t="shared" si="15"/>
        <v>251188.64319999999</v>
      </c>
      <c r="F15" s="8">
        <f t="shared" si="1"/>
        <v>452139.55776</v>
      </c>
      <c r="G15" s="298">
        <v>0</v>
      </c>
      <c r="H15" s="13">
        <f t="shared" si="2"/>
        <v>0</v>
      </c>
      <c r="I15" s="18">
        <v>0</v>
      </c>
      <c r="J15" s="6">
        <v>1.2</v>
      </c>
      <c r="K15" s="13">
        <f t="shared" si="3"/>
        <v>31.460399999999996</v>
      </c>
      <c r="L15" s="13">
        <v>0</v>
      </c>
      <c r="M15" s="13">
        <f>(251188.6432)*(10^L15)</f>
        <v>251188.64319999999</v>
      </c>
      <c r="N15" s="8">
        <f t="shared" si="5"/>
        <v>452139.55776</v>
      </c>
      <c r="O15" s="289">
        <v>0</v>
      </c>
      <c r="P15" s="326">
        <f t="shared" si="6"/>
        <v>0</v>
      </c>
      <c r="Q15" s="3">
        <v>0</v>
      </c>
      <c r="Z15" s="6">
        <v>6.7</v>
      </c>
      <c r="AA15" s="13">
        <f t="shared" si="11"/>
        <v>175.65389999999999</v>
      </c>
      <c r="AB15" s="13">
        <v>0</v>
      </c>
      <c r="AC15" s="13">
        <f t="shared" si="12"/>
        <v>251188.64319999999</v>
      </c>
      <c r="AD15" s="8">
        <f t="shared" si="13"/>
        <v>452139.55776</v>
      </c>
      <c r="AE15" s="289">
        <v>7.6649068125439701E-2</v>
      </c>
      <c r="AF15" s="326">
        <f t="shared" si="14"/>
        <v>7.6649068125439696E-4</v>
      </c>
      <c r="AG15" s="293">
        <v>0</v>
      </c>
    </row>
    <row r="16" spans="1:33">
      <c r="B16" s="6">
        <v>2.1</v>
      </c>
      <c r="C16" s="13">
        <f t="shared" si="0"/>
        <v>55.055700000000002</v>
      </c>
      <c r="D16" s="13">
        <v>0</v>
      </c>
      <c r="E16" s="13">
        <f t="shared" si="15"/>
        <v>251188.64319999999</v>
      </c>
      <c r="F16" s="8">
        <f t="shared" si="1"/>
        <v>452139.55776</v>
      </c>
      <c r="G16" s="298">
        <v>0</v>
      </c>
      <c r="H16" s="13">
        <f t="shared" si="2"/>
        <v>0</v>
      </c>
      <c r="I16" s="18">
        <v>0</v>
      </c>
      <c r="J16" s="6">
        <v>1.7</v>
      </c>
      <c r="K16" s="13">
        <f t="shared" si="3"/>
        <v>44.568899999999999</v>
      </c>
      <c r="L16" s="13">
        <v>0</v>
      </c>
      <c r="M16" s="13">
        <f t="shared" si="4"/>
        <v>251188.64319999999</v>
      </c>
      <c r="N16" s="8">
        <f t="shared" si="5"/>
        <v>452139.55776</v>
      </c>
      <c r="O16" s="289">
        <v>0</v>
      </c>
      <c r="P16" s="326">
        <f t="shared" si="6"/>
        <v>0</v>
      </c>
      <c r="Q16" s="3">
        <v>0</v>
      </c>
      <c r="Z16" s="6">
        <v>7.8</v>
      </c>
      <c r="AA16" s="13">
        <f t="shared" si="11"/>
        <v>204.49259999999998</v>
      </c>
      <c r="AB16" s="13">
        <v>0</v>
      </c>
      <c r="AC16" s="13">
        <f t="shared" si="12"/>
        <v>251188.64319999999</v>
      </c>
      <c r="AD16" s="8">
        <f t="shared" si="13"/>
        <v>452139.55776</v>
      </c>
      <c r="AE16" s="289">
        <v>0.22326823993384601</v>
      </c>
      <c r="AF16" s="326">
        <f t="shared" si="14"/>
        <v>2.23268239933846E-3</v>
      </c>
      <c r="AG16" s="293">
        <v>0</v>
      </c>
    </row>
    <row r="17" spans="2:33">
      <c r="B17" s="6">
        <v>2.9</v>
      </c>
      <c r="C17" s="13">
        <f t="shared" si="0"/>
        <v>76.029299999999992</v>
      </c>
      <c r="D17" s="13">
        <v>0</v>
      </c>
      <c r="E17" s="13">
        <f t="shared" si="15"/>
        <v>251188.64319999999</v>
      </c>
      <c r="F17" s="8">
        <f t="shared" si="1"/>
        <v>452139.55776</v>
      </c>
      <c r="G17" s="298">
        <v>0</v>
      </c>
      <c r="H17" s="13">
        <f t="shared" si="2"/>
        <v>0</v>
      </c>
      <c r="I17" s="18">
        <v>0</v>
      </c>
      <c r="J17" s="6">
        <v>2.5</v>
      </c>
      <c r="K17" s="13">
        <f t="shared" si="3"/>
        <v>65.54249999999999</v>
      </c>
      <c r="L17" s="13">
        <v>0</v>
      </c>
      <c r="M17" s="13">
        <f t="shared" si="4"/>
        <v>251188.64319999999</v>
      </c>
      <c r="N17" s="8">
        <f t="shared" si="5"/>
        <v>452139.55776</v>
      </c>
      <c r="O17" s="289">
        <v>0</v>
      </c>
      <c r="P17" s="326">
        <f t="shared" si="6"/>
        <v>0</v>
      </c>
      <c r="Q17" s="3">
        <v>0</v>
      </c>
      <c r="Z17" s="6">
        <v>8.6</v>
      </c>
      <c r="AA17" s="13">
        <f t="shared" si="11"/>
        <v>225.46619999999999</v>
      </c>
      <c r="AB17" s="13">
        <v>0</v>
      </c>
      <c r="AC17" s="13">
        <f t="shared" si="12"/>
        <v>251188.64319999999</v>
      </c>
      <c r="AD17" s="8">
        <f t="shared" si="13"/>
        <v>452139.55776</v>
      </c>
      <c r="AE17" s="289">
        <v>5.4703899243052398E-2</v>
      </c>
      <c r="AF17" s="326">
        <f t="shared" si="14"/>
        <v>5.4703899243052395E-4</v>
      </c>
      <c r="AG17" s="293">
        <v>0</v>
      </c>
    </row>
    <row r="18" spans="2:33">
      <c r="B18" s="6">
        <v>3.2</v>
      </c>
      <c r="C18" s="13">
        <f t="shared" si="0"/>
        <v>83.894400000000005</v>
      </c>
      <c r="D18" s="13">
        <v>0</v>
      </c>
      <c r="E18" s="13">
        <f t="shared" si="15"/>
        <v>251188.64319999999</v>
      </c>
      <c r="F18" s="8">
        <f t="shared" si="1"/>
        <v>452139.55776</v>
      </c>
      <c r="G18" s="298">
        <v>0</v>
      </c>
      <c r="H18" s="13">
        <f t="shared" si="2"/>
        <v>0</v>
      </c>
      <c r="I18" s="18">
        <v>0</v>
      </c>
      <c r="J18" s="6">
        <v>3.2</v>
      </c>
      <c r="K18" s="13">
        <f t="shared" si="3"/>
        <v>83.894400000000005</v>
      </c>
      <c r="L18" s="13">
        <v>0</v>
      </c>
      <c r="M18" s="13">
        <f t="shared" si="4"/>
        <v>251188.64319999999</v>
      </c>
      <c r="N18" s="8">
        <f t="shared" si="5"/>
        <v>452139.55776</v>
      </c>
      <c r="O18" s="289">
        <v>0</v>
      </c>
      <c r="P18" s="326">
        <f t="shared" si="6"/>
        <v>0</v>
      </c>
      <c r="Q18" s="3">
        <v>0</v>
      </c>
      <c r="Z18" s="17">
        <v>12.4</v>
      </c>
      <c r="AA18" s="10">
        <f t="shared" si="11"/>
        <v>325.0908</v>
      </c>
      <c r="AB18" s="10">
        <v>0.3</v>
      </c>
      <c r="AC18" s="10">
        <f t="shared" si="12"/>
        <v>501187.23372512392</v>
      </c>
      <c r="AD18" s="11">
        <f t="shared" si="13"/>
        <v>902137.02070522308</v>
      </c>
      <c r="AE18" s="289">
        <v>3.6481457922524001</v>
      </c>
      <c r="AF18" s="326">
        <f t="shared" si="14"/>
        <v>3.6481457922524003E-2</v>
      </c>
      <c r="AG18" s="293">
        <v>0</v>
      </c>
    </row>
    <row r="19" spans="2:33">
      <c r="B19" s="6">
        <v>3.5</v>
      </c>
      <c r="C19" s="13">
        <f t="shared" si="0"/>
        <v>91.759500000000003</v>
      </c>
      <c r="D19" s="13">
        <v>0</v>
      </c>
      <c r="E19" s="13">
        <f t="shared" si="15"/>
        <v>251188.64319999999</v>
      </c>
      <c r="F19" s="8">
        <f t="shared" si="1"/>
        <v>452139.55776</v>
      </c>
      <c r="G19" s="298">
        <v>0</v>
      </c>
      <c r="H19" s="13">
        <f t="shared" si="2"/>
        <v>0</v>
      </c>
      <c r="I19" s="18">
        <v>0</v>
      </c>
      <c r="J19" s="6">
        <v>4.7</v>
      </c>
      <c r="K19" s="13">
        <f t="shared" si="3"/>
        <v>123.2199</v>
      </c>
      <c r="L19" s="13">
        <v>0</v>
      </c>
      <c r="M19" s="13">
        <f t="shared" si="4"/>
        <v>251188.64319999999</v>
      </c>
      <c r="N19" s="8">
        <f t="shared" si="5"/>
        <v>452139.55776</v>
      </c>
      <c r="O19" s="289">
        <v>0</v>
      </c>
      <c r="P19" s="326">
        <f t="shared" si="6"/>
        <v>0</v>
      </c>
      <c r="Q19" s="3">
        <v>0</v>
      </c>
    </row>
    <row r="20" spans="2:33">
      <c r="B20" s="6">
        <v>3.9</v>
      </c>
      <c r="C20" s="13">
        <f t="shared" si="0"/>
        <v>102.24629999999999</v>
      </c>
      <c r="D20" s="13">
        <v>0</v>
      </c>
      <c r="E20" s="13">
        <f t="shared" si="15"/>
        <v>251188.64319999999</v>
      </c>
      <c r="F20" s="8">
        <f t="shared" si="1"/>
        <v>452139.55776</v>
      </c>
      <c r="G20" s="13">
        <v>0</v>
      </c>
      <c r="H20" s="13">
        <f t="shared" si="2"/>
        <v>0</v>
      </c>
      <c r="I20" s="18">
        <v>0</v>
      </c>
      <c r="J20" s="6">
        <v>5.4</v>
      </c>
      <c r="K20" s="13">
        <f t="shared" si="3"/>
        <v>141.5718</v>
      </c>
      <c r="L20" s="13">
        <v>0</v>
      </c>
      <c r="M20" s="13">
        <f t="shared" si="4"/>
        <v>251188.64319999999</v>
      </c>
      <c r="N20" s="8">
        <f t="shared" si="5"/>
        <v>452139.55776</v>
      </c>
      <c r="O20" s="289">
        <v>0</v>
      </c>
      <c r="P20" s="326">
        <f t="shared" si="6"/>
        <v>0</v>
      </c>
      <c r="Q20" s="3">
        <v>0</v>
      </c>
    </row>
    <row r="21" spans="2:33">
      <c r="B21" s="6">
        <v>4.3499999999999996</v>
      </c>
      <c r="C21" s="13">
        <f t="shared" si="0"/>
        <v>114.04394999999998</v>
      </c>
      <c r="D21" s="13">
        <v>0</v>
      </c>
      <c r="E21" s="13">
        <f t="shared" si="15"/>
        <v>251188.64319999999</v>
      </c>
      <c r="F21" s="8">
        <f t="shared" si="1"/>
        <v>452139.55776</v>
      </c>
      <c r="G21" s="13">
        <v>0</v>
      </c>
      <c r="H21" s="13">
        <f t="shared" si="2"/>
        <v>0</v>
      </c>
      <c r="I21" s="18">
        <v>0</v>
      </c>
      <c r="J21" s="6">
        <v>6.1</v>
      </c>
      <c r="K21" s="13">
        <f t="shared" si="3"/>
        <v>159.9237</v>
      </c>
      <c r="L21" s="13">
        <v>0</v>
      </c>
      <c r="M21" s="13">
        <f t="shared" si="4"/>
        <v>251188.64319999999</v>
      </c>
      <c r="N21" s="8">
        <f t="shared" si="5"/>
        <v>452139.55776</v>
      </c>
      <c r="O21" s="289">
        <v>0</v>
      </c>
      <c r="P21" s="326">
        <f t="shared" si="6"/>
        <v>0</v>
      </c>
      <c r="Q21" s="3">
        <v>0</v>
      </c>
    </row>
    <row r="22" spans="2:33">
      <c r="B22" s="17">
        <v>4.5999999999999996</v>
      </c>
      <c r="C22" s="10">
        <f t="shared" si="0"/>
        <v>120.59819999999999</v>
      </c>
      <c r="D22" s="10">
        <v>0</v>
      </c>
      <c r="E22" s="10">
        <f t="shared" si="15"/>
        <v>251188.64319999999</v>
      </c>
      <c r="F22" s="11">
        <f t="shared" si="1"/>
        <v>452139.55776</v>
      </c>
      <c r="G22" s="13">
        <v>0</v>
      </c>
      <c r="H22" s="13">
        <f t="shared" si="2"/>
        <v>0</v>
      </c>
      <c r="I22" s="18">
        <v>0</v>
      </c>
      <c r="J22" s="6">
        <v>6.4</v>
      </c>
      <c r="K22" s="13">
        <f t="shared" si="3"/>
        <v>167.78880000000001</v>
      </c>
      <c r="L22" s="13">
        <v>0</v>
      </c>
      <c r="M22" s="13">
        <f t="shared" si="4"/>
        <v>251188.64319999999</v>
      </c>
      <c r="N22" s="8">
        <f t="shared" si="5"/>
        <v>452139.55776</v>
      </c>
      <c r="O22" s="289">
        <v>0</v>
      </c>
      <c r="P22" s="326">
        <f t="shared" si="6"/>
        <v>0</v>
      </c>
      <c r="Q22" s="3">
        <v>0</v>
      </c>
    </row>
    <row r="23" spans="2:33">
      <c r="J23" s="6">
        <v>7.1</v>
      </c>
      <c r="K23" s="13">
        <f t="shared" si="3"/>
        <v>186.14069999999998</v>
      </c>
      <c r="L23" s="13">
        <v>0</v>
      </c>
      <c r="M23" s="13">
        <f t="shared" si="4"/>
        <v>251188.64319999999</v>
      </c>
      <c r="N23" s="8">
        <f t="shared" si="5"/>
        <v>452139.55776</v>
      </c>
      <c r="O23" s="289">
        <v>0</v>
      </c>
      <c r="P23" s="326">
        <f t="shared" si="6"/>
        <v>0</v>
      </c>
      <c r="Q23" s="3">
        <v>0</v>
      </c>
    </row>
    <row r="24" spans="2:33">
      <c r="J24" s="6">
        <v>7.8</v>
      </c>
      <c r="K24" s="13">
        <f t="shared" si="3"/>
        <v>204.49259999999998</v>
      </c>
      <c r="L24" s="13">
        <v>0</v>
      </c>
      <c r="M24" s="13">
        <f t="shared" si="4"/>
        <v>251188.64319999999</v>
      </c>
      <c r="N24" s="8">
        <f t="shared" si="5"/>
        <v>452139.55776</v>
      </c>
      <c r="O24" s="289">
        <v>0</v>
      </c>
      <c r="P24" s="326">
        <f t="shared" si="6"/>
        <v>0</v>
      </c>
      <c r="Q24" s="3">
        <v>0</v>
      </c>
    </row>
    <row r="25" spans="2:33">
      <c r="J25" s="6">
        <v>8.75</v>
      </c>
      <c r="K25" s="13">
        <f t="shared" si="3"/>
        <v>229.39874999999998</v>
      </c>
      <c r="L25" s="13">
        <v>0</v>
      </c>
      <c r="M25" s="13">
        <f t="shared" si="4"/>
        <v>251188.64319999999</v>
      </c>
      <c r="N25" s="8">
        <f t="shared" si="5"/>
        <v>452139.55776</v>
      </c>
      <c r="O25" s="289">
        <v>0</v>
      </c>
      <c r="P25" s="326">
        <f t="shared" si="6"/>
        <v>0</v>
      </c>
      <c r="Q25" s="3">
        <v>0</v>
      </c>
    </row>
    <row r="26" spans="2:33">
      <c r="J26" s="6">
        <v>9.4</v>
      </c>
      <c r="K26" s="13">
        <f t="shared" si="3"/>
        <v>246.43979999999999</v>
      </c>
      <c r="L26" s="13">
        <v>0</v>
      </c>
      <c r="M26" s="13">
        <f t="shared" si="4"/>
        <v>251188.64319999999</v>
      </c>
      <c r="N26" s="8">
        <f t="shared" si="5"/>
        <v>452139.55776</v>
      </c>
      <c r="O26" s="289">
        <v>0</v>
      </c>
      <c r="P26" s="326">
        <f t="shared" si="6"/>
        <v>0</v>
      </c>
      <c r="Q26" s="3">
        <v>0</v>
      </c>
    </row>
    <row r="27" spans="2:33">
      <c r="J27" s="6">
        <v>9.6999999999999993</v>
      </c>
      <c r="K27" s="13">
        <f t="shared" si="3"/>
        <v>254.30489999999998</v>
      </c>
      <c r="L27" s="13">
        <v>0</v>
      </c>
      <c r="M27" s="13">
        <f t="shared" si="4"/>
        <v>251188.64319999999</v>
      </c>
      <c r="N27" s="8">
        <f t="shared" si="5"/>
        <v>452139.55776</v>
      </c>
      <c r="O27" s="289">
        <v>0</v>
      </c>
      <c r="P27" s="326">
        <f t="shared" si="6"/>
        <v>0</v>
      </c>
      <c r="Q27" s="3">
        <v>0</v>
      </c>
    </row>
    <row r="28" spans="2:33">
      <c r="J28" s="17">
        <v>10.1</v>
      </c>
      <c r="K28" s="10">
        <f t="shared" si="3"/>
        <v>264.79169999999999</v>
      </c>
      <c r="L28" s="10">
        <v>0</v>
      </c>
      <c r="M28" s="10">
        <f t="shared" si="4"/>
        <v>251188.64319999999</v>
      </c>
      <c r="N28" s="11">
        <f t="shared" si="5"/>
        <v>452139.55776</v>
      </c>
      <c r="O28" s="229">
        <v>0</v>
      </c>
      <c r="P28" s="326">
        <f t="shared" si="6"/>
        <v>0</v>
      </c>
      <c r="Q28" s="3">
        <v>0</v>
      </c>
    </row>
    <row r="29" spans="2:33">
      <c r="M29" s="13"/>
      <c r="Q29" s="3"/>
    </row>
  </sheetData>
  <mergeCells count="1">
    <mergeCell ref="A1:N1"/>
  </mergeCells>
  <phoneticPr fontId="12" type="noConversion"/>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5" sqref="A5:XFD6"/>
    </sheetView>
  </sheetViews>
  <sheetFormatPr baseColWidth="10" defaultRowHeight="13" x14ac:dyDescent="0"/>
  <cols>
    <col min="1" max="1" width="27.85546875" customWidth="1"/>
    <col min="2" max="2" width="10.85546875" style="303" customWidth="1"/>
  </cols>
  <sheetData>
    <row r="1" spans="1:6">
      <c r="A1" s="304" t="s">
        <v>158</v>
      </c>
    </row>
    <row r="2" spans="1:6">
      <c r="A2" t="s">
        <v>911</v>
      </c>
    </row>
    <row r="4" spans="1:6">
      <c r="A4" t="s">
        <v>376</v>
      </c>
      <c r="B4" s="303" t="s">
        <v>864</v>
      </c>
      <c r="C4" t="s">
        <v>409</v>
      </c>
      <c r="D4" t="s">
        <v>515</v>
      </c>
      <c r="E4" s="304" t="s">
        <v>75</v>
      </c>
      <c r="F4" t="s">
        <v>11</v>
      </c>
    </row>
    <row r="5" spans="1:6">
      <c r="A5" t="s">
        <v>263</v>
      </c>
      <c r="B5" s="303">
        <v>5.0000000000000001E-3</v>
      </c>
      <c r="C5">
        <v>60</v>
      </c>
      <c r="D5">
        <v>10.9</v>
      </c>
      <c r="E5">
        <f>(C5+D5)/100</f>
        <v>0.70900000000000007</v>
      </c>
      <c r="F5">
        <f>D5/(C5+D5)</f>
        <v>0.15373765867418898</v>
      </c>
    </row>
    <row r="6" spans="1:6">
      <c r="A6" t="s">
        <v>264</v>
      </c>
      <c r="B6" s="303">
        <v>5.0000000000000001E-3</v>
      </c>
      <c r="C6">
        <v>52.9</v>
      </c>
      <c r="D6">
        <v>31.3</v>
      </c>
      <c r="E6" s="304">
        <f t="shared" ref="E6:E12" si="0">(C6+D6)/100</f>
        <v>0.84200000000000008</v>
      </c>
      <c r="F6" s="312">
        <f t="shared" ref="F6:F12" si="1">D6/(C6+D6)</f>
        <v>0.37173396674584325</v>
      </c>
    </row>
    <row r="7" spans="1:6">
      <c r="A7" t="s">
        <v>265</v>
      </c>
      <c r="B7" s="303">
        <v>0.11</v>
      </c>
      <c r="C7">
        <v>52.5</v>
      </c>
      <c r="D7">
        <v>29.7</v>
      </c>
      <c r="E7" s="304">
        <f t="shared" si="0"/>
        <v>0.82200000000000006</v>
      </c>
      <c r="F7" s="312">
        <f t="shared" si="1"/>
        <v>0.36131386861313869</v>
      </c>
    </row>
    <row r="8" spans="1:6">
      <c r="A8" t="s">
        <v>266</v>
      </c>
      <c r="B8" s="303">
        <v>0.26</v>
      </c>
      <c r="C8">
        <v>70.7</v>
      </c>
      <c r="D8">
        <v>29.4</v>
      </c>
      <c r="E8" s="304">
        <f t="shared" si="0"/>
        <v>1.0009999999999999</v>
      </c>
      <c r="F8" s="312">
        <f t="shared" si="1"/>
        <v>0.2937062937062937</v>
      </c>
    </row>
    <row r="9" spans="1:6">
      <c r="A9" t="s">
        <v>267</v>
      </c>
      <c r="B9" s="303">
        <v>0.01</v>
      </c>
      <c r="C9">
        <v>64.3</v>
      </c>
      <c r="D9">
        <v>24.4</v>
      </c>
      <c r="E9" s="304">
        <f t="shared" si="0"/>
        <v>0.8869999999999999</v>
      </c>
      <c r="F9" s="312">
        <f t="shared" si="1"/>
        <v>0.27508455467869225</v>
      </c>
    </row>
    <row r="10" spans="1:6">
      <c r="A10" t="s">
        <v>268</v>
      </c>
      <c r="B10" s="303">
        <v>0.01</v>
      </c>
      <c r="C10">
        <v>50.4</v>
      </c>
      <c r="D10">
        <v>20.3</v>
      </c>
      <c r="E10" s="304">
        <f t="shared" si="0"/>
        <v>0.70700000000000007</v>
      </c>
      <c r="F10" s="312">
        <f t="shared" si="1"/>
        <v>0.28712871287128711</v>
      </c>
    </row>
    <row r="11" spans="1:6">
      <c r="A11" t="s">
        <v>120</v>
      </c>
      <c r="B11" s="303">
        <v>0.01</v>
      </c>
      <c r="C11">
        <v>72.400000000000006</v>
      </c>
      <c r="D11">
        <v>11.6</v>
      </c>
      <c r="E11" s="304">
        <f t="shared" si="0"/>
        <v>0.84</v>
      </c>
      <c r="F11" s="312">
        <f t="shared" si="1"/>
        <v>0.1380952380952381</v>
      </c>
    </row>
    <row r="12" spans="1:6">
      <c r="A12" t="s">
        <v>121</v>
      </c>
      <c r="B12" s="303">
        <v>0.01</v>
      </c>
      <c r="C12">
        <v>72</v>
      </c>
      <c r="D12">
        <v>24.8</v>
      </c>
      <c r="E12" s="304">
        <f t="shared" si="0"/>
        <v>0.96799999999999997</v>
      </c>
      <c r="F12" s="312">
        <f t="shared" si="1"/>
        <v>0.25619834710743805</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P26" sqref="P26"/>
    </sheetView>
  </sheetViews>
  <sheetFormatPr baseColWidth="10" defaultRowHeight="13" x14ac:dyDescent="0"/>
  <cols>
    <col min="2" max="3" width="10.7109375" style="176"/>
    <col min="5" max="5" width="11" style="176" bestFit="1" customWidth="1"/>
    <col min="6" max="6" width="10.7109375" style="176"/>
    <col min="8" max="9" width="10.7109375" style="176"/>
  </cols>
  <sheetData>
    <row r="1" spans="1:12">
      <c r="A1" s="176" t="s">
        <v>1144</v>
      </c>
    </row>
    <row r="2" spans="1:12">
      <c r="A2" s="176" t="s">
        <v>1198</v>
      </c>
      <c r="I2" s="176" t="s">
        <v>1193</v>
      </c>
    </row>
    <row r="4" spans="1:12">
      <c r="D4" s="176" t="s">
        <v>1252</v>
      </c>
      <c r="F4" s="32" t="s">
        <v>1102</v>
      </c>
      <c r="G4" s="176" t="s">
        <v>1048</v>
      </c>
      <c r="J4" s="176" t="s">
        <v>1011</v>
      </c>
    </row>
    <row r="5" spans="1:12">
      <c r="A5" s="176" t="s">
        <v>1250</v>
      </c>
      <c r="B5" s="176" t="s">
        <v>1058</v>
      </c>
      <c r="C5" s="32" t="s">
        <v>797</v>
      </c>
      <c r="D5" s="176" t="s">
        <v>1251</v>
      </c>
      <c r="E5" s="176" t="s">
        <v>1100</v>
      </c>
      <c r="F5" s="32" t="s">
        <v>1101</v>
      </c>
      <c r="G5" s="176" t="s">
        <v>1049</v>
      </c>
      <c r="H5" s="176" t="s">
        <v>1100</v>
      </c>
      <c r="I5" s="176" t="s">
        <v>1101</v>
      </c>
      <c r="J5" s="176" t="s">
        <v>1057</v>
      </c>
      <c r="L5" s="176" t="s">
        <v>1192</v>
      </c>
    </row>
    <row r="6" spans="1:12">
      <c r="A6">
        <v>0.2</v>
      </c>
      <c r="B6" s="176">
        <f>(25*A6)/10.8</f>
        <v>0.46296296296296291</v>
      </c>
      <c r="C6" s="32">
        <f>B6/100</f>
        <v>4.6296296296296294E-3</v>
      </c>
      <c r="D6">
        <v>6.4</v>
      </c>
      <c r="E6" s="193">
        <f>8000000*EXP(1.0111*D6)</f>
        <v>5169243033.9180059</v>
      </c>
      <c r="F6" s="194">
        <f>E6/2</f>
        <v>2584621516.959003</v>
      </c>
      <c r="G6">
        <v>6.1</v>
      </c>
      <c r="H6" s="195">
        <f>8000000*EXP(1.0111*G6)</f>
        <v>3816738502.2212415</v>
      </c>
      <c r="I6" s="194">
        <f>H6/2</f>
        <v>1908369251.1106207</v>
      </c>
      <c r="J6">
        <v>3.35</v>
      </c>
      <c r="K6" s="193">
        <f>8000000*EXP(1.0111*J6)</f>
        <v>236660480.35483295</v>
      </c>
      <c r="L6" s="194">
        <f>K6/2</f>
        <v>118330240.17741647</v>
      </c>
    </row>
    <row r="7" spans="1:12">
      <c r="A7">
        <v>0.4</v>
      </c>
      <c r="B7" s="176">
        <f t="shared" ref="B7:B15" si="0">(25*A7)/10.8</f>
        <v>0.92592592592592582</v>
      </c>
      <c r="C7" s="32">
        <f t="shared" ref="C7:C15" si="1">B7/100</f>
        <v>9.2592592592592587E-3</v>
      </c>
      <c r="D7">
        <v>6.4</v>
      </c>
      <c r="E7" s="193">
        <f t="shared" ref="E7:E15" si="2">8000000*EXP(1.0111*D7)</f>
        <v>5169243033.9180059</v>
      </c>
      <c r="F7" s="194">
        <f t="shared" ref="F7:F15" si="3">E7/2</f>
        <v>2584621516.959003</v>
      </c>
      <c r="G7">
        <v>6</v>
      </c>
      <c r="H7" s="195">
        <f t="shared" ref="H7:H15" si="4">8000000*EXP(1.0111*G7)</f>
        <v>3449696522.5561891</v>
      </c>
      <c r="I7" s="194">
        <f t="shared" ref="I7:I15" si="5">H7/2</f>
        <v>1724848261.2780945</v>
      </c>
      <c r="J7">
        <v>3.3</v>
      </c>
      <c r="K7" s="193">
        <f t="shared" ref="K7:K15" si="6">8000000*EXP(1.0111*J7)</f>
        <v>224993506.47567227</v>
      </c>
      <c r="L7" s="194">
        <f t="shared" ref="L7:L15" si="7">K7/2</f>
        <v>112496753.23783614</v>
      </c>
    </row>
    <row r="8" spans="1:12">
      <c r="A8">
        <v>0.6</v>
      </c>
      <c r="B8" s="176">
        <f t="shared" si="0"/>
        <v>1.3888888888888888</v>
      </c>
      <c r="C8" s="32">
        <f t="shared" si="1"/>
        <v>1.3888888888888888E-2</v>
      </c>
      <c r="D8">
        <v>6.6</v>
      </c>
      <c r="E8" s="193">
        <f t="shared" si="2"/>
        <v>6327759744.527297</v>
      </c>
      <c r="F8" s="194">
        <f t="shared" si="3"/>
        <v>3163879872.2636485</v>
      </c>
      <c r="G8">
        <v>6.1</v>
      </c>
      <c r="H8" s="195">
        <f t="shared" si="4"/>
        <v>3816738502.2212415</v>
      </c>
      <c r="I8" s="194">
        <f t="shared" si="5"/>
        <v>1908369251.1106207</v>
      </c>
      <c r="J8">
        <v>3.6</v>
      </c>
      <c r="K8" s="193">
        <f t="shared" si="6"/>
        <v>304722504.65922457</v>
      </c>
      <c r="L8" s="194">
        <f t="shared" si="7"/>
        <v>152361252.32961228</v>
      </c>
    </row>
    <row r="9" spans="1:12">
      <c r="A9">
        <v>0.9</v>
      </c>
      <c r="B9" s="176">
        <f t="shared" si="0"/>
        <v>2.083333333333333</v>
      </c>
      <c r="C9" s="32">
        <f t="shared" si="1"/>
        <v>2.0833333333333329E-2</v>
      </c>
      <c r="D9">
        <v>6.6</v>
      </c>
      <c r="E9" s="193">
        <f t="shared" si="2"/>
        <v>6327759744.527297</v>
      </c>
      <c r="F9" s="194">
        <f t="shared" si="3"/>
        <v>3163879872.2636485</v>
      </c>
      <c r="G9">
        <v>6</v>
      </c>
      <c r="H9" s="195">
        <f t="shared" si="4"/>
        <v>3449696522.5561891</v>
      </c>
      <c r="I9" s="194">
        <f t="shared" si="5"/>
        <v>1724848261.2780945</v>
      </c>
      <c r="J9">
        <v>3.8</v>
      </c>
      <c r="K9" s="193">
        <f t="shared" si="6"/>
        <v>373016084.86623937</v>
      </c>
      <c r="L9" s="194">
        <f t="shared" si="7"/>
        <v>186508042.43311968</v>
      </c>
    </row>
    <row r="10" spans="1:12">
      <c r="A10">
        <v>1.1000000000000001</v>
      </c>
      <c r="B10" s="176">
        <f t="shared" si="0"/>
        <v>2.5462962962962963</v>
      </c>
      <c r="C10" s="32">
        <f t="shared" si="1"/>
        <v>2.5462962962962962E-2</v>
      </c>
      <c r="D10">
        <v>6.4</v>
      </c>
      <c r="E10" s="193">
        <f t="shared" si="2"/>
        <v>5169243033.9180059</v>
      </c>
      <c r="F10" s="194">
        <f t="shared" si="3"/>
        <v>2584621516.959003</v>
      </c>
      <c r="G10">
        <v>5.75</v>
      </c>
      <c r="H10" s="195">
        <f t="shared" si="4"/>
        <v>2679181299.7846775</v>
      </c>
      <c r="I10" s="194">
        <f t="shared" si="5"/>
        <v>1339590649.8923388</v>
      </c>
      <c r="J10">
        <v>3.5</v>
      </c>
      <c r="K10" s="193">
        <f t="shared" si="6"/>
        <v>275418440.13043278</v>
      </c>
      <c r="L10" s="194">
        <f t="shared" si="7"/>
        <v>137709220.06521639</v>
      </c>
    </row>
    <row r="11" spans="1:12">
      <c r="A11">
        <v>1.4</v>
      </c>
      <c r="B11" s="176">
        <f t="shared" si="0"/>
        <v>3.2407407407407405</v>
      </c>
      <c r="C11" s="32">
        <f t="shared" si="1"/>
        <v>3.2407407407407406E-2</v>
      </c>
      <c r="D11">
        <v>6.3</v>
      </c>
      <c r="E11" s="193">
        <f t="shared" si="2"/>
        <v>4672135570.1934462</v>
      </c>
      <c r="F11" s="194">
        <f t="shared" si="3"/>
        <v>2336067785.0967231</v>
      </c>
      <c r="G11">
        <v>5.5</v>
      </c>
      <c r="H11" s="195">
        <f t="shared" si="4"/>
        <v>2080766348.628571</v>
      </c>
      <c r="I11" s="194">
        <f t="shared" si="5"/>
        <v>1040383174.3142855</v>
      </c>
      <c r="J11">
        <v>3.5</v>
      </c>
      <c r="K11" s="193">
        <f t="shared" si="6"/>
        <v>275418440.13043278</v>
      </c>
      <c r="L11" s="194">
        <f t="shared" si="7"/>
        <v>137709220.06521639</v>
      </c>
    </row>
    <row r="12" spans="1:12">
      <c r="A12">
        <v>1.5</v>
      </c>
      <c r="B12" s="176">
        <f t="shared" si="0"/>
        <v>3.4722222222222219</v>
      </c>
      <c r="C12" s="32">
        <f t="shared" si="1"/>
        <v>3.4722222222222217E-2</v>
      </c>
      <c r="D12">
        <v>6</v>
      </c>
      <c r="E12" s="193">
        <f t="shared" si="2"/>
        <v>3449696522.5561891</v>
      </c>
      <c r="F12" s="194">
        <f t="shared" si="3"/>
        <v>1724848261.2780945</v>
      </c>
      <c r="G12">
        <v>5.2</v>
      </c>
      <c r="H12" s="195">
        <f t="shared" si="4"/>
        <v>1536345067.3197639</v>
      </c>
      <c r="I12" s="194">
        <f t="shared" si="5"/>
        <v>768172533.65988195</v>
      </c>
      <c r="J12">
        <v>3.1</v>
      </c>
      <c r="K12" s="193">
        <f t="shared" si="6"/>
        <v>183800612.37818643</v>
      </c>
      <c r="L12" s="194">
        <f t="shared" si="7"/>
        <v>91900306.189093217</v>
      </c>
    </row>
    <row r="13" spans="1:12">
      <c r="A13">
        <v>1.7</v>
      </c>
      <c r="B13" s="176">
        <f t="shared" si="0"/>
        <v>3.9351851851851851</v>
      </c>
      <c r="C13" s="32">
        <f t="shared" si="1"/>
        <v>3.9351851851851853E-2</v>
      </c>
      <c r="D13">
        <v>5.8</v>
      </c>
      <c r="E13" s="193">
        <f t="shared" si="2"/>
        <v>2818109479.2319503</v>
      </c>
      <c r="F13" s="194">
        <f t="shared" si="3"/>
        <v>1409054739.6159751</v>
      </c>
      <c r="G13">
        <v>4.9000000000000004</v>
      </c>
      <c r="H13" s="195">
        <f t="shared" si="4"/>
        <v>1134368674.9997067</v>
      </c>
      <c r="I13" s="194">
        <f t="shared" si="5"/>
        <v>567184337.49985337</v>
      </c>
      <c r="J13">
        <v>2.8</v>
      </c>
      <c r="K13" s="193">
        <f t="shared" si="6"/>
        <v>135710174.46706375</v>
      </c>
      <c r="L13" s="194">
        <f t="shared" si="7"/>
        <v>67855087.233531877</v>
      </c>
    </row>
    <row r="14" spans="1:12">
      <c r="A14">
        <v>1.9</v>
      </c>
      <c r="B14" s="176">
        <f t="shared" si="0"/>
        <v>4.3981481481481479</v>
      </c>
      <c r="C14" s="32">
        <f t="shared" si="1"/>
        <v>4.3981481481481483E-2</v>
      </c>
      <c r="D14">
        <v>5.8</v>
      </c>
      <c r="E14" s="193">
        <f t="shared" si="2"/>
        <v>2818109479.2319503</v>
      </c>
      <c r="F14" s="194">
        <f t="shared" si="3"/>
        <v>1409054739.6159751</v>
      </c>
      <c r="G14">
        <v>4.75</v>
      </c>
      <c r="H14" s="195">
        <f t="shared" si="4"/>
        <v>974735879.69552219</v>
      </c>
      <c r="I14" s="194">
        <f t="shared" si="5"/>
        <v>487367939.84776109</v>
      </c>
      <c r="J14">
        <v>2.65</v>
      </c>
      <c r="K14" s="193">
        <f t="shared" si="6"/>
        <v>116612508.09206311</v>
      </c>
      <c r="L14" s="194">
        <f t="shared" si="7"/>
        <v>58306254.046031557</v>
      </c>
    </row>
    <row r="15" spans="1:12">
      <c r="A15">
        <v>2.1</v>
      </c>
      <c r="B15" s="176">
        <f t="shared" si="0"/>
        <v>4.8611111111111107</v>
      </c>
      <c r="C15" s="32">
        <f t="shared" si="1"/>
        <v>4.8611111111111105E-2</v>
      </c>
      <c r="D15">
        <v>5.4</v>
      </c>
      <c r="E15" s="193">
        <f t="shared" si="2"/>
        <v>1880666551.543551</v>
      </c>
      <c r="F15" s="194">
        <f t="shared" si="3"/>
        <v>940333275.77177548</v>
      </c>
      <c r="G15">
        <v>4.25</v>
      </c>
      <c r="H15" s="195">
        <f t="shared" si="4"/>
        <v>587935084.72694194</v>
      </c>
      <c r="I15" s="194">
        <f t="shared" si="5"/>
        <v>293967542.36347097</v>
      </c>
      <c r="J15">
        <v>2.1</v>
      </c>
      <c r="K15" s="193">
        <f t="shared" si="6"/>
        <v>66870073.932445653</v>
      </c>
      <c r="L15" s="194">
        <f t="shared" si="7"/>
        <v>33435036.966222826</v>
      </c>
    </row>
    <row r="21" spans="2:3">
      <c r="B21" s="176" t="s">
        <v>720</v>
      </c>
      <c r="C21" s="176" t="s">
        <v>1246</v>
      </c>
    </row>
    <row r="22" spans="2:3">
      <c r="B22" s="176">
        <v>2.4</v>
      </c>
      <c r="C22" s="189">
        <v>100000000</v>
      </c>
    </row>
    <row r="23" spans="2:3">
      <c r="B23" s="176">
        <v>4.8</v>
      </c>
      <c r="C23" s="189">
        <v>1000000000</v>
      </c>
    </row>
    <row r="24" spans="2:3">
      <c r="B24" s="176">
        <v>6.95</v>
      </c>
      <c r="C24" s="189">
        <v>10000000000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F17" sqref="F17"/>
    </sheetView>
  </sheetViews>
  <sheetFormatPr baseColWidth="10" defaultRowHeight="13" x14ac:dyDescent="0"/>
  <cols>
    <col min="2" max="3" width="10.7109375" style="207"/>
    <col min="4" max="4" width="17.5703125" style="205" customWidth="1"/>
    <col min="5" max="5" width="10.7109375" style="205"/>
    <col min="10" max="10" width="10.7109375" style="207"/>
  </cols>
  <sheetData>
    <row r="1" spans="1:15">
      <c r="A1" s="205" t="s">
        <v>713</v>
      </c>
    </row>
    <row r="2" spans="1:15">
      <c r="A2" s="293" t="s">
        <v>1275</v>
      </c>
    </row>
    <row r="3" spans="1:15">
      <c r="A3" t="s">
        <v>1276</v>
      </c>
      <c r="D3"/>
      <c r="E3"/>
    </row>
    <row r="4" spans="1:15">
      <c r="A4" s="205" t="s">
        <v>679</v>
      </c>
      <c r="D4"/>
      <c r="E4"/>
      <c r="N4" s="222" t="s">
        <v>811</v>
      </c>
    </row>
    <row r="5" spans="1:15">
      <c r="D5"/>
      <c r="E5"/>
      <c r="L5" s="207" t="s">
        <v>1003</v>
      </c>
      <c r="M5" s="207" t="s">
        <v>1005</v>
      </c>
      <c r="N5" s="222" t="s">
        <v>810</v>
      </c>
      <c r="O5" s="222" t="s">
        <v>810</v>
      </c>
    </row>
    <row r="6" spans="1:15" s="43" customFormat="1" ht="26">
      <c r="A6" s="43" t="s">
        <v>714</v>
      </c>
      <c r="B6" s="43" t="s">
        <v>965</v>
      </c>
      <c r="C6" s="309" t="s">
        <v>864</v>
      </c>
      <c r="D6" s="43" t="s">
        <v>675</v>
      </c>
      <c r="E6" s="279" t="s">
        <v>677</v>
      </c>
      <c r="F6" s="309" t="s">
        <v>678</v>
      </c>
      <c r="G6" s="279" t="s">
        <v>1396</v>
      </c>
      <c r="H6" s="279" t="s">
        <v>1397</v>
      </c>
      <c r="I6" s="309" t="s">
        <v>864</v>
      </c>
      <c r="J6" s="308" t="s">
        <v>1001</v>
      </c>
      <c r="K6" s="308" t="s">
        <v>1002</v>
      </c>
      <c r="L6" s="308" t="s">
        <v>1000</v>
      </c>
      <c r="M6" s="308" t="s">
        <v>1004</v>
      </c>
      <c r="N6" s="308" t="s">
        <v>651</v>
      </c>
      <c r="O6" s="308" t="s">
        <v>812</v>
      </c>
    </row>
    <row r="7" spans="1:15">
      <c r="A7">
        <v>0.25</v>
      </c>
      <c r="B7" s="207">
        <f>(A7*40)/14.6</f>
        <v>0.68493150684931503</v>
      </c>
      <c r="C7" s="209">
        <f>B7/100</f>
        <v>6.8493150684931503E-3</v>
      </c>
      <c r="D7">
        <v>0.75</v>
      </c>
      <c r="E7" s="244">
        <f>(5000000000*D7)/10.55</f>
        <v>355450236.96682459</v>
      </c>
      <c r="F7" s="245">
        <f>E7/2</f>
        <v>177725118.4834123</v>
      </c>
      <c r="G7">
        <v>77.075098814229193</v>
      </c>
      <c r="H7" s="301">
        <f>E7*G7/100</f>
        <v>273963621.37759191</v>
      </c>
      <c r="I7" s="209">
        <v>6.8493150684931503E-3</v>
      </c>
      <c r="J7" s="125">
        <f>AVERAGE(I7,I8)</f>
        <v>6.9644805430961326E-3</v>
      </c>
      <c r="K7" s="242">
        <v>177725118.4834123</v>
      </c>
      <c r="L7" s="242">
        <v>84.615384615384613</v>
      </c>
      <c r="M7" s="242">
        <f>(L7*K7)/100</f>
        <v>150382792.56288731</v>
      </c>
      <c r="N7" s="125">
        <v>1</v>
      </c>
      <c r="O7" s="243">
        <f>(N7*K7)/100</f>
        <v>1777251.1848341229</v>
      </c>
    </row>
    <row r="8" spans="1:15">
      <c r="A8">
        <v>0.6</v>
      </c>
      <c r="B8" s="207">
        <f t="shared" ref="B8:B24" si="0">(A8*40)/14.6</f>
        <v>1.6438356164383563</v>
      </c>
      <c r="C8" s="209">
        <f t="shared" ref="C8:C24" si="1">B8/100</f>
        <v>1.6438356164383564E-2</v>
      </c>
      <c r="D8">
        <v>9.1</v>
      </c>
      <c r="E8" s="244">
        <f t="shared" ref="E8:E24" si="2">(5000000000*D8)/10.55</f>
        <v>4312796208.5308056</v>
      </c>
      <c r="F8" s="245">
        <f t="shared" ref="F8:F24" si="3">E8/2</f>
        <v>2156398104.2654028</v>
      </c>
      <c r="G8">
        <v>75.625823451910406</v>
      </c>
      <c r="H8" s="301">
        <f t="shared" ref="H8:H24" si="4">E8*G8/100</f>
        <v>3261587646.5041924</v>
      </c>
      <c r="I8" s="32">
        <v>7.0796460176991149E-3</v>
      </c>
      <c r="J8" s="125">
        <f>AVERAGE(I9,I10)</f>
        <v>1.7068735604315675E-2</v>
      </c>
      <c r="K8" s="242">
        <v>2156398104.2654028</v>
      </c>
      <c r="L8" s="242">
        <v>80.512820512820511</v>
      </c>
      <c r="M8" s="242">
        <f t="shared" ref="M8:M22" si="5">(L8*K8)/100</f>
        <v>1736176935.229068</v>
      </c>
      <c r="N8" s="125">
        <v>1</v>
      </c>
      <c r="O8" s="243">
        <f t="shared" ref="O8:O22" si="6">(N8*K8)/100</f>
        <v>21563981.042654026</v>
      </c>
    </row>
    <row r="9" spans="1:15">
      <c r="A9">
        <v>1</v>
      </c>
      <c r="B9" s="207">
        <f t="shared" si="0"/>
        <v>2.7397260273972601</v>
      </c>
      <c r="C9" s="209">
        <f t="shared" si="1"/>
        <v>2.7397260273972601E-2</v>
      </c>
      <c r="D9">
        <v>10.3</v>
      </c>
      <c r="E9" s="244">
        <f t="shared" si="2"/>
        <v>4881516587.6777248</v>
      </c>
      <c r="F9" s="245">
        <f t="shared" si="3"/>
        <v>2440758293.8388624</v>
      </c>
      <c r="G9">
        <v>81.422924901185695</v>
      </c>
      <c r="H9" s="301">
        <f t="shared" si="4"/>
        <v>3974673585.2237568</v>
      </c>
      <c r="I9" s="209">
        <v>1.6438356164383564E-2</v>
      </c>
      <c r="J9" s="125">
        <f>AVERAGE(I13,I14)</f>
        <v>3.7277245726754754E-2</v>
      </c>
      <c r="K9" s="242">
        <v>2085308056.8720379</v>
      </c>
      <c r="L9" s="242">
        <v>91.794871794871796</v>
      </c>
      <c r="M9" s="242">
        <f>(L9*K9)/100</f>
        <v>1914205857.3338194</v>
      </c>
      <c r="N9" s="125">
        <v>1</v>
      </c>
      <c r="O9" s="243">
        <f>(N9*K9)/100</f>
        <v>20853080.568720378</v>
      </c>
    </row>
    <row r="10" spans="1:15">
      <c r="A10">
        <v>1.3</v>
      </c>
      <c r="B10" s="207">
        <f t="shared" si="0"/>
        <v>3.5616438356164384</v>
      </c>
      <c r="C10" s="209">
        <f t="shared" si="1"/>
        <v>3.5616438356164383E-2</v>
      </c>
      <c r="D10">
        <v>8.8000000000000007</v>
      </c>
      <c r="E10" s="244">
        <f t="shared" si="2"/>
        <v>4170616113.7440758</v>
      </c>
      <c r="F10" s="245">
        <f t="shared" si="3"/>
        <v>2085308056.8720379</v>
      </c>
      <c r="G10">
        <v>67.061923583662605</v>
      </c>
      <c r="H10" s="301">
        <f t="shared" si="4"/>
        <v>2796895391.1669712</v>
      </c>
      <c r="I10" s="32">
        <v>1.7699115044247787E-2</v>
      </c>
      <c r="J10" s="125">
        <f>AVERAGE(I15,I16)</f>
        <v>4.8066432294823616E-2</v>
      </c>
      <c r="K10" s="242">
        <v>1327014218.0094786</v>
      </c>
      <c r="L10" s="242">
        <v>78.974358974358978</v>
      </c>
      <c r="M10" s="242">
        <f t="shared" si="5"/>
        <v>1048000972.1715883</v>
      </c>
      <c r="N10" s="125">
        <v>1</v>
      </c>
      <c r="O10" s="243">
        <f t="shared" si="6"/>
        <v>13270142.180094786</v>
      </c>
    </row>
    <row r="11" spans="1:15">
      <c r="A11">
        <v>1.7</v>
      </c>
      <c r="B11" s="207">
        <f t="shared" si="0"/>
        <v>4.6575342465753424</v>
      </c>
      <c r="C11" s="209">
        <f t="shared" si="1"/>
        <v>4.6575342465753428E-2</v>
      </c>
      <c r="D11">
        <v>5.6</v>
      </c>
      <c r="E11" s="244">
        <f t="shared" si="2"/>
        <v>2654028436.0189571</v>
      </c>
      <c r="F11" s="245">
        <f t="shared" si="3"/>
        <v>1327014218.0094786</v>
      </c>
      <c r="G11">
        <v>51.251646903820799</v>
      </c>
      <c r="H11" s="301">
        <f t="shared" si="4"/>
        <v>1360233282.7554333</v>
      </c>
      <c r="I11" s="209">
        <v>2.7397260273972601E-2</v>
      </c>
      <c r="J11" s="125">
        <f>AVERAGE(I17,I18)</f>
        <v>5.8855618862892471E-2</v>
      </c>
      <c r="K11" s="242">
        <v>900473933.64928901</v>
      </c>
      <c r="L11" s="242">
        <v>71.794871794871796</v>
      </c>
      <c r="M11" s="242">
        <f t="shared" si="5"/>
        <v>646494106.20974588</v>
      </c>
      <c r="N11" s="125">
        <v>1</v>
      </c>
      <c r="O11" s="243">
        <f t="shared" si="6"/>
        <v>9004739.3364928905</v>
      </c>
    </row>
    <row r="12" spans="1:15">
      <c r="A12">
        <v>2.1</v>
      </c>
      <c r="B12" s="207">
        <f t="shared" si="0"/>
        <v>5.7534246575342465</v>
      </c>
      <c r="C12" s="209">
        <f t="shared" si="1"/>
        <v>5.7534246575342465E-2</v>
      </c>
      <c r="D12">
        <v>3.8</v>
      </c>
      <c r="E12" s="244">
        <f t="shared" si="2"/>
        <v>1800947867.298578</v>
      </c>
      <c r="F12" s="245">
        <f t="shared" si="3"/>
        <v>900473933.64928901</v>
      </c>
      <c r="G12">
        <v>45.718050065876099</v>
      </c>
      <c r="H12" s="301">
        <f t="shared" si="4"/>
        <v>823358247.63189173</v>
      </c>
      <c r="I12" s="32">
        <v>3.1858407079646017E-2</v>
      </c>
      <c r="J12" s="125">
        <f>AVERAGE(I19,I20)</f>
        <v>7.2784579949084729E-2</v>
      </c>
      <c r="K12" s="242">
        <v>781990521.32701421</v>
      </c>
      <c r="L12" s="242">
        <v>75.897435897435898</v>
      </c>
      <c r="M12" s="242">
        <f t="shared" si="5"/>
        <v>593510754.64819539</v>
      </c>
      <c r="N12" s="125">
        <v>1</v>
      </c>
      <c r="O12" s="243">
        <f>(N12*K12)/100</f>
        <v>7819905.2132701417</v>
      </c>
    </row>
    <row r="13" spans="1:15">
      <c r="A13">
        <v>2.6</v>
      </c>
      <c r="B13" s="207">
        <f t="shared" si="0"/>
        <v>7.1232876712328768</v>
      </c>
      <c r="C13" s="209">
        <f t="shared" si="1"/>
        <v>7.1232876712328766E-2</v>
      </c>
      <c r="D13">
        <v>3.3</v>
      </c>
      <c r="E13" s="244">
        <f t="shared" si="2"/>
        <v>1563981042.6540284</v>
      </c>
      <c r="F13" s="245">
        <f t="shared" si="3"/>
        <v>781990521.32701421</v>
      </c>
      <c r="G13">
        <v>48.6166007905138</v>
      </c>
      <c r="H13" s="301">
        <f t="shared" si="4"/>
        <v>760354419.94642437</v>
      </c>
      <c r="I13" s="209">
        <v>3.5616438356164383E-2</v>
      </c>
      <c r="J13" s="125">
        <f>AVERAGE(I21,I22)</f>
        <v>9.2993090071523815E-2</v>
      </c>
      <c r="K13" s="242">
        <v>663507109.00473928</v>
      </c>
      <c r="L13" s="242">
        <v>71.794871794871796</v>
      </c>
      <c r="M13" s="242">
        <f t="shared" si="5"/>
        <v>476364078.25981283</v>
      </c>
      <c r="N13" s="125">
        <v>1</v>
      </c>
      <c r="O13" s="243">
        <f t="shared" si="6"/>
        <v>6635071.090047393</v>
      </c>
    </row>
    <row r="14" spans="1:15">
      <c r="A14">
        <v>3.3</v>
      </c>
      <c r="B14" s="207">
        <f t="shared" si="0"/>
        <v>9.0410958904109595</v>
      </c>
      <c r="C14" s="209">
        <f t="shared" si="1"/>
        <v>9.0410958904109592E-2</v>
      </c>
      <c r="D14">
        <v>2.8</v>
      </c>
      <c r="E14" s="244">
        <f t="shared" si="2"/>
        <v>1327014218.0094786</v>
      </c>
      <c r="F14" s="245">
        <f t="shared" si="3"/>
        <v>663507109.00473928</v>
      </c>
      <c r="G14">
        <v>43.214756258234502</v>
      </c>
      <c r="H14" s="301">
        <f t="shared" si="4"/>
        <v>573465959.82491279</v>
      </c>
      <c r="I14" s="32">
        <v>3.8938053097345132E-2</v>
      </c>
      <c r="J14" s="125">
        <f>AVERAGE(I23,I24)</f>
        <v>0.11231664444175052</v>
      </c>
      <c r="K14" s="242">
        <v>710900473.93364918</v>
      </c>
      <c r="L14" s="242">
        <v>67.692307692307693</v>
      </c>
      <c r="M14" s="242">
        <f t="shared" si="5"/>
        <v>481224936.20123947</v>
      </c>
      <c r="N14" s="125">
        <v>1</v>
      </c>
      <c r="O14" s="243">
        <f t="shared" si="6"/>
        <v>7109004.7393364916</v>
      </c>
    </row>
    <row r="15" spans="1:15">
      <c r="A15">
        <v>4</v>
      </c>
      <c r="B15" s="207">
        <f t="shared" si="0"/>
        <v>10.95890410958904</v>
      </c>
      <c r="C15" s="209">
        <f t="shared" si="1"/>
        <v>0.1095890410958904</v>
      </c>
      <c r="D15">
        <v>3</v>
      </c>
      <c r="E15" s="244">
        <f t="shared" si="2"/>
        <v>1421800947.8672984</v>
      </c>
      <c r="F15" s="245">
        <f t="shared" si="3"/>
        <v>710900473.93364918</v>
      </c>
      <c r="G15">
        <v>36.890645586297701</v>
      </c>
      <c r="H15" s="301">
        <f t="shared" si="4"/>
        <v>524511548.62034637</v>
      </c>
      <c r="I15" s="209">
        <v>4.6575342465753428E-2</v>
      </c>
      <c r="J15" s="125">
        <f>AVERAGE(I25,I26)</f>
        <v>0.13301006182567585</v>
      </c>
      <c r="K15" s="242">
        <v>616113744.07582939</v>
      </c>
      <c r="L15" s="242">
        <v>68.205128205128204</v>
      </c>
      <c r="M15" s="242">
        <f t="shared" si="5"/>
        <v>420221169.03633493</v>
      </c>
      <c r="N15" s="125">
        <v>1</v>
      </c>
      <c r="O15" s="243">
        <f t="shared" si="6"/>
        <v>6161137.4407582935</v>
      </c>
    </row>
    <row r="16" spans="1:15">
      <c r="A16">
        <v>4.8</v>
      </c>
      <c r="B16" s="207">
        <f t="shared" si="0"/>
        <v>13.15068493150685</v>
      </c>
      <c r="C16" s="209">
        <f t="shared" si="1"/>
        <v>0.13150684931506851</v>
      </c>
      <c r="D16">
        <v>2.6</v>
      </c>
      <c r="E16" s="244">
        <f t="shared" si="2"/>
        <v>1232227488.1516588</v>
      </c>
      <c r="F16" s="245">
        <f t="shared" si="3"/>
        <v>616113744.07582939</v>
      </c>
      <c r="G16">
        <v>35.573122529644202</v>
      </c>
      <c r="H16" s="301">
        <f t="shared" si="4"/>
        <v>438341794.20414656</v>
      </c>
      <c r="I16" s="32">
        <v>4.9557522123893805E-2</v>
      </c>
      <c r="J16" s="125">
        <f>AVERAGE(I27,I28)</f>
        <v>0.15184870893441629</v>
      </c>
      <c r="K16" s="242">
        <v>663507109.00473928</v>
      </c>
      <c r="L16" s="242">
        <v>66.666666666666671</v>
      </c>
      <c r="M16" s="242">
        <f t="shared" si="5"/>
        <v>442338072.66982621</v>
      </c>
      <c r="N16" s="125">
        <v>1</v>
      </c>
      <c r="O16" s="243">
        <f t="shared" si="6"/>
        <v>6635071.090047393</v>
      </c>
    </row>
    <row r="17" spans="1:15">
      <c r="A17">
        <v>5.4</v>
      </c>
      <c r="B17" s="207">
        <f t="shared" si="0"/>
        <v>14.794520547945206</v>
      </c>
      <c r="C17" s="209">
        <f t="shared" si="1"/>
        <v>0.14794520547945206</v>
      </c>
      <c r="D17">
        <v>2.8</v>
      </c>
      <c r="E17" s="244">
        <f t="shared" si="2"/>
        <v>1327014218.0094786</v>
      </c>
      <c r="F17" s="245">
        <f t="shared" si="3"/>
        <v>663507109.00473928</v>
      </c>
      <c r="G17">
        <v>35.968379446640299</v>
      </c>
      <c r="H17" s="301">
        <f t="shared" si="4"/>
        <v>477305509.24451578</v>
      </c>
      <c r="I17" s="209">
        <v>5.7534246575342465E-2</v>
      </c>
      <c r="J17" s="125">
        <f>AVERAGE(I29,I30)</f>
        <v>0.17165717056612922</v>
      </c>
      <c r="K17" s="242">
        <v>710900473.93364918</v>
      </c>
      <c r="L17" s="242">
        <v>69.230769230769226</v>
      </c>
      <c r="M17" s="242">
        <f t="shared" si="5"/>
        <v>492161866.56944937</v>
      </c>
      <c r="N17" s="125">
        <v>1</v>
      </c>
      <c r="O17" s="243">
        <f t="shared" si="6"/>
        <v>7109004.7393364916</v>
      </c>
    </row>
    <row r="18" spans="1:15">
      <c r="A18">
        <v>6.2</v>
      </c>
      <c r="B18" s="207">
        <f t="shared" si="0"/>
        <v>16.986301369863014</v>
      </c>
      <c r="C18" s="209">
        <f t="shared" si="1"/>
        <v>0.16986301369863013</v>
      </c>
      <c r="D18">
        <v>3</v>
      </c>
      <c r="E18" s="244">
        <f t="shared" si="2"/>
        <v>1421800947.8672984</v>
      </c>
      <c r="F18" s="245">
        <f t="shared" si="3"/>
        <v>710900473.93364918</v>
      </c>
      <c r="G18">
        <v>30.1712779973649</v>
      </c>
      <c r="H18" s="301">
        <f t="shared" si="4"/>
        <v>428975516.55021179</v>
      </c>
      <c r="I18" s="32">
        <v>6.0176991150442477E-2</v>
      </c>
      <c r="J18" s="125">
        <f>AVERAGE(I33,I34)</f>
        <v>0.21344405382470605</v>
      </c>
      <c r="K18" s="242">
        <v>805687203.7914691</v>
      </c>
      <c r="L18" s="242">
        <v>70.769230769230774</v>
      </c>
      <c r="M18" s="242">
        <f t="shared" si="5"/>
        <v>570178636.52934742</v>
      </c>
      <c r="N18" s="125">
        <v>1</v>
      </c>
      <c r="O18" s="243">
        <f t="shared" si="6"/>
        <v>8056872.0379146906</v>
      </c>
    </row>
    <row r="19" spans="1:15">
      <c r="A19">
        <v>7</v>
      </c>
      <c r="B19" s="207">
        <f t="shared" si="0"/>
        <v>19.178082191780824</v>
      </c>
      <c r="C19" s="209">
        <f t="shared" si="1"/>
        <v>0.19178082191780824</v>
      </c>
      <c r="D19">
        <v>6.9</v>
      </c>
      <c r="E19" s="244">
        <f t="shared" si="2"/>
        <v>3270142180.0947866</v>
      </c>
      <c r="F19" s="245">
        <f t="shared" si="3"/>
        <v>1635071090.0473933</v>
      </c>
      <c r="G19">
        <v>41.501976284584899</v>
      </c>
      <c r="H19" s="301">
        <f t="shared" si="4"/>
        <v>1357173632.055146</v>
      </c>
      <c r="I19" s="209">
        <v>7.1232876712328766E-2</v>
      </c>
      <c r="J19" s="125">
        <f>AVERAGE(I35,I36)</f>
        <v>0.23816220147896716</v>
      </c>
      <c r="K19" s="242">
        <v>805687203.7914691</v>
      </c>
      <c r="L19" s="242">
        <v>65.128205128205124</v>
      </c>
      <c r="M19" s="242">
        <f t="shared" si="5"/>
        <v>524729614.77700806</v>
      </c>
      <c r="N19" s="125">
        <v>1</v>
      </c>
      <c r="O19" s="243">
        <f t="shared" si="6"/>
        <v>8056872.0379146906</v>
      </c>
    </row>
    <row r="20" spans="1:15">
      <c r="A20">
        <v>7.7</v>
      </c>
      <c r="B20" s="207">
        <f t="shared" si="0"/>
        <v>21.095890410958905</v>
      </c>
      <c r="C20" s="209">
        <f t="shared" si="1"/>
        <v>0.21095890410958906</v>
      </c>
      <c r="D20">
        <v>3.4</v>
      </c>
      <c r="E20" s="244">
        <f t="shared" si="2"/>
        <v>1611374407.5829382</v>
      </c>
      <c r="F20" s="245">
        <f t="shared" si="3"/>
        <v>805687203.7914691</v>
      </c>
      <c r="G20">
        <v>33.201581027667899</v>
      </c>
      <c r="H20" s="301">
        <f t="shared" si="4"/>
        <v>535001779.59275281</v>
      </c>
      <c r="I20" s="32">
        <v>7.4336283185840693E-2</v>
      </c>
      <c r="J20" s="125">
        <f>AVERAGE(I37,I38)</f>
        <v>0.27503939871499572</v>
      </c>
      <c r="K20" s="242">
        <v>1279620853.0805686</v>
      </c>
      <c r="L20" s="242">
        <v>71.794871794871796</v>
      </c>
      <c r="M20" s="242">
        <f t="shared" si="5"/>
        <v>918702150.92963898</v>
      </c>
      <c r="N20" s="125">
        <v>1</v>
      </c>
      <c r="O20" s="243">
        <f t="shared" si="6"/>
        <v>12796208.530805685</v>
      </c>
    </row>
    <row r="21" spans="1:15">
      <c r="A21">
        <v>8.6</v>
      </c>
      <c r="B21" s="207">
        <f t="shared" si="0"/>
        <v>23.56164383561644</v>
      </c>
      <c r="C21" s="209">
        <f t="shared" si="1"/>
        <v>0.23561643835616441</v>
      </c>
      <c r="D21">
        <v>3.4</v>
      </c>
      <c r="E21" s="244">
        <f t="shared" si="2"/>
        <v>1611374407.5829382</v>
      </c>
      <c r="F21" s="245">
        <f t="shared" si="3"/>
        <v>805687203.7914691</v>
      </c>
      <c r="G21">
        <v>28.326745718049999</v>
      </c>
      <c r="H21" s="301">
        <f t="shared" si="4"/>
        <v>456449931.00175345</v>
      </c>
      <c r="I21" s="209">
        <v>9.0410958904109592E-2</v>
      </c>
      <c r="J21" s="125">
        <f>AVERAGE(I40+I40,I39)</f>
        <v>0.48885925566735366</v>
      </c>
      <c r="K21" s="242">
        <v>568720379.14691937</v>
      </c>
      <c r="L21" s="242">
        <v>63.589743589743591</v>
      </c>
      <c r="M21" s="242">
        <f t="shared" si="5"/>
        <v>361647830.84214365</v>
      </c>
      <c r="N21" s="125">
        <v>1</v>
      </c>
      <c r="O21" s="243">
        <f t="shared" si="6"/>
        <v>5687203.791469194</v>
      </c>
    </row>
    <row r="22" spans="1:15">
      <c r="A22">
        <v>10</v>
      </c>
      <c r="B22" s="207">
        <f t="shared" si="0"/>
        <v>27.397260273972602</v>
      </c>
      <c r="C22" s="209">
        <f t="shared" si="1"/>
        <v>0.27397260273972601</v>
      </c>
      <c r="D22">
        <v>5.4</v>
      </c>
      <c r="E22" s="244">
        <f t="shared" si="2"/>
        <v>2559241706.1611371</v>
      </c>
      <c r="F22" s="245">
        <f t="shared" si="3"/>
        <v>1279620853.0805686</v>
      </c>
      <c r="G22">
        <v>42.292490118577</v>
      </c>
      <c r="H22" s="301">
        <f t="shared" si="4"/>
        <v>1082367045.6887002</v>
      </c>
      <c r="I22" s="32">
        <v>9.5575221238938038E-2</v>
      </c>
      <c r="J22" s="125">
        <f>AVERAGE(I41,I42)</f>
        <v>0.3725421263183416</v>
      </c>
      <c r="K22" s="242">
        <v>1018957345.9715639</v>
      </c>
      <c r="L22" s="242">
        <v>62.564102564102562</v>
      </c>
      <c r="M22" s="242">
        <f t="shared" si="5"/>
        <v>637501519.01810658</v>
      </c>
      <c r="N22" s="125">
        <v>1</v>
      </c>
      <c r="O22" s="243">
        <f t="shared" si="6"/>
        <v>10189573.45971564</v>
      </c>
    </row>
    <row r="23" spans="1:15">
      <c r="A23">
        <v>11.9</v>
      </c>
      <c r="B23" s="207">
        <f t="shared" si="0"/>
        <v>32.602739726027401</v>
      </c>
      <c r="C23" s="209">
        <f t="shared" si="1"/>
        <v>0.32602739726027402</v>
      </c>
      <c r="D23">
        <v>2.4</v>
      </c>
      <c r="E23" s="244">
        <f t="shared" si="2"/>
        <v>1137440758.2938387</v>
      </c>
      <c r="F23" s="245">
        <f t="shared" si="3"/>
        <v>568720379.14691937</v>
      </c>
      <c r="G23">
        <v>22.134387351778599</v>
      </c>
      <c r="H23" s="301">
        <f t="shared" si="4"/>
        <v>251765543.33776605</v>
      </c>
      <c r="I23" s="209">
        <v>0.1095890410958904</v>
      </c>
      <c r="J23" s="30"/>
      <c r="K23" s="30"/>
      <c r="L23" s="30"/>
      <c r="M23" s="207"/>
    </row>
    <row r="24" spans="1:15">
      <c r="A24">
        <v>13.5</v>
      </c>
      <c r="B24" s="207">
        <f t="shared" si="0"/>
        <v>36.986301369863014</v>
      </c>
      <c r="C24" s="209">
        <f t="shared" si="1"/>
        <v>0.36986301369863012</v>
      </c>
      <c r="D24">
        <v>4.3</v>
      </c>
      <c r="E24" s="244">
        <f t="shared" si="2"/>
        <v>2037914691.9431279</v>
      </c>
      <c r="F24" s="245">
        <f t="shared" si="3"/>
        <v>1018957345.9715639</v>
      </c>
      <c r="G24">
        <v>25.164690382081599</v>
      </c>
      <c r="H24" s="301">
        <f t="shared" si="4"/>
        <v>512834922.47844017</v>
      </c>
      <c r="I24" s="32">
        <v>0.11504424778761062</v>
      </c>
      <c r="K24" s="30"/>
      <c r="L24" s="30"/>
    </row>
    <row r="25" spans="1:15">
      <c r="D25"/>
      <c r="E25"/>
      <c r="I25" s="209">
        <v>0.13150684931506851</v>
      </c>
      <c r="J25" s="30"/>
    </row>
    <row r="26" spans="1:15">
      <c r="A26" s="205" t="s">
        <v>680</v>
      </c>
      <c r="D26"/>
      <c r="E26"/>
      <c r="I26" s="32">
        <v>0.13451327433628318</v>
      </c>
    </row>
    <row r="27" spans="1:15">
      <c r="I27" s="209">
        <v>0.14794520547945206</v>
      </c>
    </row>
    <row r="28" spans="1:15">
      <c r="A28" s="205" t="s">
        <v>714</v>
      </c>
      <c r="B28" s="207" t="s">
        <v>1305</v>
      </c>
      <c r="C28" s="35" t="s">
        <v>991</v>
      </c>
      <c r="D28" s="205" t="s">
        <v>685</v>
      </c>
      <c r="E28" s="35" t="s">
        <v>1047</v>
      </c>
      <c r="F28" s="228" t="s">
        <v>1383</v>
      </c>
      <c r="G28" s="35" t="s">
        <v>1262</v>
      </c>
      <c r="I28" s="32">
        <v>0.15575221238938053</v>
      </c>
    </row>
    <row r="29" spans="1:15">
      <c r="A29">
        <v>0.2</v>
      </c>
      <c r="B29" s="207">
        <f>(40*A29)/11.3</f>
        <v>0.70796460176991149</v>
      </c>
      <c r="C29" s="35">
        <f>B29/100</f>
        <v>7.0796460176991149E-3</v>
      </c>
      <c r="D29" s="205">
        <v>8.25</v>
      </c>
      <c r="E29" s="35">
        <f>(80*D29)/7.8</f>
        <v>84.615384615384613</v>
      </c>
      <c r="F29" s="246">
        <f>E29*E7/100</f>
        <v>300765585.12577462</v>
      </c>
      <c r="G29" s="246">
        <f>1*E7/100</f>
        <v>3554502.3696682458</v>
      </c>
      <c r="I29" s="209">
        <v>0.16986301369863013</v>
      </c>
    </row>
    <row r="30" spans="1:15">
      <c r="A30">
        <v>0.5</v>
      </c>
      <c r="B30" s="207">
        <f t="shared" ref="B30:B46" si="7">(40*A30)/11.3</f>
        <v>1.7699115044247786</v>
      </c>
      <c r="C30" s="35">
        <f t="shared" ref="C30:C46" si="8">B30/100</f>
        <v>1.7699115044247787E-2</v>
      </c>
      <c r="D30" s="205">
        <v>7.85</v>
      </c>
      <c r="E30" s="35">
        <f t="shared" ref="E30:E46" si="9">(80*D30)/7.8</f>
        <v>80.512820512820511</v>
      </c>
      <c r="F30" s="246">
        <f t="shared" ref="F30:F46" si="10">E30*E8/100</f>
        <v>3472353870.4581361</v>
      </c>
      <c r="G30" s="246">
        <f>1*E8/100</f>
        <v>43127962.085308053</v>
      </c>
      <c r="I30" s="32">
        <v>0.17345132743362832</v>
      </c>
    </row>
    <row r="31" spans="1:15">
      <c r="A31">
        <v>0.9</v>
      </c>
      <c r="B31" s="207">
        <f t="shared" si="7"/>
        <v>3.1858407079646014</v>
      </c>
      <c r="C31" s="35">
        <f t="shared" si="8"/>
        <v>3.1858407079646017E-2</v>
      </c>
      <c r="D31" s="205">
        <v>9</v>
      </c>
      <c r="E31" s="35">
        <f t="shared" si="9"/>
        <v>92.307692307692307</v>
      </c>
      <c r="F31" s="246">
        <f t="shared" si="10"/>
        <v>4506015311.7025156</v>
      </c>
      <c r="G31" s="246">
        <f t="shared" ref="G31:G46" si="11">1*E9/100</f>
        <v>48815165.876777247</v>
      </c>
      <c r="I31" s="209">
        <v>0.19178082191780824</v>
      </c>
    </row>
    <row r="32" spans="1:15">
      <c r="A32">
        <v>1.1000000000000001</v>
      </c>
      <c r="B32" s="207">
        <f t="shared" si="7"/>
        <v>3.8938053097345131</v>
      </c>
      <c r="C32" s="35">
        <f t="shared" si="8"/>
        <v>3.8938053097345132E-2</v>
      </c>
      <c r="D32" s="205">
        <v>8.9499999999999993</v>
      </c>
      <c r="E32" s="35">
        <f t="shared" si="9"/>
        <v>91.794871794871796</v>
      </c>
      <c r="F32" s="246">
        <f t="shared" si="10"/>
        <v>3828411714.6676388</v>
      </c>
      <c r="G32" s="246">
        <f t="shared" si="11"/>
        <v>41706161.137440756</v>
      </c>
      <c r="I32" s="32">
        <v>0.19469026548672566</v>
      </c>
    </row>
    <row r="33" spans="1:9">
      <c r="A33">
        <v>1.4</v>
      </c>
      <c r="B33" s="207">
        <f t="shared" si="7"/>
        <v>4.9557522123893802</v>
      </c>
      <c r="C33" s="35">
        <f t="shared" si="8"/>
        <v>4.9557522123893805E-2</v>
      </c>
      <c r="D33" s="205">
        <v>7.7</v>
      </c>
      <c r="E33" s="35">
        <f t="shared" si="9"/>
        <v>78.974358974358978</v>
      </c>
      <c r="F33" s="246">
        <f t="shared" si="10"/>
        <v>2096001944.3431766</v>
      </c>
      <c r="G33" s="246">
        <f t="shared" si="11"/>
        <v>26540284.360189572</v>
      </c>
      <c r="I33" s="209">
        <v>0.21095890410958906</v>
      </c>
    </row>
    <row r="34" spans="1:9">
      <c r="A34">
        <v>1.7</v>
      </c>
      <c r="B34" s="207">
        <f t="shared" si="7"/>
        <v>6.0176991150442474</v>
      </c>
      <c r="C34" s="35">
        <f t="shared" si="8"/>
        <v>6.0176991150442477E-2</v>
      </c>
      <c r="D34" s="205">
        <v>7</v>
      </c>
      <c r="E34" s="35">
        <f t="shared" si="9"/>
        <v>71.794871794871796</v>
      </c>
      <c r="F34" s="246">
        <f t="shared" si="10"/>
        <v>1292988212.4194918</v>
      </c>
      <c r="G34" s="246">
        <f t="shared" si="11"/>
        <v>18009478.672985781</v>
      </c>
      <c r="I34" s="32">
        <v>0.21592920353982301</v>
      </c>
    </row>
    <row r="35" spans="1:9">
      <c r="A35">
        <v>2.1</v>
      </c>
      <c r="B35" s="207">
        <f t="shared" si="7"/>
        <v>7.4336283185840699</v>
      </c>
      <c r="C35" s="35">
        <f t="shared" si="8"/>
        <v>7.4336283185840693E-2</v>
      </c>
      <c r="D35" s="205">
        <v>7.4</v>
      </c>
      <c r="E35" s="35">
        <f t="shared" si="9"/>
        <v>75.897435897435898</v>
      </c>
      <c r="F35" s="246">
        <f t="shared" si="10"/>
        <v>1187021509.2963908</v>
      </c>
      <c r="G35" s="246">
        <f t="shared" si="11"/>
        <v>15639810.426540283</v>
      </c>
      <c r="I35" s="209">
        <v>0.23561643835616441</v>
      </c>
    </row>
    <row r="36" spans="1:9">
      <c r="A36">
        <v>2.7</v>
      </c>
      <c r="B36" s="207">
        <f t="shared" si="7"/>
        <v>9.5575221238938042</v>
      </c>
      <c r="C36" s="35">
        <f t="shared" si="8"/>
        <v>9.5575221238938038E-2</v>
      </c>
      <c r="D36" s="205">
        <v>7</v>
      </c>
      <c r="E36" s="35">
        <f t="shared" si="9"/>
        <v>71.794871794871796</v>
      </c>
      <c r="F36" s="246">
        <f t="shared" si="10"/>
        <v>952728156.51962566</v>
      </c>
      <c r="G36" s="246">
        <f t="shared" si="11"/>
        <v>13270142.180094786</v>
      </c>
      <c r="I36" s="32">
        <v>0.24070796460176991</v>
      </c>
    </row>
    <row r="37" spans="1:9">
      <c r="A37">
        <v>3.25</v>
      </c>
      <c r="B37" s="207">
        <f t="shared" si="7"/>
        <v>11.504424778761061</v>
      </c>
      <c r="C37" s="35">
        <f t="shared" si="8"/>
        <v>0.11504424778761062</v>
      </c>
      <c r="D37" s="205">
        <v>6.6</v>
      </c>
      <c r="E37" s="35">
        <f t="shared" si="9"/>
        <v>67.692307692307693</v>
      </c>
      <c r="F37" s="246">
        <f t="shared" si="10"/>
        <v>962449872.40247893</v>
      </c>
      <c r="G37" s="246">
        <f t="shared" si="11"/>
        <v>14218009.478672983</v>
      </c>
      <c r="I37" s="209">
        <v>0.27397260273972601</v>
      </c>
    </row>
    <row r="38" spans="1:9">
      <c r="A38">
        <v>3.8</v>
      </c>
      <c r="B38" s="207">
        <f t="shared" si="7"/>
        <v>13.451327433628318</v>
      </c>
      <c r="C38" s="35">
        <f t="shared" si="8"/>
        <v>0.13451327433628318</v>
      </c>
      <c r="D38" s="205">
        <v>6.65</v>
      </c>
      <c r="E38" s="35">
        <f t="shared" si="9"/>
        <v>68.205128205128204</v>
      </c>
      <c r="F38" s="246">
        <f t="shared" si="10"/>
        <v>840442338.07266986</v>
      </c>
      <c r="G38" s="246">
        <f t="shared" si="11"/>
        <v>12322274.881516587</v>
      </c>
      <c r="I38" s="32">
        <v>0.27610619469026543</v>
      </c>
    </row>
    <row r="39" spans="1:9">
      <c r="A39">
        <v>4.4000000000000004</v>
      </c>
      <c r="B39" s="207">
        <f t="shared" si="7"/>
        <v>15.575221238938052</v>
      </c>
      <c r="C39" s="35">
        <f t="shared" si="8"/>
        <v>0.15575221238938053</v>
      </c>
      <c r="D39" s="205">
        <v>6.5</v>
      </c>
      <c r="E39" s="35">
        <f t="shared" si="9"/>
        <v>66.666666666666671</v>
      </c>
      <c r="F39" s="246">
        <f t="shared" si="10"/>
        <v>884676145.33965242</v>
      </c>
      <c r="G39" s="246">
        <f t="shared" si="11"/>
        <v>13270142.180094786</v>
      </c>
      <c r="I39" s="32">
        <v>0.32566371681415929</v>
      </c>
    </row>
    <row r="40" spans="1:9">
      <c r="A40">
        <v>4.9000000000000004</v>
      </c>
      <c r="B40" s="207">
        <f t="shared" si="7"/>
        <v>17.345132743362832</v>
      </c>
      <c r="C40" s="35">
        <f t="shared" si="8"/>
        <v>0.17345132743362832</v>
      </c>
      <c r="D40" s="205">
        <v>6.75</v>
      </c>
      <c r="E40" s="35">
        <f t="shared" si="9"/>
        <v>69.230769230769226</v>
      </c>
      <c r="F40" s="246">
        <f t="shared" si="10"/>
        <v>984323733.13889873</v>
      </c>
      <c r="G40" s="246">
        <f t="shared" si="11"/>
        <v>14218009.478672983</v>
      </c>
      <c r="I40" s="209">
        <v>0.32602739726027402</v>
      </c>
    </row>
    <row r="41" spans="1:9">
      <c r="A41">
        <v>5.5</v>
      </c>
      <c r="B41" s="207">
        <f t="shared" si="7"/>
        <v>19.469026548672566</v>
      </c>
      <c r="C41" s="35">
        <f t="shared" si="8"/>
        <v>0.19469026548672566</v>
      </c>
      <c r="D41" s="205">
        <v>7.25</v>
      </c>
      <c r="E41" s="35">
        <f t="shared" si="9"/>
        <v>74.358974358974365</v>
      </c>
      <c r="F41" s="246">
        <f t="shared" si="10"/>
        <v>2431644185.1986876</v>
      </c>
      <c r="G41" s="246">
        <f t="shared" si="11"/>
        <v>32701421.800947867</v>
      </c>
      <c r="I41" s="209">
        <v>0.36986301369863012</v>
      </c>
    </row>
    <row r="42" spans="1:9">
      <c r="A42">
        <v>6.1</v>
      </c>
      <c r="B42" s="207">
        <f t="shared" si="7"/>
        <v>21.592920353982301</v>
      </c>
      <c r="C42" s="35">
        <f t="shared" si="8"/>
        <v>0.21592920353982301</v>
      </c>
      <c r="D42" s="205">
        <v>6.9</v>
      </c>
      <c r="E42" s="35">
        <f t="shared" si="9"/>
        <v>70.769230769230774</v>
      </c>
      <c r="F42" s="246">
        <f t="shared" si="10"/>
        <v>1140357273.0586948</v>
      </c>
      <c r="G42" s="246">
        <f t="shared" si="11"/>
        <v>16113744.075829381</v>
      </c>
      <c r="I42" s="32">
        <v>0.37522123893805309</v>
      </c>
    </row>
    <row r="43" spans="1:9">
      <c r="A43">
        <v>6.8</v>
      </c>
      <c r="B43" s="207">
        <f t="shared" si="7"/>
        <v>24.070796460176989</v>
      </c>
      <c r="C43" s="35">
        <f t="shared" si="8"/>
        <v>0.24070796460176991</v>
      </c>
      <c r="D43" s="205">
        <v>6.35</v>
      </c>
      <c r="E43" s="35">
        <f t="shared" si="9"/>
        <v>65.128205128205124</v>
      </c>
      <c r="F43" s="246">
        <f t="shared" si="10"/>
        <v>1049459229.5540161</v>
      </c>
      <c r="G43" s="246">
        <f t="shared" si="11"/>
        <v>16113744.075829381</v>
      </c>
      <c r="I43" s="207"/>
    </row>
    <row r="44" spans="1:9">
      <c r="A44">
        <v>7.8</v>
      </c>
      <c r="B44" s="207">
        <f t="shared" si="7"/>
        <v>27.610619469026545</v>
      </c>
      <c r="C44" s="35">
        <f t="shared" si="8"/>
        <v>0.27610619469026543</v>
      </c>
      <c r="D44" s="205">
        <v>7</v>
      </c>
      <c r="E44" s="35">
        <f t="shared" si="9"/>
        <v>71.794871794871796</v>
      </c>
      <c r="F44" s="246">
        <f t="shared" si="10"/>
        <v>1837404301.859278</v>
      </c>
      <c r="G44" s="246">
        <f t="shared" si="11"/>
        <v>25592417.061611369</v>
      </c>
      <c r="I44" s="30"/>
    </row>
    <row r="45" spans="1:9">
      <c r="A45">
        <v>9.1999999999999993</v>
      </c>
      <c r="B45" s="207">
        <f t="shared" si="7"/>
        <v>32.56637168141593</v>
      </c>
      <c r="C45" s="35">
        <f t="shared" si="8"/>
        <v>0.32566371681415929</v>
      </c>
      <c r="D45" s="205">
        <v>6.2</v>
      </c>
      <c r="E45" s="35">
        <f t="shared" si="9"/>
        <v>63.589743589743591</v>
      </c>
      <c r="F45" s="246">
        <f t="shared" si="10"/>
        <v>723295661.68428731</v>
      </c>
      <c r="G45" s="246">
        <f t="shared" si="11"/>
        <v>11374407.582938388</v>
      </c>
    </row>
    <row r="46" spans="1:9">
      <c r="A46">
        <v>10.6</v>
      </c>
      <c r="B46" s="207">
        <f t="shared" si="7"/>
        <v>37.522123893805308</v>
      </c>
      <c r="C46" s="35">
        <f t="shared" si="8"/>
        <v>0.37522123893805309</v>
      </c>
      <c r="D46" s="205">
        <v>6.1</v>
      </c>
      <c r="E46" s="35">
        <f t="shared" si="9"/>
        <v>62.564102564102562</v>
      </c>
      <c r="F46" s="246">
        <f t="shared" si="10"/>
        <v>1275003038.0362132</v>
      </c>
      <c r="G46" s="246">
        <f t="shared" si="11"/>
        <v>20379146.91943128</v>
      </c>
    </row>
  </sheetData>
  <sortState ref="I7:K43">
    <sortCondition ref="I8:I43"/>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13" sqref="K13"/>
    </sheetView>
  </sheetViews>
  <sheetFormatPr baseColWidth="10" defaultRowHeight="13" x14ac:dyDescent="0"/>
  <cols>
    <col min="1" max="1" width="10.7109375" style="303"/>
    <col min="2" max="2" width="10.7109375" style="321"/>
    <col min="3" max="16384" width="10.7109375" style="303"/>
  </cols>
  <sheetData>
    <row r="1" spans="1:11">
      <c r="A1" s="303" t="s">
        <v>155</v>
      </c>
    </row>
    <row r="2" spans="1:11">
      <c r="A2" s="303" t="s">
        <v>154</v>
      </c>
    </row>
    <row r="3" spans="1:11">
      <c r="A3" s="303" t="s">
        <v>153</v>
      </c>
    </row>
    <row r="4" spans="1:11" s="321" customFormat="1">
      <c r="A4" s="321" t="s">
        <v>21</v>
      </c>
    </row>
    <row r="5" spans="1:11" s="321" customFormat="1">
      <c r="A5" s="321" t="s">
        <v>22</v>
      </c>
    </row>
    <row r="6" spans="1:11" s="322" customFormat="1">
      <c r="A6" s="322" t="s">
        <v>24</v>
      </c>
    </row>
    <row r="7" spans="1:11" s="43" customFormat="1" ht="39">
      <c r="A7" s="43" t="s">
        <v>152</v>
      </c>
      <c r="B7" s="43" t="s">
        <v>18</v>
      </c>
      <c r="C7" s="43" t="s">
        <v>151</v>
      </c>
      <c r="D7" s="43" t="s">
        <v>150</v>
      </c>
      <c r="E7" s="43" t="s">
        <v>864</v>
      </c>
      <c r="F7" s="43" t="s">
        <v>149</v>
      </c>
      <c r="G7" s="43" t="s">
        <v>148</v>
      </c>
      <c r="H7" s="43" t="s">
        <v>309</v>
      </c>
      <c r="I7" s="43" t="s">
        <v>308</v>
      </c>
      <c r="J7" s="43" t="s">
        <v>307</v>
      </c>
      <c r="K7" s="43" t="s">
        <v>306</v>
      </c>
    </row>
    <row r="8" spans="1:11">
      <c r="A8" s="303" t="s">
        <v>305</v>
      </c>
      <c r="B8" s="321" t="s">
        <v>19</v>
      </c>
      <c r="C8" s="303">
        <v>2002</v>
      </c>
      <c r="D8" s="303" t="s">
        <v>298</v>
      </c>
      <c r="E8" s="303">
        <v>1E-3</v>
      </c>
      <c r="F8" s="303">
        <v>2</v>
      </c>
      <c r="G8" s="301">
        <f t="shared" ref="G8:G20" si="0">F8*10^8/1.3</f>
        <v>153846153.84615386</v>
      </c>
      <c r="H8" s="303">
        <v>60.7</v>
      </c>
      <c r="I8" s="303" t="s">
        <v>302</v>
      </c>
      <c r="J8" s="301">
        <f t="shared" ref="J8:J20" si="1">(H8/100)*G8</f>
        <v>93384615.384615391</v>
      </c>
      <c r="K8" s="303">
        <v>0</v>
      </c>
    </row>
    <row r="9" spans="1:11">
      <c r="B9" s="321" t="s">
        <v>19</v>
      </c>
      <c r="D9" s="303" t="s">
        <v>304</v>
      </c>
      <c r="E9" s="303">
        <v>0.16</v>
      </c>
      <c r="F9" s="303">
        <v>1.4</v>
      </c>
      <c r="G9" s="301">
        <f t="shared" si="0"/>
        <v>107692307.6923077</v>
      </c>
      <c r="H9" s="303">
        <v>37</v>
      </c>
      <c r="I9" s="303" t="s">
        <v>302</v>
      </c>
      <c r="J9" s="301">
        <f t="shared" si="1"/>
        <v>39846153.846153848</v>
      </c>
      <c r="K9" s="303">
        <v>0</v>
      </c>
    </row>
    <row r="10" spans="1:11">
      <c r="B10" s="321" t="s">
        <v>19</v>
      </c>
      <c r="D10" s="303" t="s">
        <v>303</v>
      </c>
      <c r="E10" s="303">
        <v>0.28499999999999998</v>
      </c>
      <c r="F10" s="303">
        <v>0.7</v>
      </c>
      <c r="G10" s="301">
        <f t="shared" si="0"/>
        <v>53846153.846153848</v>
      </c>
      <c r="H10" s="303">
        <v>20.2</v>
      </c>
      <c r="I10" s="303" t="s">
        <v>302</v>
      </c>
      <c r="J10" s="301">
        <f t="shared" si="1"/>
        <v>10876923.076923076</v>
      </c>
      <c r="K10" s="303">
        <v>0</v>
      </c>
    </row>
    <row r="11" spans="1:11">
      <c r="A11" s="303" t="s">
        <v>299</v>
      </c>
      <c r="B11" s="321" t="s">
        <v>20</v>
      </c>
      <c r="C11" s="303">
        <v>2002</v>
      </c>
      <c r="D11" s="303" t="s">
        <v>298</v>
      </c>
      <c r="E11" s="303">
        <v>1E-3</v>
      </c>
      <c r="F11" s="303">
        <v>5</v>
      </c>
      <c r="G11" s="301">
        <f t="shared" si="0"/>
        <v>384615384.61538458</v>
      </c>
      <c r="H11" s="303">
        <v>58.7</v>
      </c>
      <c r="I11" s="303">
        <v>25.8</v>
      </c>
      <c r="J11" s="301">
        <f t="shared" si="1"/>
        <v>225769230.76923078</v>
      </c>
      <c r="K11" s="301">
        <f t="shared" ref="K11:K20" si="2">(I11/100)*G11</f>
        <v>99230769.230769217</v>
      </c>
    </row>
    <row r="12" spans="1:11">
      <c r="B12" s="321" t="s">
        <v>20</v>
      </c>
      <c r="D12" s="303" t="s">
        <v>297</v>
      </c>
      <c r="E12" s="303">
        <v>7.0000000000000007E-2</v>
      </c>
      <c r="F12" s="303">
        <v>3.3</v>
      </c>
      <c r="G12" s="301">
        <f t="shared" si="0"/>
        <v>253846153.84615383</v>
      </c>
      <c r="H12" s="303">
        <v>52</v>
      </c>
      <c r="I12" s="303">
        <v>18.7</v>
      </c>
      <c r="J12" s="301">
        <f t="shared" si="1"/>
        <v>132000000</v>
      </c>
      <c r="K12" s="301">
        <f t="shared" si="2"/>
        <v>47469230.769230768</v>
      </c>
    </row>
    <row r="13" spans="1:11">
      <c r="B13" s="321" t="s">
        <v>20</v>
      </c>
      <c r="D13" s="303" t="s">
        <v>296</v>
      </c>
      <c r="E13" s="303">
        <v>0.115</v>
      </c>
      <c r="F13" s="303">
        <v>5.5</v>
      </c>
      <c r="G13" s="301">
        <f t="shared" si="0"/>
        <v>423076923.07692307</v>
      </c>
      <c r="H13" s="303">
        <v>45.5</v>
      </c>
      <c r="I13" s="303">
        <v>9.9</v>
      </c>
      <c r="J13" s="301">
        <f t="shared" si="1"/>
        <v>192500000</v>
      </c>
      <c r="K13" s="301">
        <f t="shared" si="2"/>
        <v>41884615.384615384</v>
      </c>
    </row>
    <row r="14" spans="1:11">
      <c r="B14" s="321" t="s">
        <v>20</v>
      </c>
      <c r="D14" s="303" t="s">
        <v>295</v>
      </c>
      <c r="E14" s="303">
        <v>0.19</v>
      </c>
      <c r="F14" s="303">
        <v>1</v>
      </c>
      <c r="G14" s="301">
        <f t="shared" si="0"/>
        <v>76923076.923076928</v>
      </c>
      <c r="H14" s="303">
        <v>55.8</v>
      </c>
      <c r="I14" s="303">
        <v>11.4</v>
      </c>
      <c r="J14" s="301">
        <f t="shared" si="1"/>
        <v>42923076.92307692</v>
      </c>
      <c r="K14" s="301">
        <f t="shared" si="2"/>
        <v>8769230.7692307699</v>
      </c>
    </row>
    <row r="15" spans="1:11">
      <c r="A15" s="303" t="s">
        <v>299</v>
      </c>
      <c r="B15" s="321" t="s">
        <v>20</v>
      </c>
      <c r="C15" s="303">
        <v>2003</v>
      </c>
      <c r="D15" s="303" t="s">
        <v>301</v>
      </c>
      <c r="E15" s="303">
        <v>5.0000000000000001E-3</v>
      </c>
      <c r="F15" s="303">
        <v>2.5</v>
      </c>
      <c r="G15" s="301">
        <f t="shared" si="0"/>
        <v>192307692.30769229</v>
      </c>
      <c r="H15" s="303">
        <v>81.099999999999994</v>
      </c>
      <c r="I15" s="303">
        <v>33.4</v>
      </c>
      <c r="J15" s="301">
        <f t="shared" si="1"/>
        <v>155961538.46153843</v>
      </c>
      <c r="K15" s="301">
        <f t="shared" si="2"/>
        <v>64230769.230769217</v>
      </c>
    </row>
    <row r="16" spans="1:11">
      <c r="B16" s="321" t="s">
        <v>20</v>
      </c>
      <c r="D16" s="303" t="s">
        <v>300</v>
      </c>
      <c r="E16" s="303">
        <v>0.155</v>
      </c>
      <c r="F16" s="303">
        <v>2.9</v>
      </c>
      <c r="G16" s="301">
        <f t="shared" si="0"/>
        <v>223076923.07692307</v>
      </c>
      <c r="H16" s="303">
        <v>63.7</v>
      </c>
      <c r="I16" s="303">
        <v>16.899999999999999</v>
      </c>
      <c r="J16" s="301">
        <f t="shared" si="1"/>
        <v>142100000</v>
      </c>
      <c r="K16" s="301">
        <f t="shared" si="2"/>
        <v>37699999.999999993</v>
      </c>
    </row>
    <row r="17" spans="1:11">
      <c r="A17" s="303" t="s">
        <v>299</v>
      </c>
      <c r="B17" s="321" t="s">
        <v>20</v>
      </c>
      <c r="C17" s="303">
        <v>2004</v>
      </c>
      <c r="D17" s="303" t="s">
        <v>298</v>
      </c>
      <c r="E17" s="303">
        <v>0.01</v>
      </c>
      <c r="F17" s="303">
        <v>1.2</v>
      </c>
      <c r="G17" s="301">
        <f t="shared" si="0"/>
        <v>92307692.307692304</v>
      </c>
      <c r="H17" s="303">
        <v>61</v>
      </c>
      <c r="I17" s="303">
        <v>20.7</v>
      </c>
      <c r="J17" s="301">
        <f t="shared" si="1"/>
        <v>56307692.307692304</v>
      </c>
      <c r="K17" s="301">
        <f t="shared" si="2"/>
        <v>19107692.307692304</v>
      </c>
    </row>
    <row r="18" spans="1:11">
      <c r="B18" s="321" t="s">
        <v>20</v>
      </c>
      <c r="D18" s="303" t="s">
        <v>297</v>
      </c>
      <c r="E18" s="303">
        <v>7.0000000000000007E-2</v>
      </c>
      <c r="F18" s="303">
        <v>1.3</v>
      </c>
      <c r="G18" s="301">
        <f t="shared" si="0"/>
        <v>100000000</v>
      </c>
      <c r="H18" s="303">
        <v>33.1</v>
      </c>
      <c r="I18" s="303">
        <v>7.2</v>
      </c>
      <c r="J18" s="301">
        <f t="shared" si="1"/>
        <v>33100000</v>
      </c>
      <c r="K18" s="301">
        <f t="shared" si="2"/>
        <v>7200000.0000000009</v>
      </c>
    </row>
    <row r="19" spans="1:11">
      <c r="B19" s="321" t="s">
        <v>20</v>
      </c>
      <c r="D19" s="303" t="s">
        <v>296</v>
      </c>
      <c r="E19" s="303">
        <v>0.13</v>
      </c>
      <c r="F19" s="303">
        <v>0.3</v>
      </c>
      <c r="G19" s="301">
        <f t="shared" si="0"/>
        <v>23076923.076923076</v>
      </c>
      <c r="H19" s="303">
        <v>44.7</v>
      </c>
      <c r="I19" s="303">
        <v>9.8000000000000007</v>
      </c>
      <c r="J19" s="301">
        <f t="shared" si="1"/>
        <v>10315384.615384616</v>
      </c>
      <c r="K19" s="301">
        <f t="shared" si="2"/>
        <v>2261538.4615384615</v>
      </c>
    </row>
    <row r="20" spans="1:11">
      <c r="B20" s="321" t="s">
        <v>20</v>
      </c>
      <c r="D20" s="303" t="s">
        <v>295</v>
      </c>
      <c r="E20" s="303">
        <v>0.19</v>
      </c>
      <c r="F20" s="303">
        <v>0.4</v>
      </c>
      <c r="G20" s="301">
        <f t="shared" si="0"/>
        <v>30769230.769230768</v>
      </c>
      <c r="H20" s="303">
        <v>53</v>
      </c>
      <c r="I20" s="303">
        <v>19.2</v>
      </c>
      <c r="J20" s="301">
        <f t="shared" si="1"/>
        <v>16307692.307692308</v>
      </c>
      <c r="K20" s="301">
        <f t="shared" si="2"/>
        <v>5907692.307692308</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2" workbookViewId="0">
      <selection activeCell="E15" sqref="E15"/>
    </sheetView>
  </sheetViews>
  <sheetFormatPr baseColWidth="10" defaultRowHeight="13" x14ac:dyDescent="0"/>
  <sheetData>
    <row r="1" spans="1:7">
      <c r="B1" t="s">
        <v>135</v>
      </c>
    </row>
    <row r="2" spans="1:7">
      <c r="B2" t="s">
        <v>943</v>
      </c>
    </row>
    <row r="3" spans="1:7">
      <c r="B3" t="s">
        <v>136</v>
      </c>
    </row>
    <row r="6" spans="1:7" s="43" customFormat="1" ht="26">
      <c r="A6" s="43" t="s">
        <v>376</v>
      </c>
      <c r="B6" s="43" t="s">
        <v>376</v>
      </c>
      <c r="C6" s="43" t="s">
        <v>392</v>
      </c>
      <c r="D6" s="43" t="s">
        <v>514</v>
      </c>
      <c r="E6" s="43" t="s">
        <v>284</v>
      </c>
      <c r="F6" s="43" t="s">
        <v>439</v>
      </c>
    </row>
    <row r="7" spans="1:7">
      <c r="A7" t="s">
        <v>911</v>
      </c>
      <c r="B7" t="s">
        <v>25</v>
      </c>
      <c r="C7" s="301">
        <v>3520189115.4334102</v>
      </c>
      <c r="D7" s="301">
        <v>1727068884.6013401</v>
      </c>
      <c r="E7" s="301">
        <v>853800559.69824803</v>
      </c>
      <c r="F7" s="181">
        <f>(3.3+4.9)/2</f>
        <v>4.0999999999999996</v>
      </c>
      <c r="G7" s="301"/>
    </row>
    <row r="8" spans="1:7">
      <c r="A8" s="303" t="s">
        <v>911</v>
      </c>
      <c r="B8" t="s">
        <v>26</v>
      </c>
      <c r="C8" s="301">
        <v>9653230432.2886791</v>
      </c>
      <c r="D8" s="301">
        <v>4328796648.7632799</v>
      </c>
      <c r="E8" s="301">
        <v>2128243903.2869101</v>
      </c>
      <c r="F8" s="181">
        <f>5.4</f>
        <v>5.4</v>
      </c>
      <c r="G8" s="301"/>
    </row>
    <row r="9" spans="1:7">
      <c r="A9" s="303" t="s">
        <v>911</v>
      </c>
      <c r="B9" t="s">
        <v>27</v>
      </c>
      <c r="C9" s="301">
        <v>4746658323.3387203</v>
      </c>
      <c r="D9" s="301">
        <v>1187533677.4956</v>
      </c>
      <c r="E9" s="301">
        <v>1638073386.5220499</v>
      </c>
      <c r="F9" s="181">
        <v>5</v>
      </c>
    </row>
    <row r="10" spans="1:7">
      <c r="A10" s="303" t="s">
        <v>911</v>
      </c>
      <c r="B10" t="s">
        <v>28</v>
      </c>
      <c r="C10" s="301">
        <v>11319810189.2892</v>
      </c>
      <c r="D10" s="301">
        <v>4671568371.8343201</v>
      </c>
      <c r="E10" s="301">
        <v>1588708696.18119</v>
      </c>
      <c r="F10" s="181">
        <v>14</v>
      </c>
    </row>
    <row r="11" spans="1:7">
      <c r="A11" s="303" t="s">
        <v>911</v>
      </c>
      <c r="B11" t="s">
        <v>29</v>
      </c>
      <c r="C11" s="301">
        <v>66458778745.372002</v>
      </c>
      <c r="D11" s="301">
        <v>26255757765.378601</v>
      </c>
      <c r="E11" s="301">
        <v>16551076810.762899</v>
      </c>
      <c r="F11" s="181">
        <v>2.7</v>
      </c>
    </row>
    <row r="12" spans="1:7">
      <c r="A12" s="303" t="s">
        <v>911</v>
      </c>
      <c r="B12" t="s">
        <v>30</v>
      </c>
      <c r="C12" s="301">
        <v>48307868801.167999</v>
      </c>
      <c r="D12" s="301">
        <v>26205002520.380299</v>
      </c>
      <c r="E12" s="301">
        <v>10322087222.5408</v>
      </c>
      <c r="F12" s="181">
        <v>5</v>
      </c>
    </row>
    <row r="13" spans="1:7">
      <c r="A13" s="303" t="s">
        <v>911</v>
      </c>
      <c r="B13" t="s">
        <v>31</v>
      </c>
      <c r="C13" s="301">
        <v>109627157532.46001</v>
      </c>
      <c r="D13" s="301">
        <v>51762006570.370697</v>
      </c>
      <c r="E13" s="301">
        <v>31904886061.4277</v>
      </c>
      <c r="F13" s="181">
        <v>1.25</v>
      </c>
    </row>
    <row r="14" spans="1:7">
      <c r="A14" s="303" t="s">
        <v>911</v>
      </c>
      <c r="B14" t="s">
        <v>32</v>
      </c>
      <c r="C14" s="301">
        <v>143131181450</v>
      </c>
      <c r="D14" s="301">
        <v>68933270758.373703</v>
      </c>
      <c r="E14" s="301">
        <v>43776051172.411301</v>
      </c>
      <c r="F14" s="181">
        <v>0.5</v>
      </c>
    </row>
    <row r="15" spans="1:7">
      <c r="A15" s="303" t="s">
        <v>911</v>
      </c>
      <c r="B15" t="s">
        <v>159</v>
      </c>
      <c r="C15" s="301">
        <v>137343692965.53101</v>
      </c>
      <c r="D15" s="301">
        <v>93165076219.7771</v>
      </c>
      <c r="E15" s="301">
        <v>20327127983.174301</v>
      </c>
      <c r="F15" s="181">
        <v>1</v>
      </c>
    </row>
    <row r="16" spans="1:7">
      <c r="A16" s="303" t="s">
        <v>911</v>
      </c>
      <c r="B16" t="s">
        <v>160</v>
      </c>
      <c r="C16" s="301">
        <v>89170707966.139893</v>
      </c>
      <c r="D16" s="301">
        <v>40138360188.420097</v>
      </c>
      <c r="E16" s="301">
        <v>23809772122.8554</v>
      </c>
      <c r="F16" s="181">
        <v>1.65</v>
      </c>
    </row>
    <row r="17" spans="6:6">
      <c r="F17" s="181"/>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D8" sqref="D8"/>
    </sheetView>
  </sheetViews>
  <sheetFormatPr baseColWidth="10" defaultRowHeight="13" x14ac:dyDescent="0"/>
  <cols>
    <col min="1" max="1" width="10.7109375" style="272"/>
    <col min="3" max="3" width="10.7109375" style="225"/>
  </cols>
  <sheetData>
    <row r="1" spans="1:10" s="272" customFormat="1">
      <c r="A1" s="272" t="s">
        <v>489</v>
      </c>
      <c r="B1" s="272" t="s">
        <v>495</v>
      </c>
    </row>
    <row r="2" spans="1:10" s="272" customFormat="1">
      <c r="B2" s="272">
        <f>1.45/3.6</f>
        <v>0.40277777777777773</v>
      </c>
      <c r="C2" s="272" t="s">
        <v>496</v>
      </c>
    </row>
    <row r="3" spans="1:10" s="43" customFormat="1" ht="117">
      <c r="A3" s="43" t="s">
        <v>486</v>
      </c>
      <c r="B3" s="43" t="s">
        <v>485</v>
      </c>
      <c r="C3" s="43" t="s">
        <v>494</v>
      </c>
      <c r="D3" s="43" t="s">
        <v>493</v>
      </c>
      <c r="E3" s="43" t="s">
        <v>455</v>
      </c>
      <c r="F3" s="43" t="s">
        <v>492</v>
      </c>
    </row>
    <row r="4" spans="1:10">
      <c r="A4" s="272" t="s">
        <v>487</v>
      </c>
      <c r="B4" s="225">
        <v>8.48263027295285</v>
      </c>
      <c r="C4" s="225">
        <v>8.8590604026845607</v>
      </c>
      <c r="D4" s="225">
        <f>LOG((10^B4)/B$2)</f>
        <v>8.8775647714851633</v>
      </c>
      <c r="E4" s="282">
        <f>(10^C4)*1.3</f>
        <v>939731435.62343979</v>
      </c>
      <c r="F4" s="282">
        <f>(10^D4)*1.3</f>
        <v>980636657.66746402</v>
      </c>
    </row>
    <row r="5" spans="1:10">
      <c r="A5" s="272" t="s">
        <v>487</v>
      </c>
      <c r="B5">
        <v>8.3263027295285301</v>
      </c>
      <c r="C5" s="225">
        <v>8.7785234899328799</v>
      </c>
      <c r="D5" s="272">
        <f>LOG((10^B5)/B$2)</f>
        <v>8.7212372280608434</v>
      </c>
      <c r="E5" s="282">
        <f t="shared" ref="E5:E35" si="0">(10^C5)*1.3</f>
        <v>780668834.9176203</v>
      </c>
      <c r="F5" s="282">
        <f t="shared" ref="F5:F35" si="1">(10^D5)*1.3</f>
        <v>684196078.01080322</v>
      </c>
    </row>
    <row r="6" spans="1:10">
      <c r="A6" s="272" t="s">
        <v>487</v>
      </c>
      <c r="B6">
        <v>8.3523573200992498</v>
      </c>
      <c r="C6" s="225">
        <v>8.59731543624161</v>
      </c>
      <c r="D6" s="272">
        <f t="shared" ref="D6:D35" si="2">LOG((10^B6)/B$2)</f>
        <v>8.7472918186315631</v>
      </c>
      <c r="E6" s="282">
        <f t="shared" si="0"/>
        <v>514350052.55819565</v>
      </c>
      <c r="F6" s="282">
        <f t="shared" si="1"/>
        <v>726499251.08255351</v>
      </c>
      <c r="I6" s="225"/>
    </row>
    <row r="7" spans="1:10">
      <c r="A7" s="272" t="s">
        <v>487</v>
      </c>
      <c r="B7">
        <v>8.2965260545905704</v>
      </c>
      <c r="C7" s="225">
        <v>8.5167785234899291</v>
      </c>
      <c r="D7" s="272">
        <f t="shared" si="2"/>
        <v>8.6914605531228837</v>
      </c>
      <c r="E7" s="282">
        <f t="shared" si="0"/>
        <v>427289160.55046391</v>
      </c>
      <c r="F7" s="282">
        <f t="shared" si="1"/>
        <v>638857364.34264898</v>
      </c>
      <c r="I7" s="225"/>
      <c r="J7" s="225"/>
    </row>
    <row r="8" spans="1:10">
      <c r="A8" s="272" t="s">
        <v>487</v>
      </c>
      <c r="B8">
        <v>8.1290322580645107</v>
      </c>
      <c r="C8" s="225">
        <v>8.7785234899328799</v>
      </c>
      <c r="D8" s="272">
        <f t="shared" si="2"/>
        <v>8.523966756596824</v>
      </c>
      <c r="E8" s="282">
        <f t="shared" si="0"/>
        <v>780668834.9176203</v>
      </c>
      <c r="F8" s="282">
        <f t="shared" si="1"/>
        <v>434420297.72738236</v>
      </c>
    </row>
    <row r="9" spans="1:10">
      <c r="A9" s="272" t="s">
        <v>487</v>
      </c>
      <c r="B9">
        <v>8.0657568238213404</v>
      </c>
      <c r="C9" s="225">
        <v>8.5520134228187903</v>
      </c>
      <c r="D9" s="272">
        <f t="shared" si="2"/>
        <v>8.4606913223536537</v>
      </c>
      <c r="E9" s="282">
        <f t="shared" si="0"/>
        <v>463400795.64572734</v>
      </c>
      <c r="F9" s="282">
        <f t="shared" si="1"/>
        <v>375521385.54972792</v>
      </c>
    </row>
    <row r="10" spans="1:10">
      <c r="A10" s="272" t="s">
        <v>487</v>
      </c>
      <c r="B10">
        <v>7.9727047146401899</v>
      </c>
      <c r="C10" s="225">
        <v>8.4513422818791906</v>
      </c>
      <c r="D10" s="272">
        <f t="shared" si="2"/>
        <v>8.3676392131725041</v>
      </c>
      <c r="E10" s="282">
        <f t="shared" si="0"/>
        <v>367523940.42639875</v>
      </c>
      <c r="F10" s="282">
        <f t="shared" si="1"/>
        <v>303097647.42055196</v>
      </c>
    </row>
    <row r="11" spans="1:10">
      <c r="A11" s="272" t="s">
        <v>487</v>
      </c>
      <c r="B11">
        <v>7.9689826302729498</v>
      </c>
      <c r="C11" s="225">
        <v>8.7080536912751594</v>
      </c>
      <c r="D11" s="272">
        <f t="shared" si="2"/>
        <v>8.3639171288052641</v>
      </c>
      <c r="E11" s="282">
        <f t="shared" si="0"/>
        <v>663738552.05004025</v>
      </c>
      <c r="F11" s="282">
        <f t="shared" si="1"/>
        <v>300511074.3359881</v>
      </c>
    </row>
    <row r="12" spans="1:10">
      <c r="A12" s="272" t="s">
        <v>487</v>
      </c>
      <c r="B12">
        <v>7.95781637717121</v>
      </c>
      <c r="C12" s="225">
        <v>7.8825503355704596</v>
      </c>
      <c r="D12" s="272">
        <f t="shared" si="2"/>
        <v>8.3527508757035225</v>
      </c>
      <c r="E12" s="282">
        <f t="shared" si="0"/>
        <v>99195892.180530414</v>
      </c>
      <c r="F12" s="282">
        <f t="shared" si="1"/>
        <v>292883042.91574287</v>
      </c>
    </row>
    <row r="13" spans="1:10">
      <c r="A13" s="272" t="s">
        <v>487</v>
      </c>
      <c r="B13">
        <v>7.3287841191067002</v>
      </c>
      <c r="C13" s="225">
        <v>7.4244966442953002</v>
      </c>
      <c r="D13" s="272">
        <f t="shared" si="2"/>
        <v>7.7237186176390127</v>
      </c>
      <c r="E13" s="282">
        <f t="shared" si="0"/>
        <v>34549359.187337518</v>
      </c>
      <c r="F13" s="282">
        <f t="shared" si="1"/>
        <v>68811649.721979007</v>
      </c>
    </row>
    <row r="14" spans="1:10">
      <c r="A14" s="272" t="s">
        <v>487</v>
      </c>
      <c r="B14">
        <v>8.1960297766749299</v>
      </c>
      <c r="C14" s="225">
        <v>7.8875838926174398</v>
      </c>
      <c r="D14" s="272">
        <f t="shared" si="2"/>
        <v>8.5909642752072433</v>
      </c>
      <c r="E14" s="282">
        <f t="shared" si="0"/>
        <v>100352280.19282845</v>
      </c>
      <c r="F14" s="282">
        <f t="shared" si="1"/>
        <v>506882885.09506822</v>
      </c>
    </row>
    <row r="15" spans="1:10">
      <c r="A15" s="272" t="s">
        <v>488</v>
      </c>
      <c r="B15">
        <v>7.9875930521091796</v>
      </c>
      <c r="C15" s="225">
        <v>7.8422818791946298</v>
      </c>
      <c r="D15" s="272">
        <f t="shared" si="2"/>
        <v>8.3825275506414929</v>
      </c>
      <c r="E15" s="282">
        <f t="shared" si="0"/>
        <v>90411824.116532505</v>
      </c>
      <c r="F15" s="282">
        <f t="shared" si="1"/>
        <v>313668497.01265681</v>
      </c>
    </row>
    <row r="16" spans="1:10">
      <c r="A16" s="272" t="s">
        <v>488</v>
      </c>
      <c r="B16">
        <v>8.0620347394540897</v>
      </c>
      <c r="C16" s="225">
        <v>7.7818791946308696</v>
      </c>
      <c r="D16" s="272">
        <f t="shared" si="2"/>
        <v>8.456969237986403</v>
      </c>
      <c r="E16" s="282">
        <f t="shared" si="0"/>
        <v>78672426.786623403</v>
      </c>
      <c r="F16" s="282">
        <f t="shared" si="1"/>
        <v>372316763.15556014</v>
      </c>
    </row>
    <row r="17" spans="1:6">
      <c r="A17" s="272" t="s">
        <v>488</v>
      </c>
      <c r="B17">
        <v>8.0955334987593002</v>
      </c>
      <c r="C17" s="225">
        <v>7.5352348993288496</v>
      </c>
      <c r="D17" s="272">
        <f t="shared" si="2"/>
        <v>8.4904679972916135</v>
      </c>
      <c r="E17" s="282">
        <f t="shared" si="0"/>
        <v>44583920.089452408</v>
      </c>
      <c r="F17" s="282">
        <f t="shared" si="1"/>
        <v>402171554.31349593</v>
      </c>
    </row>
    <row r="18" spans="1:6">
      <c r="A18" s="272" t="s">
        <v>490</v>
      </c>
      <c r="B18">
        <v>7.5707196029776602</v>
      </c>
      <c r="C18" s="225">
        <v>7.8875838926174398</v>
      </c>
      <c r="D18" s="272">
        <f t="shared" si="2"/>
        <v>7.9656541015099736</v>
      </c>
      <c r="E18" s="282">
        <f t="shared" si="0"/>
        <v>100352280.19282845</v>
      </c>
      <c r="F18" s="282">
        <f t="shared" si="1"/>
        <v>120115057.58071879</v>
      </c>
    </row>
    <row r="19" spans="1:6">
      <c r="A19" s="272" t="s">
        <v>490</v>
      </c>
      <c r="B19">
        <v>7.5930521091811398</v>
      </c>
      <c r="C19" s="225">
        <v>7.6862416107382501</v>
      </c>
      <c r="D19" s="272">
        <f t="shared" si="2"/>
        <v>7.9879866077134531</v>
      </c>
      <c r="E19" s="282">
        <f t="shared" si="0"/>
        <v>63122612.21226006</v>
      </c>
      <c r="F19" s="282">
        <f t="shared" si="1"/>
        <v>126453239.60758728</v>
      </c>
    </row>
    <row r="20" spans="1:6">
      <c r="A20" s="272" t="s">
        <v>490</v>
      </c>
      <c r="B20">
        <v>7.5967741935483799</v>
      </c>
      <c r="C20" s="225">
        <v>7.5453020134228099</v>
      </c>
      <c r="D20" s="272">
        <f t="shared" si="2"/>
        <v>7.9917086920806932</v>
      </c>
      <c r="E20" s="282">
        <f t="shared" si="0"/>
        <v>45629463.841945119</v>
      </c>
      <c r="F20" s="282">
        <f t="shared" si="1"/>
        <v>127541653.89231075</v>
      </c>
    </row>
    <row r="21" spans="1:6">
      <c r="A21" s="272" t="s">
        <v>490</v>
      </c>
      <c r="B21">
        <v>7.4851116625310103</v>
      </c>
      <c r="C21" s="225">
        <v>7.4697986577181199</v>
      </c>
      <c r="D21" s="272">
        <f t="shared" si="2"/>
        <v>7.8800461610633237</v>
      </c>
      <c r="E21" s="282">
        <f t="shared" si="0"/>
        <v>38347937.42444209</v>
      </c>
      <c r="F21" s="282">
        <f t="shared" si="1"/>
        <v>98625567.086163357</v>
      </c>
    </row>
    <row r="22" spans="1:6">
      <c r="A22" s="272" t="s">
        <v>490</v>
      </c>
      <c r="B22">
        <v>7.4181141439205902</v>
      </c>
      <c r="C22" s="225">
        <v>7.4697986577181199</v>
      </c>
      <c r="D22" s="272">
        <f t="shared" si="2"/>
        <v>7.8130486424529026</v>
      </c>
      <c r="E22" s="282">
        <f t="shared" si="0"/>
        <v>38347937.42444209</v>
      </c>
      <c r="F22" s="282">
        <f t="shared" si="1"/>
        <v>84526326.449288368</v>
      </c>
    </row>
    <row r="23" spans="1:6">
      <c r="A23" s="272" t="s">
        <v>490</v>
      </c>
      <c r="B23">
        <v>7.3920595533498696</v>
      </c>
      <c r="C23" s="225">
        <v>7.3691275167785202</v>
      </c>
      <c r="D23" s="272">
        <f t="shared" si="2"/>
        <v>7.786994051882183</v>
      </c>
      <c r="E23" s="282">
        <f t="shared" si="0"/>
        <v>30413812.841682527</v>
      </c>
      <c r="F23" s="282">
        <f t="shared" si="1"/>
        <v>79604460.650286734</v>
      </c>
    </row>
    <row r="24" spans="1:6">
      <c r="A24" s="272" t="s">
        <v>490</v>
      </c>
      <c r="B24">
        <v>7.3138957816377097</v>
      </c>
      <c r="C24" s="225">
        <v>7.2583892617449601</v>
      </c>
      <c r="D24" s="272">
        <f t="shared" si="2"/>
        <v>7.708830280170023</v>
      </c>
      <c r="E24" s="282">
        <f t="shared" si="0"/>
        <v>23568536.41437234</v>
      </c>
      <c r="F24" s="282">
        <f t="shared" si="1"/>
        <v>66492648.590774022</v>
      </c>
    </row>
    <row r="25" spans="1:6">
      <c r="A25" s="272" t="s">
        <v>490</v>
      </c>
      <c r="B25">
        <v>7.2096774193548301</v>
      </c>
      <c r="C25" s="225">
        <v>7.3892617449664399</v>
      </c>
      <c r="D25" s="272">
        <f t="shared" si="2"/>
        <v>7.6046119178871434</v>
      </c>
      <c r="E25" s="282">
        <f t="shared" si="0"/>
        <v>31857016.266325161</v>
      </c>
      <c r="F25" s="282">
        <f t="shared" si="1"/>
        <v>52306452.940063685</v>
      </c>
    </row>
    <row r="26" spans="1:6">
      <c r="A26" s="272" t="s">
        <v>490</v>
      </c>
      <c r="B26">
        <v>7.1426799007444099</v>
      </c>
      <c r="C26" s="225">
        <v>7.3338926174496599</v>
      </c>
      <c r="D26" s="272">
        <f t="shared" si="2"/>
        <v>7.5376143992767233</v>
      </c>
      <c r="E26" s="282">
        <f t="shared" si="0"/>
        <v>28043742.437155034</v>
      </c>
      <c r="F26" s="282">
        <f t="shared" si="1"/>
        <v>44828865.853349894</v>
      </c>
    </row>
    <row r="27" spans="1:6">
      <c r="A27" s="272" t="s">
        <v>490</v>
      </c>
      <c r="B27">
        <v>7.1091811414392003</v>
      </c>
      <c r="C27" s="225">
        <v>7.2684563758389196</v>
      </c>
      <c r="D27" s="272">
        <f t="shared" si="2"/>
        <v>7.5041156399715128</v>
      </c>
      <c r="E27" s="282">
        <f t="shared" si="0"/>
        <v>24121245.461804666</v>
      </c>
      <c r="F27" s="282">
        <f t="shared" si="1"/>
        <v>41501041.163750701</v>
      </c>
    </row>
    <row r="28" spans="1:6">
      <c r="A28" s="272" t="s">
        <v>490</v>
      </c>
      <c r="B28">
        <v>7.0607940446650099</v>
      </c>
      <c r="C28" s="225">
        <v>7.2583892617449601</v>
      </c>
      <c r="D28" s="272">
        <f t="shared" si="2"/>
        <v>7.4557285431973233</v>
      </c>
      <c r="E28" s="282">
        <f t="shared" si="0"/>
        <v>23568536.41437234</v>
      </c>
      <c r="F28" s="282">
        <f t="shared" si="1"/>
        <v>37125464.449898556</v>
      </c>
    </row>
    <row r="29" spans="1:6">
      <c r="A29" s="272" t="s">
        <v>490</v>
      </c>
      <c r="B29">
        <v>7.1873449131513603</v>
      </c>
      <c r="C29" s="225">
        <v>7.1073825503355703</v>
      </c>
      <c r="D29" s="272">
        <f t="shared" si="2"/>
        <v>7.5822794116836736</v>
      </c>
      <c r="E29" s="282">
        <f t="shared" si="0"/>
        <v>16646613.745805332</v>
      </c>
      <c r="F29" s="282">
        <f t="shared" si="1"/>
        <v>49684710.539927632</v>
      </c>
    </row>
    <row r="30" spans="1:6">
      <c r="A30" s="272" t="s">
        <v>490</v>
      </c>
      <c r="B30">
        <v>7.1575682382133996</v>
      </c>
      <c r="C30" s="225">
        <v>7.0570469798657696</v>
      </c>
      <c r="D30" s="272">
        <f t="shared" si="2"/>
        <v>7.552502736745712</v>
      </c>
      <c r="E30" s="282">
        <f t="shared" si="0"/>
        <v>14824850.831852522</v>
      </c>
      <c r="F30" s="282">
        <f t="shared" si="1"/>
        <v>46392319.75130409</v>
      </c>
    </row>
    <row r="31" spans="1:6">
      <c r="A31" s="272" t="s">
        <v>490</v>
      </c>
      <c r="B31">
        <v>7.2394540942927996</v>
      </c>
      <c r="C31" s="225">
        <v>7.0268456375838904</v>
      </c>
      <c r="D31" s="272">
        <f t="shared" si="2"/>
        <v>7.6343885928251121</v>
      </c>
      <c r="E31" s="282">
        <f t="shared" si="0"/>
        <v>13828943.106112042</v>
      </c>
      <c r="F31" s="282">
        <f t="shared" si="1"/>
        <v>56018560.564098425</v>
      </c>
    </row>
    <row r="32" spans="1:6">
      <c r="A32" s="272" t="s">
        <v>490</v>
      </c>
      <c r="B32">
        <v>7.3250620347394504</v>
      </c>
      <c r="C32" s="225">
        <v>6.9714765100671103</v>
      </c>
      <c r="D32" s="272">
        <f t="shared" si="2"/>
        <v>7.7199965332717637</v>
      </c>
      <c r="E32" s="282">
        <f t="shared" si="0"/>
        <v>12173623.399119781</v>
      </c>
      <c r="F32" s="282">
        <f t="shared" si="1"/>
        <v>68224425.23313725</v>
      </c>
    </row>
    <row r="33" spans="1:6">
      <c r="A33" s="272" t="s">
        <v>490</v>
      </c>
      <c r="B33">
        <v>7.0347394540942902</v>
      </c>
      <c r="C33" s="225">
        <v>7.0570469798657696</v>
      </c>
      <c r="D33" s="272">
        <f t="shared" si="2"/>
        <v>7.4296739526266036</v>
      </c>
      <c r="E33" s="282">
        <f t="shared" si="0"/>
        <v>14824850.831852522</v>
      </c>
      <c r="F33" s="282">
        <f t="shared" si="1"/>
        <v>34963693.53870637</v>
      </c>
    </row>
    <row r="34" spans="1:6">
      <c r="A34" s="272" t="s">
        <v>490</v>
      </c>
      <c r="B34">
        <v>6.7220843672456496</v>
      </c>
      <c r="C34" s="225">
        <v>7.1124161073825496</v>
      </c>
      <c r="D34" s="272">
        <f t="shared" si="2"/>
        <v>7.1170188657779629</v>
      </c>
      <c r="E34" s="282">
        <f t="shared" si="0"/>
        <v>16840673.6424185</v>
      </c>
      <c r="F34" s="282">
        <f t="shared" si="1"/>
        <v>17020104.337272134</v>
      </c>
    </row>
    <row r="35" spans="1:6">
      <c r="A35" s="272" t="s">
        <v>490</v>
      </c>
      <c r="B35">
        <v>6.7034739454094296</v>
      </c>
      <c r="C35" s="225">
        <v>6.9765100671140896</v>
      </c>
      <c r="D35" s="272">
        <f t="shared" si="2"/>
        <v>7.098408443941743</v>
      </c>
      <c r="E35" s="282">
        <f t="shared" si="0"/>
        <v>12315538.874201678</v>
      </c>
      <c r="F35" s="282">
        <f t="shared" si="1"/>
        <v>16306163.635865495</v>
      </c>
    </row>
    <row r="36" spans="1:6">
      <c r="E36" s="225"/>
    </row>
    <row r="40" spans="1:6">
      <c r="B40">
        <v>9</v>
      </c>
      <c r="C40" s="225">
        <v>9</v>
      </c>
    </row>
    <row r="41" spans="1:6">
      <c r="B41">
        <v>6</v>
      </c>
      <c r="C41" s="225">
        <v>6</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9" sqref="H9"/>
    </sheetView>
  </sheetViews>
  <sheetFormatPr baseColWidth="10" defaultRowHeight="13" x14ac:dyDescent="0"/>
  <cols>
    <col min="1" max="1" width="17.42578125" customWidth="1"/>
    <col min="7" max="7" width="11" bestFit="1" customWidth="1"/>
  </cols>
  <sheetData>
    <row r="1" spans="1:9">
      <c r="A1" t="s">
        <v>161</v>
      </c>
    </row>
    <row r="2" spans="1:9">
      <c r="A2" t="s">
        <v>381</v>
      </c>
      <c r="B2" t="s">
        <v>383</v>
      </c>
    </row>
    <row r="3" spans="1:9">
      <c r="A3" t="s">
        <v>376</v>
      </c>
      <c r="B3" t="s">
        <v>864</v>
      </c>
      <c r="C3" t="s">
        <v>905</v>
      </c>
      <c r="D3" t="s">
        <v>377</v>
      </c>
      <c r="E3" s="303" t="s">
        <v>378</v>
      </c>
      <c r="G3" t="s">
        <v>380</v>
      </c>
      <c r="H3" t="s">
        <v>382</v>
      </c>
      <c r="I3" t="s">
        <v>446</v>
      </c>
    </row>
    <row r="4" spans="1:9" ht="15">
      <c r="A4" t="s">
        <v>379</v>
      </c>
      <c r="B4">
        <v>2.5000000000000001E-3</v>
      </c>
      <c r="C4" s="305" t="s">
        <v>367</v>
      </c>
      <c r="D4" s="305">
        <v>53.9</v>
      </c>
      <c r="E4" s="305">
        <v>44.4</v>
      </c>
      <c r="F4" t="s">
        <v>943</v>
      </c>
      <c r="G4" s="301">
        <f>D4*10^8</f>
        <v>5390000000</v>
      </c>
      <c r="H4" s="301">
        <f>E4*10^8</f>
        <v>4440000000</v>
      </c>
      <c r="I4">
        <v>22.6261699943182</v>
      </c>
    </row>
    <row r="5" spans="1:9" ht="15">
      <c r="A5" s="303" t="s">
        <v>379</v>
      </c>
      <c r="B5">
        <v>7.4999999999999997E-3</v>
      </c>
      <c r="C5" s="305" t="s">
        <v>368</v>
      </c>
      <c r="D5" s="305">
        <v>53.7</v>
      </c>
      <c r="E5" s="305">
        <v>37.4</v>
      </c>
      <c r="F5" s="303" t="s">
        <v>943</v>
      </c>
      <c r="G5" s="301">
        <f t="shared" ref="G5:G12" si="0">D5*10^8</f>
        <v>5370000000</v>
      </c>
      <c r="H5" s="301">
        <f t="shared" ref="H5:H12" si="1">E5*10^8</f>
        <v>3740000000</v>
      </c>
      <c r="I5">
        <v>22.715483298611399</v>
      </c>
    </row>
    <row r="6" spans="1:9" ht="15">
      <c r="A6" s="303" t="s">
        <v>379</v>
      </c>
      <c r="B6">
        <v>1.4999999999999999E-2</v>
      </c>
      <c r="C6" s="305" t="s">
        <v>369</v>
      </c>
      <c r="D6" s="305">
        <v>56.5</v>
      </c>
      <c r="E6" s="305">
        <v>39.4</v>
      </c>
      <c r="F6" s="303" t="s">
        <v>943</v>
      </c>
      <c r="G6" s="301">
        <f t="shared" si="0"/>
        <v>5650000000</v>
      </c>
      <c r="H6" s="301">
        <f t="shared" si="1"/>
        <v>3940000000</v>
      </c>
      <c r="I6">
        <v>22.661755763997501</v>
      </c>
    </row>
    <row r="7" spans="1:9" ht="15">
      <c r="A7" s="303" t="s">
        <v>379</v>
      </c>
      <c r="B7">
        <v>2.5000000000000001E-2</v>
      </c>
      <c r="C7" s="305" t="s">
        <v>370</v>
      </c>
      <c r="D7" s="305">
        <v>53.5</v>
      </c>
      <c r="E7" s="305">
        <v>28.4</v>
      </c>
      <c r="F7" s="303" t="s">
        <v>943</v>
      </c>
      <c r="G7" s="301">
        <f t="shared" si="0"/>
        <v>5350000000</v>
      </c>
      <c r="H7" s="301">
        <f t="shared" si="1"/>
        <v>2840000000</v>
      </c>
      <c r="I7">
        <v>22.3706900848277</v>
      </c>
    </row>
    <row r="8" spans="1:9" ht="15">
      <c r="A8" s="303" t="s">
        <v>379</v>
      </c>
      <c r="B8">
        <v>3.5000000000000003E-2</v>
      </c>
      <c r="C8" s="305" t="s">
        <v>371</v>
      </c>
      <c r="D8" s="305">
        <v>33.1</v>
      </c>
      <c r="E8" s="305">
        <v>15.1</v>
      </c>
      <c r="F8" s="303" t="s">
        <v>943</v>
      </c>
      <c r="G8" s="301">
        <f t="shared" si="0"/>
        <v>3310000000</v>
      </c>
      <c r="H8" s="301">
        <f>E8*10^8</f>
        <v>1510000000</v>
      </c>
      <c r="I8">
        <v>23.4411538959938</v>
      </c>
    </row>
    <row r="9" spans="1:9" ht="15">
      <c r="A9" s="303" t="s">
        <v>379</v>
      </c>
      <c r="B9">
        <v>4.4999999999999998E-2</v>
      </c>
      <c r="C9" s="305" t="s">
        <v>372</v>
      </c>
      <c r="D9" s="305">
        <v>25.5</v>
      </c>
      <c r="E9" s="305">
        <v>9.5</v>
      </c>
      <c r="F9" s="303" t="s">
        <v>943</v>
      </c>
      <c r="G9" s="301">
        <f t="shared" si="0"/>
        <v>2550000000</v>
      </c>
      <c r="H9" s="301">
        <f t="shared" si="1"/>
        <v>950000000</v>
      </c>
      <c r="I9">
        <v>22.586696703581399</v>
      </c>
    </row>
    <row r="10" spans="1:9" ht="15">
      <c r="A10" s="303" t="s">
        <v>379</v>
      </c>
      <c r="B10">
        <v>7.4999999999999997E-2</v>
      </c>
      <c r="C10" s="305" t="s">
        <v>373</v>
      </c>
      <c r="D10" s="305">
        <v>17</v>
      </c>
      <c r="E10" s="305">
        <v>4.3</v>
      </c>
      <c r="F10" s="303" t="s">
        <v>943</v>
      </c>
      <c r="G10" s="301">
        <f t="shared" si="0"/>
        <v>1700000000</v>
      </c>
      <c r="H10" s="301">
        <f t="shared" si="1"/>
        <v>430000000</v>
      </c>
      <c r="I10">
        <v>21.055810847180499</v>
      </c>
    </row>
    <row r="11" spans="1:9" ht="15">
      <c r="A11" s="303" t="s">
        <v>379</v>
      </c>
      <c r="B11">
        <v>0.125</v>
      </c>
      <c r="C11" s="305" t="s">
        <v>374</v>
      </c>
      <c r="D11" s="305">
        <v>9</v>
      </c>
      <c r="E11" s="305">
        <v>1.5</v>
      </c>
      <c r="F11" s="303" t="s">
        <v>943</v>
      </c>
      <c r="G11" s="301">
        <f t="shared" si="0"/>
        <v>900000000</v>
      </c>
      <c r="H11" s="301">
        <f t="shared" si="1"/>
        <v>150000000</v>
      </c>
      <c r="I11">
        <v>18.469313503653201</v>
      </c>
    </row>
    <row r="12" spans="1:9" ht="15">
      <c r="A12" s="303" t="s">
        <v>379</v>
      </c>
      <c r="B12">
        <v>0.17499999999999999</v>
      </c>
      <c r="C12" s="305" t="s">
        <v>375</v>
      </c>
      <c r="D12" s="305">
        <v>1</v>
      </c>
      <c r="E12" s="305">
        <v>0.1</v>
      </c>
      <c r="F12" s="303" t="s">
        <v>943</v>
      </c>
      <c r="G12" s="301">
        <f t="shared" si="0"/>
        <v>100000000</v>
      </c>
      <c r="H12" s="301">
        <f t="shared" si="1"/>
        <v>10000000</v>
      </c>
      <c r="I12">
        <v>18.995025966646999</v>
      </c>
    </row>
  </sheetData>
  <dataConsolid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G5" sqref="G5:G22"/>
    </sheetView>
  </sheetViews>
  <sheetFormatPr baseColWidth="10" defaultRowHeight="13" x14ac:dyDescent="0"/>
  <cols>
    <col min="2" max="2" width="10.7109375" style="303"/>
    <col min="6" max="6" width="11" bestFit="1" customWidth="1"/>
  </cols>
  <sheetData>
    <row r="1" spans="1:9">
      <c r="A1" t="s">
        <v>161</v>
      </c>
    </row>
    <row r="4" spans="1:9" s="43" customFormat="1" ht="26">
      <c r="B4" s="43" t="s">
        <v>864</v>
      </c>
      <c r="C4" s="43" t="s">
        <v>965</v>
      </c>
      <c r="D4" s="43" t="s">
        <v>387</v>
      </c>
      <c r="E4" s="43" t="s">
        <v>1568</v>
      </c>
      <c r="F4" s="43" t="s">
        <v>392</v>
      </c>
      <c r="G4" s="43" t="s">
        <v>393</v>
      </c>
      <c r="H4" s="43" t="s">
        <v>394</v>
      </c>
      <c r="I4" s="43" t="s">
        <v>395</v>
      </c>
    </row>
    <row r="5" spans="1:9">
      <c r="A5" t="s">
        <v>385</v>
      </c>
      <c r="B5" s="303">
        <f>0.01*C5</f>
        <v>5.0000000000000001E-3</v>
      </c>
      <c r="C5">
        <v>0.5</v>
      </c>
      <c r="D5">
        <v>44</v>
      </c>
      <c r="E5" s="327">
        <v>73</v>
      </c>
      <c r="F5" s="301">
        <f>D5*10^8</f>
        <v>4400000000</v>
      </c>
      <c r="G5" s="301">
        <f>F5*(E5/100)</f>
        <v>3212000000</v>
      </c>
      <c r="H5">
        <v>1</v>
      </c>
      <c r="I5" t="s">
        <v>943</v>
      </c>
    </row>
    <row r="6" spans="1:9">
      <c r="B6" s="303">
        <f t="shared" ref="B6:B22" si="0">0.01*C6</f>
        <v>0.01</v>
      </c>
      <c r="C6">
        <v>1</v>
      </c>
      <c r="D6">
        <v>45</v>
      </c>
      <c r="E6" s="327">
        <v>65</v>
      </c>
      <c r="F6" s="301">
        <f t="shared" ref="F6:F22" si="1">D6*10^8</f>
        <v>4500000000</v>
      </c>
      <c r="G6" s="301">
        <f t="shared" ref="G6:G22" si="2">F6*(E6/100)</f>
        <v>2925000000</v>
      </c>
      <c r="H6">
        <v>1</v>
      </c>
      <c r="I6" s="303" t="s">
        <v>943</v>
      </c>
    </row>
    <row r="7" spans="1:9">
      <c r="B7" s="303">
        <f t="shared" si="0"/>
        <v>1.4999999999999999E-2</v>
      </c>
      <c r="C7">
        <v>1.5</v>
      </c>
      <c r="D7">
        <v>46</v>
      </c>
      <c r="E7" s="327">
        <v>54</v>
      </c>
      <c r="F7" s="301">
        <f t="shared" si="1"/>
        <v>4600000000</v>
      </c>
      <c r="G7" s="301">
        <f t="shared" si="2"/>
        <v>2484000000</v>
      </c>
      <c r="H7">
        <v>1</v>
      </c>
      <c r="I7" s="303" t="s">
        <v>943</v>
      </c>
    </row>
    <row r="8" spans="1:9">
      <c r="B8" s="303">
        <f t="shared" si="0"/>
        <v>0.02</v>
      </c>
      <c r="C8">
        <v>2</v>
      </c>
      <c r="D8">
        <v>45</v>
      </c>
      <c r="E8" s="327">
        <v>43.5</v>
      </c>
      <c r="F8" s="301">
        <f t="shared" si="1"/>
        <v>4500000000</v>
      </c>
      <c r="G8" s="301">
        <f t="shared" si="2"/>
        <v>1957500000</v>
      </c>
      <c r="H8">
        <v>1</v>
      </c>
      <c r="I8" s="303" t="s">
        <v>943</v>
      </c>
    </row>
    <row r="9" spans="1:9">
      <c r="B9" s="303">
        <f t="shared" si="0"/>
        <v>2.5000000000000001E-2</v>
      </c>
      <c r="C9">
        <v>2.5</v>
      </c>
      <c r="D9">
        <v>43</v>
      </c>
      <c r="E9" s="327">
        <v>54.5</v>
      </c>
      <c r="F9" s="301">
        <f t="shared" si="1"/>
        <v>4300000000</v>
      </c>
      <c r="G9" s="301">
        <f t="shared" si="2"/>
        <v>2343500000</v>
      </c>
      <c r="H9">
        <v>1</v>
      </c>
      <c r="I9" s="303" t="s">
        <v>943</v>
      </c>
    </row>
    <row r="10" spans="1:9">
      <c r="B10" s="303">
        <f t="shared" si="0"/>
        <v>0.03</v>
      </c>
      <c r="C10">
        <v>3</v>
      </c>
      <c r="D10">
        <v>45</v>
      </c>
      <c r="E10" s="327">
        <v>41.8</v>
      </c>
      <c r="F10" s="301">
        <f t="shared" si="1"/>
        <v>4500000000</v>
      </c>
      <c r="G10" s="301">
        <f t="shared" si="2"/>
        <v>1881000000</v>
      </c>
      <c r="H10">
        <v>1</v>
      </c>
      <c r="I10" s="303" t="s">
        <v>943</v>
      </c>
    </row>
    <row r="11" spans="1:9">
      <c r="B11" s="303">
        <f t="shared" si="0"/>
        <v>3.5000000000000003E-2</v>
      </c>
      <c r="C11">
        <v>3.5</v>
      </c>
      <c r="D11">
        <v>33</v>
      </c>
      <c r="E11" s="327">
        <v>41.3</v>
      </c>
      <c r="F11" s="301">
        <f t="shared" si="1"/>
        <v>3300000000</v>
      </c>
      <c r="G11" s="301">
        <f t="shared" si="2"/>
        <v>1362900000</v>
      </c>
      <c r="H11">
        <v>1</v>
      </c>
      <c r="I11" s="303" t="s">
        <v>943</v>
      </c>
    </row>
    <row r="12" spans="1:9">
      <c r="B12" s="303">
        <f t="shared" si="0"/>
        <v>0.04</v>
      </c>
      <c r="C12">
        <v>4</v>
      </c>
      <c r="D12">
        <v>24</v>
      </c>
      <c r="E12" s="327">
        <v>40</v>
      </c>
      <c r="F12" s="301">
        <f t="shared" si="1"/>
        <v>2400000000</v>
      </c>
      <c r="G12" s="301">
        <f t="shared" si="2"/>
        <v>960000000</v>
      </c>
      <c r="H12">
        <v>1</v>
      </c>
      <c r="I12" s="303" t="s">
        <v>943</v>
      </c>
    </row>
    <row r="13" spans="1:9">
      <c r="B13" s="303">
        <f t="shared" si="0"/>
        <v>4.4999999999999998E-2</v>
      </c>
      <c r="C13">
        <v>4.5</v>
      </c>
      <c r="D13">
        <v>27</v>
      </c>
      <c r="E13" s="327">
        <v>37</v>
      </c>
      <c r="F13" s="301">
        <f t="shared" si="1"/>
        <v>2700000000</v>
      </c>
      <c r="G13" s="301">
        <f t="shared" si="2"/>
        <v>999000000</v>
      </c>
      <c r="H13" s="303">
        <v>1</v>
      </c>
      <c r="I13" s="303" t="s">
        <v>943</v>
      </c>
    </row>
    <row r="14" spans="1:9">
      <c r="B14" s="303">
        <f t="shared" si="0"/>
        <v>0.05</v>
      </c>
      <c r="C14">
        <v>5</v>
      </c>
      <c r="D14">
        <v>18</v>
      </c>
      <c r="E14" s="327">
        <v>28.6</v>
      </c>
      <c r="F14" s="301">
        <f t="shared" si="1"/>
        <v>1800000000</v>
      </c>
      <c r="G14" s="301">
        <f t="shared" si="2"/>
        <v>514800000.00000006</v>
      </c>
      <c r="H14" s="303">
        <v>1</v>
      </c>
      <c r="I14" s="303" t="s">
        <v>943</v>
      </c>
    </row>
    <row r="15" spans="1:9">
      <c r="A15" t="s">
        <v>384</v>
      </c>
      <c r="B15" s="303">
        <f t="shared" si="0"/>
        <v>5.0000000000000001E-3</v>
      </c>
      <c r="C15">
        <v>0.5</v>
      </c>
      <c r="D15">
        <v>6.1</v>
      </c>
      <c r="E15">
        <v>40</v>
      </c>
      <c r="F15" s="301">
        <f t="shared" si="1"/>
        <v>610000000</v>
      </c>
      <c r="G15" s="301">
        <f t="shared" si="2"/>
        <v>244000000</v>
      </c>
      <c r="H15" s="303">
        <v>1</v>
      </c>
      <c r="I15" s="303" t="s">
        <v>943</v>
      </c>
    </row>
    <row r="16" spans="1:9">
      <c r="B16" s="303">
        <f t="shared" si="0"/>
        <v>0.01</v>
      </c>
      <c r="C16">
        <v>1</v>
      </c>
      <c r="D16">
        <v>7.8</v>
      </c>
      <c r="E16">
        <v>45</v>
      </c>
      <c r="F16" s="301">
        <f t="shared" si="1"/>
        <v>780000000</v>
      </c>
      <c r="G16" s="301">
        <f t="shared" si="2"/>
        <v>351000000</v>
      </c>
      <c r="H16" s="303">
        <v>1</v>
      </c>
      <c r="I16" s="303" t="s">
        <v>943</v>
      </c>
    </row>
    <row r="17" spans="2:9">
      <c r="B17" s="303">
        <f t="shared" si="0"/>
        <v>1.4999999999999999E-2</v>
      </c>
      <c r="C17">
        <v>1.5</v>
      </c>
      <c r="D17">
        <v>25</v>
      </c>
      <c r="E17">
        <v>54</v>
      </c>
      <c r="F17" s="301">
        <f t="shared" si="1"/>
        <v>2500000000</v>
      </c>
      <c r="G17" s="301">
        <f t="shared" si="2"/>
        <v>1350000000</v>
      </c>
      <c r="H17" s="303">
        <v>1</v>
      </c>
      <c r="I17" s="303" t="s">
        <v>943</v>
      </c>
    </row>
    <row r="18" spans="2:9">
      <c r="B18" s="303">
        <f t="shared" si="0"/>
        <v>0.02</v>
      </c>
      <c r="C18">
        <v>2</v>
      </c>
      <c r="D18">
        <v>32</v>
      </c>
      <c r="E18">
        <v>50</v>
      </c>
      <c r="F18" s="301">
        <f t="shared" si="1"/>
        <v>3200000000</v>
      </c>
      <c r="G18" s="301">
        <f t="shared" si="2"/>
        <v>1600000000</v>
      </c>
      <c r="H18" s="303">
        <v>1</v>
      </c>
      <c r="I18" s="303" t="s">
        <v>943</v>
      </c>
    </row>
    <row r="19" spans="2:9">
      <c r="B19" s="303">
        <f t="shared" si="0"/>
        <v>2.5000000000000001E-2</v>
      </c>
      <c r="C19">
        <v>2.5</v>
      </c>
      <c r="D19">
        <v>22</v>
      </c>
      <c r="E19">
        <v>43.5</v>
      </c>
      <c r="F19" s="301">
        <f t="shared" si="1"/>
        <v>2200000000</v>
      </c>
      <c r="G19" s="301">
        <f t="shared" si="2"/>
        <v>957000000</v>
      </c>
      <c r="H19" s="303">
        <v>1</v>
      </c>
      <c r="I19" s="303" t="s">
        <v>943</v>
      </c>
    </row>
    <row r="20" spans="2:9">
      <c r="B20" s="303">
        <f t="shared" si="0"/>
        <v>0.03</v>
      </c>
      <c r="C20">
        <v>3</v>
      </c>
      <c r="D20">
        <v>23</v>
      </c>
      <c r="E20">
        <v>41.2</v>
      </c>
      <c r="F20" s="301">
        <f t="shared" si="1"/>
        <v>2300000000</v>
      </c>
      <c r="G20" s="301">
        <f t="shared" si="2"/>
        <v>947600000.00000012</v>
      </c>
      <c r="H20" s="303">
        <v>1</v>
      </c>
      <c r="I20" s="303" t="s">
        <v>943</v>
      </c>
    </row>
    <row r="21" spans="2:9">
      <c r="B21" s="303">
        <f t="shared" si="0"/>
        <v>3.5000000000000003E-2</v>
      </c>
      <c r="C21">
        <v>3.5</v>
      </c>
      <c r="D21">
        <v>20</v>
      </c>
      <c r="E21">
        <v>40</v>
      </c>
      <c r="F21" s="301">
        <f t="shared" si="1"/>
        <v>2000000000</v>
      </c>
      <c r="G21" s="301">
        <f t="shared" si="2"/>
        <v>800000000</v>
      </c>
      <c r="H21" s="303">
        <v>1</v>
      </c>
      <c r="I21" s="303" t="s">
        <v>943</v>
      </c>
    </row>
    <row r="22" spans="2:9">
      <c r="B22" s="303">
        <f t="shared" si="0"/>
        <v>0.04</v>
      </c>
      <c r="C22">
        <v>4</v>
      </c>
      <c r="D22">
        <v>12</v>
      </c>
      <c r="E22">
        <v>35</v>
      </c>
      <c r="F22" s="301">
        <f t="shared" si="1"/>
        <v>1200000000</v>
      </c>
      <c r="G22" s="301">
        <f t="shared" si="2"/>
        <v>420000000</v>
      </c>
      <c r="H22" s="303">
        <v>1</v>
      </c>
      <c r="I22" s="303" t="s">
        <v>943</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G9" sqref="G9"/>
    </sheetView>
  </sheetViews>
  <sheetFormatPr baseColWidth="10" defaultRowHeight="13" x14ac:dyDescent="0"/>
  <cols>
    <col min="1" max="1" width="19.5703125" customWidth="1"/>
    <col min="3" max="3" width="10.7109375" style="272"/>
    <col min="6" max="6" width="11" bestFit="1" customWidth="1"/>
  </cols>
  <sheetData>
    <row r="1" spans="1:8">
      <c r="A1" s="174" t="s">
        <v>717</v>
      </c>
    </row>
    <row r="3" spans="1:8" s="262" customFormat="1" ht="26">
      <c r="B3" s="233" t="s">
        <v>697</v>
      </c>
      <c r="C3" s="233" t="s">
        <v>864</v>
      </c>
      <c r="D3" s="262" t="s">
        <v>664</v>
      </c>
      <c r="E3" s="262" t="s">
        <v>815</v>
      </c>
      <c r="F3" s="233" t="s">
        <v>513</v>
      </c>
      <c r="G3" s="262" t="s">
        <v>816</v>
      </c>
      <c r="H3" s="233" t="s">
        <v>420</v>
      </c>
    </row>
    <row r="4" spans="1:8">
      <c r="A4" s="174" t="s">
        <v>581</v>
      </c>
      <c r="B4" s="32" t="s">
        <v>718</v>
      </c>
      <c r="C4" s="32">
        <f>0.01/2</f>
        <v>5.0000000000000001E-3</v>
      </c>
      <c r="D4" s="168">
        <v>3600000000</v>
      </c>
      <c r="E4">
        <v>91</v>
      </c>
      <c r="F4" s="221">
        <f>(E4*D4)/100</f>
        <v>3276000000</v>
      </c>
      <c r="G4" s="174" t="s">
        <v>817</v>
      </c>
      <c r="H4" s="221"/>
    </row>
    <row r="5" spans="1:8">
      <c r="B5" s="32" t="s">
        <v>719</v>
      </c>
      <c r="C5" s="32">
        <f>0.015</f>
        <v>1.4999999999999999E-2</v>
      </c>
      <c r="D5" s="168">
        <v>1100000000</v>
      </c>
      <c r="E5">
        <v>97</v>
      </c>
      <c r="F5" s="221">
        <f>(E5*D5)/100</f>
        <v>1067000000</v>
      </c>
      <c r="G5" s="174" t="s">
        <v>817</v>
      </c>
      <c r="H5" s="221"/>
    </row>
    <row r="6" spans="1:8">
      <c r="B6" s="32" t="s">
        <v>642</v>
      </c>
      <c r="C6" s="32">
        <v>2.5000000000000001E-2</v>
      </c>
      <c r="D6" s="168">
        <v>300000000</v>
      </c>
      <c r="E6">
        <v>89</v>
      </c>
      <c r="F6" s="221">
        <f>(E6*D6)/100</f>
        <v>267000000</v>
      </c>
      <c r="G6">
        <v>6</v>
      </c>
      <c r="H6" s="221">
        <f>(G6*D6)/100</f>
        <v>18000000</v>
      </c>
    </row>
    <row r="7" spans="1:8">
      <c r="B7" s="32" t="s">
        <v>643</v>
      </c>
      <c r="C7" s="32">
        <f>C6+0.01</f>
        <v>3.5000000000000003E-2</v>
      </c>
      <c r="D7" s="168">
        <v>100000000</v>
      </c>
      <c r="E7">
        <v>90</v>
      </c>
      <c r="F7" s="221">
        <f>(E7*D7)/100</f>
        <v>90000000</v>
      </c>
      <c r="G7">
        <v>9</v>
      </c>
      <c r="H7" s="221">
        <f>(G7*D7)/100</f>
        <v>9000000</v>
      </c>
    </row>
    <row r="8" spans="1:8">
      <c r="B8" s="32" t="s">
        <v>698</v>
      </c>
      <c r="C8" s="32">
        <f>C7+0.01</f>
        <v>4.5000000000000005E-2</v>
      </c>
      <c r="D8" s="168">
        <v>100000000</v>
      </c>
      <c r="E8">
        <v>83</v>
      </c>
      <c r="F8" s="221">
        <f>(E8*D8)/100</f>
        <v>83000000</v>
      </c>
      <c r="G8">
        <v>8</v>
      </c>
      <c r="H8" s="221">
        <f>(G8*D8)/100</f>
        <v>8000000</v>
      </c>
    </row>
    <row r="9" spans="1:8">
      <c r="B9" s="32" t="s">
        <v>699</v>
      </c>
      <c r="C9" s="32">
        <f>C8+0.02</f>
        <v>6.5000000000000002E-2</v>
      </c>
      <c r="D9" s="174" t="s">
        <v>573</v>
      </c>
      <c r="E9">
        <v>64</v>
      </c>
      <c r="F9" s="221"/>
      <c r="G9">
        <v>17</v>
      </c>
      <c r="H9" s="221"/>
    </row>
    <row r="10" spans="1:8">
      <c r="B10" s="32" t="s">
        <v>569</v>
      </c>
      <c r="C10" s="32">
        <f>C9+0.01</f>
        <v>7.4999999999999997E-2</v>
      </c>
      <c r="D10" s="174" t="s">
        <v>573</v>
      </c>
      <c r="E10">
        <v>80</v>
      </c>
      <c r="F10" s="221"/>
      <c r="G10">
        <v>14</v>
      </c>
      <c r="H10" s="221"/>
    </row>
    <row r="11" spans="1:8">
      <c r="B11" s="32" t="s">
        <v>570</v>
      </c>
      <c r="C11" s="32">
        <f>C10+0.02</f>
        <v>9.5000000000000001E-2</v>
      </c>
      <c r="D11" s="174" t="s">
        <v>573</v>
      </c>
      <c r="E11">
        <v>61</v>
      </c>
      <c r="F11" s="221"/>
      <c r="G11">
        <v>13</v>
      </c>
      <c r="H11" s="221"/>
    </row>
    <row r="12" spans="1:8">
      <c r="A12" s="174" t="s">
        <v>658</v>
      </c>
      <c r="B12" s="32" t="s">
        <v>718</v>
      </c>
      <c r="C12" s="32">
        <v>5.0000000000000001E-3</v>
      </c>
      <c r="D12" s="168">
        <v>10200000000</v>
      </c>
      <c r="E12">
        <v>51</v>
      </c>
      <c r="F12" s="221">
        <f t="shared" ref="F12:F30" si="0">(E12*D12)/100</f>
        <v>5202000000</v>
      </c>
      <c r="G12" s="174" t="s">
        <v>817</v>
      </c>
      <c r="H12" s="221"/>
    </row>
    <row r="13" spans="1:8">
      <c r="B13" s="32" t="s">
        <v>719</v>
      </c>
      <c r="C13" s="32">
        <f>C12+0.01</f>
        <v>1.4999999999999999E-2</v>
      </c>
      <c r="D13" s="168">
        <v>19400000000</v>
      </c>
      <c r="E13">
        <v>40</v>
      </c>
      <c r="F13" s="221">
        <f t="shared" si="0"/>
        <v>7760000000</v>
      </c>
      <c r="G13">
        <v>2</v>
      </c>
      <c r="H13" s="221">
        <f t="shared" ref="H13:H25" si="1">(G13*D13)/100</f>
        <v>388000000</v>
      </c>
    </row>
    <row r="14" spans="1:8">
      <c r="B14" s="32" t="s">
        <v>642</v>
      </c>
      <c r="C14" s="32">
        <f t="shared" ref="C14:C28" si="2">C13+0.01</f>
        <v>2.5000000000000001E-2</v>
      </c>
      <c r="D14" s="168">
        <v>8600000000</v>
      </c>
      <c r="E14">
        <v>38</v>
      </c>
      <c r="F14" s="221">
        <f t="shared" si="0"/>
        <v>3268000000</v>
      </c>
      <c r="G14">
        <v>2</v>
      </c>
      <c r="H14" s="221">
        <f t="shared" si="1"/>
        <v>172000000</v>
      </c>
    </row>
    <row r="15" spans="1:8">
      <c r="B15" s="32" t="s">
        <v>643</v>
      </c>
      <c r="C15" s="32">
        <f t="shared" si="2"/>
        <v>3.5000000000000003E-2</v>
      </c>
      <c r="D15" s="168">
        <v>1000000000</v>
      </c>
      <c r="E15">
        <v>42</v>
      </c>
      <c r="F15" s="221">
        <f t="shared" si="0"/>
        <v>420000000</v>
      </c>
      <c r="G15">
        <v>4</v>
      </c>
      <c r="H15" s="221">
        <f t="shared" si="1"/>
        <v>40000000</v>
      </c>
    </row>
    <row r="16" spans="1:8">
      <c r="B16" s="32" t="s">
        <v>698</v>
      </c>
      <c r="C16" s="32">
        <f t="shared" si="2"/>
        <v>4.5000000000000005E-2</v>
      </c>
      <c r="D16" s="168">
        <v>700000000</v>
      </c>
      <c r="E16">
        <v>35</v>
      </c>
      <c r="F16" s="221">
        <f t="shared" si="0"/>
        <v>245000000</v>
      </c>
      <c r="G16">
        <v>4</v>
      </c>
      <c r="H16" s="221">
        <f t="shared" si="1"/>
        <v>28000000</v>
      </c>
    </row>
    <row r="17" spans="1:8">
      <c r="B17" s="32" t="s">
        <v>699</v>
      </c>
      <c r="C17" s="32">
        <f>C16+0.02</f>
        <v>6.5000000000000002E-2</v>
      </c>
      <c r="D17" s="168">
        <v>600000000</v>
      </c>
      <c r="E17">
        <v>32</v>
      </c>
      <c r="F17" s="221">
        <f t="shared" si="0"/>
        <v>192000000</v>
      </c>
      <c r="G17">
        <v>6</v>
      </c>
      <c r="H17" s="221">
        <f t="shared" si="1"/>
        <v>36000000</v>
      </c>
    </row>
    <row r="18" spans="1:8">
      <c r="B18" s="32" t="s">
        <v>569</v>
      </c>
      <c r="C18" s="32">
        <f t="shared" si="2"/>
        <v>7.4999999999999997E-2</v>
      </c>
      <c r="D18" s="168">
        <v>200000000</v>
      </c>
      <c r="E18">
        <v>33</v>
      </c>
      <c r="F18" s="221">
        <f t="shared" si="0"/>
        <v>66000000</v>
      </c>
      <c r="G18">
        <v>7</v>
      </c>
      <c r="H18" s="221">
        <f t="shared" si="1"/>
        <v>14000000</v>
      </c>
    </row>
    <row r="19" spans="1:8">
      <c r="B19" s="32" t="s">
        <v>556</v>
      </c>
      <c r="C19" s="32">
        <f t="shared" si="2"/>
        <v>8.4999999999999992E-2</v>
      </c>
      <c r="D19" s="168">
        <v>200000000</v>
      </c>
      <c r="E19">
        <v>30</v>
      </c>
      <c r="F19" s="221">
        <f t="shared" si="0"/>
        <v>60000000</v>
      </c>
      <c r="G19">
        <v>22</v>
      </c>
      <c r="H19" s="221">
        <f t="shared" si="1"/>
        <v>44000000</v>
      </c>
    </row>
    <row r="20" spans="1:8">
      <c r="B20" s="32" t="s">
        <v>557</v>
      </c>
      <c r="C20" s="32">
        <f t="shared" si="2"/>
        <v>9.4999999999999987E-2</v>
      </c>
      <c r="D20" s="168">
        <v>200000000</v>
      </c>
      <c r="E20">
        <v>27</v>
      </c>
      <c r="F20" s="221">
        <f t="shared" si="0"/>
        <v>54000000</v>
      </c>
      <c r="G20">
        <v>25</v>
      </c>
      <c r="H20" s="221">
        <f t="shared" si="1"/>
        <v>50000000</v>
      </c>
    </row>
    <row r="21" spans="1:8">
      <c r="A21" s="174" t="s">
        <v>686</v>
      </c>
      <c r="B21" s="32" t="s">
        <v>718</v>
      </c>
      <c r="C21" s="32">
        <v>5.0000000000000001E-3</v>
      </c>
      <c r="D21" s="168">
        <v>800000000</v>
      </c>
      <c r="E21">
        <v>27</v>
      </c>
      <c r="F21" s="221">
        <f t="shared" si="0"/>
        <v>216000000</v>
      </c>
      <c r="G21" s="174" t="s">
        <v>818</v>
      </c>
      <c r="H21" s="221"/>
    </row>
    <row r="22" spans="1:8">
      <c r="B22" s="32" t="s">
        <v>719</v>
      </c>
      <c r="C22" s="32">
        <f t="shared" si="2"/>
        <v>1.4999999999999999E-2</v>
      </c>
      <c r="D22" s="168">
        <v>900000000</v>
      </c>
      <c r="E22">
        <v>22</v>
      </c>
      <c r="F22" s="221">
        <f t="shared" si="0"/>
        <v>198000000</v>
      </c>
      <c r="G22">
        <v>2</v>
      </c>
      <c r="H22" s="221">
        <f t="shared" si="1"/>
        <v>18000000</v>
      </c>
    </row>
    <row r="23" spans="1:8">
      <c r="B23" s="32" t="s">
        <v>642</v>
      </c>
      <c r="C23" s="32">
        <f t="shared" si="2"/>
        <v>2.5000000000000001E-2</v>
      </c>
      <c r="D23" s="168">
        <v>1600000000</v>
      </c>
      <c r="E23">
        <v>28</v>
      </c>
      <c r="F23" s="221">
        <f t="shared" si="0"/>
        <v>448000000</v>
      </c>
      <c r="G23">
        <v>3</v>
      </c>
      <c r="H23" s="221">
        <f t="shared" si="1"/>
        <v>48000000</v>
      </c>
    </row>
    <row r="24" spans="1:8">
      <c r="B24" s="32" t="s">
        <v>643</v>
      </c>
      <c r="C24" s="32">
        <f t="shared" si="2"/>
        <v>3.5000000000000003E-2</v>
      </c>
      <c r="D24" s="168">
        <v>3300000000</v>
      </c>
      <c r="E24">
        <v>18</v>
      </c>
      <c r="F24" s="221">
        <f t="shared" si="0"/>
        <v>594000000</v>
      </c>
      <c r="G24" s="174" t="s">
        <v>819</v>
      </c>
      <c r="H24" s="221"/>
    </row>
    <row r="25" spans="1:8">
      <c r="B25" s="32" t="s">
        <v>949</v>
      </c>
      <c r="C25" s="32">
        <f>C24+0.03</f>
        <v>6.5000000000000002E-2</v>
      </c>
      <c r="D25" s="168">
        <v>2000000000</v>
      </c>
      <c r="E25">
        <v>12</v>
      </c>
      <c r="F25" s="221">
        <f t="shared" si="0"/>
        <v>240000000</v>
      </c>
      <c r="G25">
        <v>1</v>
      </c>
      <c r="H25" s="221">
        <f t="shared" si="1"/>
        <v>20000000</v>
      </c>
    </row>
    <row r="26" spans="1:8">
      <c r="B26" s="32" t="s">
        <v>569</v>
      </c>
      <c r="C26" s="32">
        <f t="shared" si="2"/>
        <v>7.4999999999999997E-2</v>
      </c>
      <c r="D26" s="168">
        <v>800000000</v>
      </c>
      <c r="E26">
        <v>16</v>
      </c>
      <c r="F26" s="221">
        <f t="shared" si="0"/>
        <v>128000000</v>
      </c>
      <c r="G26" s="174" t="s">
        <v>817</v>
      </c>
      <c r="H26" s="221"/>
    </row>
    <row r="27" spans="1:8">
      <c r="B27" s="32" t="s">
        <v>950</v>
      </c>
      <c r="C27" s="32">
        <f t="shared" si="2"/>
        <v>8.4999999999999992E-2</v>
      </c>
      <c r="D27" s="168">
        <v>800000000</v>
      </c>
      <c r="E27">
        <v>12</v>
      </c>
      <c r="F27" s="221">
        <f t="shared" si="0"/>
        <v>96000000</v>
      </c>
      <c r="G27" s="174" t="s">
        <v>820</v>
      </c>
      <c r="H27" s="221"/>
    </row>
    <row r="28" spans="1:8">
      <c r="B28" s="32" t="s">
        <v>570</v>
      </c>
      <c r="C28" s="32">
        <f t="shared" si="2"/>
        <v>9.4999999999999987E-2</v>
      </c>
      <c r="D28" s="168">
        <v>600000000</v>
      </c>
      <c r="E28">
        <v>22</v>
      </c>
      <c r="F28" s="221">
        <f t="shared" si="0"/>
        <v>132000000</v>
      </c>
      <c r="G28">
        <v>1</v>
      </c>
      <c r="H28" s="221">
        <f>(G28*D28)/100</f>
        <v>6000000</v>
      </c>
    </row>
    <row r="29" spans="1:8">
      <c r="B29" s="32" t="s">
        <v>571</v>
      </c>
      <c r="C29" s="32">
        <v>0.125</v>
      </c>
      <c r="D29" s="168">
        <v>800000000</v>
      </c>
      <c r="E29">
        <v>18</v>
      </c>
      <c r="F29" s="221">
        <f t="shared" si="0"/>
        <v>144000000</v>
      </c>
      <c r="G29">
        <v>1</v>
      </c>
      <c r="H29" s="221">
        <f>(G29*D29)/100</f>
        <v>8000000</v>
      </c>
    </row>
    <row r="30" spans="1:8">
      <c r="B30" s="32" t="s">
        <v>572</v>
      </c>
      <c r="C30" s="32">
        <v>0.13500000000000001</v>
      </c>
      <c r="D30" s="168">
        <v>900000000</v>
      </c>
      <c r="E30">
        <v>19</v>
      </c>
      <c r="F30" s="221">
        <f t="shared" si="0"/>
        <v>171000000</v>
      </c>
      <c r="G30" s="174" t="s">
        <v>820</v>
      </c>
      <c r="H30" s="221"/>
    </row>
    <row r="31" spans="1:8">
      <c r="F31" s="282"/>
      <c r="H31" s="282"/>
    </row>
    <row r="32" spans="1:8">
      <c r="F32" s="282"/>
      <c r="H32" s="282"/>
    </row>
    <row r="33" spans="6:8">
      <c r="F33" s="282"/>
      <c r="H33" s="282"/>
    </row>
    <row r="34" spans="6:8">
      <c r="F34" s="282"/>
      <c r="H34" s="282"/>
    </row>
    <row r="35" spans="6:8">
      <c r="F35" s="282"/>
    </row>
    <row r="36" spans="6:8">
      <c r="F36" s="282"/>
    </row>
    <row r="37" spans="6:8">
      <c r="F37" s="282"/>
    </row>
    <row r="38" spans="6:8">
      <c r="F38" s="282"/>
    </row>
    <row r="39" spans="6:8">
      <c r="F39" s="282"/>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4" sqref="C4"/>
    </sheetView>
  </sheetViews>
  <sheetFormatPr baseColWidth="10" defaultRowHeight="13" x14ac:dyDescent="0"/>
  <cols>
    <col min="2" max="2" width="16.42578125" customWidth="1"/>
    <col min="3" max="3" width="15.140625" style="226" customWidth="1"/>
    <col min="4" max="4" width="13.5703125" customWidth="1"/>
    <col min="5" max="5" width="13" style="226" customWidth="1"/>
    <col min="6" max="6" width="11.85546875" customWidth="1"/>
    <col min="7" max="7" width="13.140625" customWidth="1"/>
  </cols>
  <sheetData>
    <row r="1" spans="1:8" s="43" customFormat="1" ht="39">
      <c r="A1" s="43" t="s">
        <v>607</v>
      </c>
      <c r="B1" s="43" t="s">
        <v>608</v>
      </c>
      <c r="D1" s="43" t="s">
        <v>726</v>
      </c>
      <c r="F1" s="43" t="s">
        <v>727</v>
      </c>
      <c r="G1" s="43" t="s">
        <v>728</v>
      </c>
    </row>
    <row r="2" spans="1:8">
      <c r="A2" s="226" t="s">
        <v>729</v>
      </c>
      <c r="B2" s="223">
        <v>239175211.132296</v>
      </c>
      <c r="C2" s="223">
        <f>B2/2</f>
        <v>119587605.566148</v>
      </c>
      <c r="D2" s="223">
        <v>11250896.79331466</v>
      </c>
      <c r="E2" s="223">
        <f>D2/2</f>
        <v>5625448.39665733</v>
      </c>
      <c r="F2" s="223">
        <f>B2+D2</f>
        <v>250426107.92561066</v>
      </c>
      <c r="G2" s="223">
        <v>432370812.48354203</v>
      </c>
      <c r="H2" s="223">
        <f>G2/2</f>
        <v>216185406.24177101</v>
      </c>
    </row>
    <row r="3" spans="1:8">
      <c r="A3" s="226" t="s">
        <v>730</v>
      </c>
      <c r="B3" s="223">
        <v>22384527.083782401</v>
      </c>
      <c r="C3" s="223">
        <f t="shared" ref="C3:C13" si="0">B3/2</f>
        <v>11192263.5418912</v>
      </c>
      <c r="D3" s="223">
        <v>583476.45408826403</v>
      </c>
      <c r="E3" s="223">
        <f t="shared" ref="E3:E13" si="1">D3/2</f>
        <v>291738.22704413201</v>
      </c>
      <c r="F3" s="223">
        <f t="shared" ref="F3:F13" si="2">B3+D3</f>
        <v>22968003.537870664</v>
      </c>
      <c r="G3" s="223">
        <v>22973195.043882001</v>
      </c>
      <c r="H3" s="223">
        <f t="shared" ref="H3:H13" si="3">G3/2</f>
        <v>11486597.521941001</v>
      </c>
    </row>
    <row r="4" spans="1:8">
      <c r="A4" s="226" t="s">
        <v>731</v>
      </c>
      <c r="B4" s="223">
        <v>228958474.925612</v>
      </c>
      <c r="C4" s="223">
        <f t="shared" si="0"/>
        <v>114479237.462806</v>
      </c>
      <c r="D4" s="223">
        <v>12137215.98513524</v>
      </c>
      <c r="E4" s="223">
        <f t="shared" si="1"/>
        <v>6068607.9925676202</v>
      </c>
      <c r="F4" s="223">
        <f t="shared" si="2"/>
        <v>241095690.91074723</v>
      </c>
      <c r="G4" s="223">
        <v>309650268.99912602</v>
      </c>
      <c r="H4" s="223">
        <f t="shared" si="3"/>
        <v>154825134.49956301</v>
      </c>
    </row>
    <row r="5" spans="1:8">
      <c r="A5" s="226" t="s">
        <v>732</v>
      </c>
      <c r="B5" s="223">
        <v>287055506.86798799</v>
      </c>
      <c r="C5" s="223">
        <f t="shared" si="0"/>
        <v>143527753.433994</v>
      </c>
      <c r="D5" s="223">
        <v>7486539.8020327799</v>
      </c>
      <c r="E5" s="223">
        <f t="shared" si="1"/>
        <v>3743269.90101639</v>
      </c>
      <c r="F5" s="223">
        <f t="shared" si="2"/>
        <v>294542046.67002076</v>
      </c>
      <c r="G5" s="223">
        <v>629241921.38101602</v>
      </c>
      <c r="H5" s="223">
        <f t="shared" si="3"/>
        <v>314620960.69050801</v>
      </c>
    </row>
    <row r="6" spans="1:8">
      <c r="A6" s="226" t="s">
        <v>733</v>
      </c>
      <c r="B6" s="223">
        <v>362789239.16718602</v>
      </c>
      <c r="C6" s="223">
        <f t="shared" si="0"/>
        <v>181394619.58359301</v>
      </c>
      <c r="D6" s="223">
        <v>22534858.266358402</v>
      </c>
      <c r="E6" s="223">
        <f t="shared" si="1"/>
        <v>11267429.133179201</v>
      </c>
      <c r="F6" s="223">
        <f t="shared" si="2"/>
        <v>385324097.4335444</v>
      </c>
      <c r="G6" s="223">
        <v>640985063.80206597</v>
      </c>
      <c r="H6" s="223">
        <f t="shared" si="3"/>
        <v>320492531.90103298</v>
      </c>
    </row>
    <row r="7" spans="1:8">
      <c r="A7" s="226" t="s">
        <v>734</v>
      </c>
      <c r="B7" s="223">
        <v>341362022.43203998</v>
      </c>
      <c r="C7" s="223">
        <f t="shared" si="0"/>
        <v>170681011.21601999</v>
      </c>
      <c r="D7" s="223">
        <v>40369791.038645998</v>
      </c>
      <c r="E7" s="223">
        <f t="shared" si="1"/>
        <v>20184895.519322999</v>
      </c>
      <c r="F7" s="223">
        <f t="shared" si="2"/>
        <v>381731813.47068596</v>
      </c>
      <c r="G7" s="223">
        <v>540659925.55237401</v>
      </c>
      <c r="H7" s="223">
        <f t="shared" si="3"/>
        <v>270329962.776187</v>
      </c>
    </row>
    <row r="8" spans="1:8">
      <c r="A8" s="226" t="s">
        <v>735</v>
      </c>
      <c r="B8" s="223">
        <v>230032326.20254201</v>
      </c>
      <c r="C8" s="223">
        <f t="shared" si="0"/>
        <v>115016163.101271</v>
      </c>
      <c r="D8" s="223">
        <v>11111426.86276266</v>
      </c>
      <c r="E8" s="223">
        <f t="shared" si="1"/>
        <v>5555713.4313813299</v>
      </c>
      <c r="F8" s="223">
        <f t="shared" si="2"/>
        <v>241143753.06530467</v>
      </c>
      <c r="G8" s="223">
        <v>605229856.49259806</v>
      </c>
      <c r="H8" s="223">
        <f t="shared" si="3"/>
        <v>302614928.24629903</v>
      </c>
    </row>
    <row r="9" spans="1:8">
      <c r="A9" s="226" t="s">
        <v>736</v>
      </c>
      <c r="B9" s="223">
        <v>45737305.9343182</v>
      </c>
      <c r="C9" s="223">
        <f t="shared" si="0"/>
        <v>22868652.9671591</v>
      </c>
      <c r="D9" s="223">
        <v>2053669.6960408599</v>
      </c>
      <c r="E9" s="223">
        <f t="shared" si="1"/>
        <v>1026834.84802043</v>
      </c>
      <c r="F9" s="223">
        <f t="shared" si="2"/>
        <v>47790975.630359061</v>
      </c>
      <c r="G9" s="223">
        <v>55920577.928075999</v>
      </c>
      <c r="H9" s="223">
        <f t="shared" si="3"/>
        <v>27960288.964038</v>
      </c>
    </row>
    <row r="10" spans="1:8">
      <c r="A10" s="226" t="s">
        <v>737</v>
      </c>
      <c r="B10" s="223">
        <v>971945788.91142797</v>
      </c>
      <c r="C10" s="223">
        <f t="shared" si="0"/>
        <v>485972894.45571399</v>
      </c>
      <c r="D10" s="223">
        <v>29829276.2216454</v>
      </c>
      <c r="E10" s="223">
        <f t="shared" si="1"/>
        <v>14914638.1108227</v>
      </c>
      <c r="F10" s="223">
        <f t="shared" si="2"/>
        <v>1001775065.1330733</v>
      </c>
      <c r="G10" s="223">
        <v>538822232.79218197</v>
      </c>
      <c r="H10" s="223">
        <f t="shared" si="3"/>
        <v>269411116.39609098</v>
      </c>
    </row>
    <row r="11" spans="1:8">
      <c r="A11" s="226" t="s">
        <v>738</v>
      </c>
      <c r="B11" s="223">
        <v>360131789.19857597</v>
      </c>
      <c r="C11" s="223">
        <f t="shared" si="0"/>
        <v>180065894.59928799</v>
      </c>
      <c r="D11" s="223">
        <v>25954370.9345036</v>
      </c>
      <c r="E11" s="223">
        <f t="shared" si="1"/>
        <v>12977185.4672518</v>
      </c>
      <c r="F11" s="223">
        <f t="shared" si="2"/>
        <v>386086160.13307959</v>
      </c>
      <c r="G11" s="223">
        <v>546677824.603392</v>
      </c>
      <c r="H11" s="223">
        <f t="shared" si="3"/>
        <v>273338912.301696</v>
      </c>
    </row>
    <row r="12" spans="1:8">
      <c r="A12" s="226" t="s">
        <v>739</v>
      </c>
      <c r="B12" s="223">
        <v>900799006.10200596</v>
      </c>
      <c r="C12" s="223">
        <f t="shared" si="0"/>
        <v>450399503.05100298</v>
      </c>
      <c r="D12" s="223">
        <v>458556.96699291997</v>
      </c>
      <c r="E12" s="223">
        <f t="shared" si="1"/>
        <v>229278.48349645999</v>
      </c>
      <c r="F12" s="223">
        <f t="shared" si="2"/>
        <v>901257563.06899893</v>
      </c>
      <c r="G12" s="223">
        <v>1067546303.588654</v>
      </c>
      <c r="H12" s="223">
        <f t="shared" si="3"/>
        <v>533773151.79432702</v>
      </c>
    </row>
    <row r="13" spans="1:8">
      <c r="A13" s="226" t="s">
        <v>740</v>
      </c>
      <c r="B13" s="223">
        <v>569627254.11938798</v>
      </c>
      <c r="C13" s="223">
        <f t="shared" si="0"/>
        <v>284813627.05969399</v>
      </c>
      <c r="D13" s="223">
        <v>12943351.94093872</v>
      </c>
      <c r="E13" s="223">
        <f t="shared" si="1"/>
        <v>6471675.9704693602</v>
      </c>
      <c r="F13" s="223">
        <f t="shared" si="2"/>
        <v>582570606.0603267</v>
      </c>
      <c r="G13" s="223">
        <v>189949113.75951999</v>
      </c>
      <c r="H13" s="223">
        <f t="shared" si="3"/>
        <v>94974556.879759997</v>
      </c>
    </row>
    <row r="14" spans="1:8">
      <c r="A14" s="229" t="s">
        <v>591</v>
      </c>
      <c r="B14" s="226"/>
      <c r="D14" s="226"/>
      <c r="F14" s="226"/>
      <c r="G14" s="226"/>
    </row>
    <row r="17" spans="2:6">
      <c r="F17" s="226" t="s">
        <v>744</v>
      </c>
    </row>
    <row r="18" spans="2:6">
      <c r="B18" s="226" t="s">
        <v>743</v>
      </c>
      <c r="F18" s="226" t="s">
        <v>884</v>
      </c>
    </row>
    <row r="21" spans="2:6">
      <c r="B21" s="226" t="s">
        <v>741</v>
      </c>
    </row>
    <row r="22" spans="2:6">
      <c r="B22" s="226" t="s">
        <v>742</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xSplit="1" ySplit="6" topLeftCell="B7" activePane="bottomRight" state="frozenSplit"/>
      <selection pane="topRight" activeCell="B1" sqref="B1"/>
      <selection pane="bottomLeft" activeCell="A7" sqref="A7"/>
      <selection pane="bottomRight" activeCell="F11" sqref="F11"/>
    </sheetView>
  </sheetViews>
  <sheetFormatPr baseColWidth="10" defaultRowHeight="13" x14ac:dyDescent="0"/>
  <cols>
    <col min="1" max="2" width="10.7109375" style="207"/>
    <col min="3" max="3" width="20.140625" style="207" customWidth="1"/>
    <col min="4" max="4" width="20.140625" style="229" customWidth="1"/>
    <col min="5" max="7" width="10.7109375" style="207"/>
    <col min="8" max="8" width="11" style="207" bestFit="1" customWidth="1"/>
    <col min="9" max="16384" width="10.7109375" style="207"/>
  </cols>
  <sheetData>
    <row r="1" spans="1:15">
      <c r="A1" s="207" t="s">
        <v>1006</v>
      </c>
      <c r="B1" s="229"/>
    </row>
    <row r="2" spans="1:15">
      <c r="A2" s="207" t="s">
        <v>1182</v>
      </c>
    </row>
    <row r="3" spans="1:15">
      <c r="C3" s="229"/>
    </row>
    <row r="4" spans="1:15">
      <c r="A4" s="207" t="s">
        <v>1183</v>
      </c>
      <c r="G4" s="125" t="s">
        <v>1010</v>
      </c>
      <c r="K4" s="125" t="s">
        <v>1010</v>
      </c>
    </row>
    <row r="5" spans="1:15" s="43" customFormat="1" ht="78">
      <c r="B5" s="43" t="s">
        <v>1</v>
      </c>
      <c r="C5" s="43" t="s">
        <v>1</v>
      </c>
      <c r="D5" s="43" t="s">
        <v>357</v>
      </c>
      <c r="E5" s="43" t="s">
        <v>1314</v>
      </c>
      <c r="G5" s="308" t="s">
        <v>590</v>
      </c>
      <c r="K5" s="308" t="s">
        <v>1009</v>
      </c>
    </row>
    <row r="6" spans="1:15" s="43" customFormat="1" ht="52">
      <c r="A6" s="43" t="s">
        <v>1059</v>
      </c>
      <c r="B6" s="43" t="s">
        <v>1313</v>
      </c>
      <c r="C6" s="43" t="s">
        <v>637</v>
      </c>
      <c r="D6" s="43" t="s">
        <v>46</v>
      </c>
      <c r="E6" s="43" t="s">
        <v>648</v>
      </c>
      <c r="F6" s="43" t="s">
        <v>1318</v>
      </c>
      <c r="G6" s="308" t="s">
        <v>1319</v>
      </c>
      <c r="H6" s="43" t="s">
        <v>1316</v>
      </c>
      <c r="I6" s="43" t="s">
        <v>1317</v>
      </c>
      <c r="J6" s="43" t="s">
        <v>1191</v>
      </c>
      <c r="K6" s="308" t="s">
        <v>590</v>
      </c>
      <c r="L6" s="43" t="s">
        <v>418</v>
      </c>
      <c r="M6" s="43" t="s">
        <v>44</v>
      </c>
      <c r="N6" s="43" t="s">
        <v>2</v>
      </c>
      <c r="O6" s="43" t="s">
        <v>3</v>
      </c>
    </row>
    <row r="7" spans="1:15">
      <c r="A7" s="207">
        <v>1</v>
      </c>
      <c r="B7" s="207">
        <v>5.4</v>
      </c>
      <c r="C7" s="212">
        <f>(B7*1000000000)/5.8</f>
        <v>931034482.75862074</v>
      </c>
      <c r="D7" s="247">
        <f>((C7*(1-(N7/100))))/O7</f>
        <v>131121300.08953042</v>
      </c>
      <c r="E7" s="207">
        <v>0.6</v>
      </c>
      <c r="F7" s="207">
        <f>(100*E7)/7</f>
        <v>8.5714285714285712</v>
      </c>
      <c r="G7" s="213">
        <f>(F7*D7)/100</f>
        <v>11238968.579102607</v>
      </c>
      <c r="H7" s="207">
        <v>0.8</v>
      </c>
      <c r="I7" s="207">
        <f>H7-E7</f>
        <v>0.20000000000000007</v>
      </c>
      <c r="J7" s="207">
        <f>(100*I7)/7</f>
        <v>2.8571428571428581</v>
      </c>
      <c r="K7" s="213">
        <f t="shared" ref="K7:K15" si="0">(J7*D7)/100</f>
        <v>3746322.8597008707</v>
      </c>
      <c r="L7" s="4">
        <v>16.12</v>
      </c>
      <c r="M7" s="207">
        <v>0.43</v>
      </c>
      <c r="N7" s="207">
        <v>82.1</v>
      </c>
      <c r="O7" s="334">
        <v>1.2709999999999999</v>
      </c>
    </row>
    <row r="8" spans="1:15">
      <c r="A8" s="207">
        <v>3.5</v>
      </c>
      <c r="B8" s="207">
        <v>2.8</v>
      </c>
      <c r="C8" s="212">
        <f t="shared" ref="C8:C15" si="1">(B8*1000000000)/5.8</f>
        <v>482758620.68965518</v>
      </c>
      <c r="D8" s="301">
        <f>((C8*(1-(N8/100))))/O8</f>
        <v>58325123.152709365</v>
      </c>
      <c r="E8" s="207">
        <v>0.95</v>
      </c>
      <c r="F8" s="207">
        <f t="shared" ref="F8:F15" si="2">(100*E8)/7</f>
        <v>13.571428571428571</v>
      </c>
      <c r="G8" s="242">
        <f t="shared" ref="G8:G15" si="3">(F8*D8)/100</f>
        <v>7915552.4278676994</v>
      </c>
      <c r="H8" s="207">
        <v>1.4</v>
      </c>
      <c r="I8" s="207">
        <f t="shared" ref="I8:I15" si="4">H8-E8</f>
        <v>0.44999999999999996</v>
      </c>
      <c r="J8" s="207">
        <f t="shared" ref="J8:J15" si="5">(100*I8)/7</f>
        <v>6.4285714285714279</v>
      </c>
      <c r="K8" s="242">
        <f t="shared" si="0"/>
        <v>3749472.2026741733</v>
      </c>
      <c r="L8" s="4">
        <v>14.27</v>
      </c>
      <c r="M8" s="207">
        <v>0.35</v>
      </c>
      <c r="N8" s="207">
        <v>85.2</v>
      </c>
      <c r="O8" s="334">
        <v>1.2250000000000001</v>
      </c>
    </row>
    <row r="9" spans="1:15">
      <c r="A9" s="207">
        <v>27</v>
      </c>
      <c r="B9" s="207">
        <v>4.3</v>
      </c>
      <c r="C9" s="212">
        <f t="shared" si="1"/>
        <v>741379310.34482765</v>
      </c>
      <c r="D9" s="301">
        <f t="shared" ref="D9:D15" si="6">((C9*(1-(N9/100))))/O9</f>
        <v>90126044.388297051</v>
      </c>
      <c r="E9" s="207">
        <v>1.5</v>
      </c>
      <c r="F9" s="207">
        <f t="shared" si="2"/>
        <v>21.428571428571427</v>
      </c>
      <c r="G9" s="242">
        <f t="shared" si="3"/>
        <v>19312723.797492221</v>
      </c>
      <c r="H9" s="207">
        <v>2.5</v>
      </c>
      <c r="I9" s="207">
        <f t="shared" si="4"/>
        <v>1</v>
      </c>
      <c r="J9" s="207">
        <f t="shared" si="5"/>
        <v>14.285714285714286</v>
      </c>
      <c r="K9" s="242">
        <f t="shared" si="0"/>
        <v>12875149.198328152</v>
      </c>
      <c r="L9" s="4">
        <v>1.88</v>
      </c>
      <c r="M9" s="207">
        <v>0.33</v>
      </c>
      <c r="N9" s="207">
        <v>85.4</v>
      </c>
      <c r="O9" s="334">
        <v>1.2010000000000001</v>
      </c>
    </row>
    <row r="10" spans="1:15">
      <c r="A10" s="207">
        <v>37</v>
      </c>
      <c r="B10" s="207">
        <v>1</v>
      </c>
      <c r="C10" s="212">
        <f t="shared" si="1"/>
        <v>172413793.10344827</v>
      </c>
      <c r="D10" s="301">
        <f t="shared" si="6"/>
        <v>29635582.791270059</v>
      </c>
      <c r="E10" s="207">
        <v>1.1499999999999999</v>
      </c>
      <c r="F10" s="207">
        <f t="shared" si="2"/>
        <v>16.428571428571427</v>
      </c>
      <c r="G10" s="242">
        <f t="shared" si="3"/>
        <v>4868702.887137223</v>
      </c>
      <c r="H10" s="207">
        <v>1.7</v>
      </c>
      <c r="I10" s="207">
        <f t="shared" si="4"/>
        <v>0.55000000000000004</v>
      </c>
      <c r="J10" s="207">
        <f t="shared" si="5"/>
        <v>7.8571428571428585</v>
      </c>
      <c r="K10" s="242">
        <f t="shared" si="0"/>
        <v>2328510.0764569337</v>
      </c>
      <c r="L10" s="4">
        <v>0</v>
      </c>
      <c r="M10" s="18">
        <v>0.89</v>
      </c>
      <c r="N10" s="207">
        <v>76.400000000000006</v>
      </c>
      <c r="O10" s="334">
        <v>1.373</v>
      </c>
    </row>
    <row r="11" spans="1:15">
      <c r="A11" s="207">
        <v>39</v>
      </c>
      <c r="B11" s="207">
        <v>1.6</v>
      </c>
      <c r="C11" s="212">
        <f t="shared" si="1"/>
        <v>275862068.96551722</v>
      </c>
      <c r="D11" s="301">
        <f t="shared" si="6"/>
        <v>59011731.247778185</v>
      </c>
      <c r="E11" s="207">
        <v>1.2</v>
      </c>
      <c r="F11" s="207">
        <f t="shared" si="2"/>
        <v>17.142857142857142</v>
      </c>
      <c r="G11" s="242">
        <f t="shared" si="3"/>
        <v>10116296.785333402</v>
      </c>
      <c r="H11" s="207">
        <v>2.15</v>
      </c>
      <c r="I11" s="207">
        <f t="shared" si="4"/>
        <v>0.95</v>
      </c>
      <c r="J11" s="207">
        <f t="shared" si="5"/>
        <v>13.571428571428571</v>
      </c>
      <c r="K11" s="242">
        <f t="shared" si="0"/>
        <v>8008734.9550556112</v>
      </c>
      <c r="L11" s="4">
        <v>0</v>
      </c>
      <c r="M11" s="18">
        <v>0.86</v>
      </c>
      <c r="N11" s="207">
        <v>66.8</v>
      </c>
      <c r="O11" s="334">
        <v>1.552</v>
      </c>
    </row>
    <row r="12" spans="1:15">
      <c r="A12" s="207">
        <v>60</v>
      </c>
      <c r="B12" s="207">
        <v>1.45</v>
      </c>
      <c r="C12" s="212">
        <f t="shared" si="1"/>
        <v>250000000</v>
      </c>
      <c r="D12" s="301">
        <f t="shared" si="6"/>
        <v>47526501.766784452</v>
      </c>
      <c r="E12" s="207">
        <v>1.1000000000000001</v>
      </c>
      <c r="F12" s="207">
        <f t="shared" si="2"/>
        <v>15.714285714285717</v>
      </c>
      <c r="G12" s="242">
        <f t="shared" si="3"/>
        <v>7468450.2776375581</v>
      </c>
      <c r="H12" s="207">
        <v>1.7</v>
      </c>
      <c r="I12" s="207">
        <f t="shared" si="4"/>
        <v>0.59999999999999987</v>
      </c>
      <c r="J12" s="207">
        <f t="shared" si="5"/>
        <v>8.5714285714285694</v>
      </c>
      <c r="K12" s="242">
        <f t="shared" si="0"/>
        <v>4073700.1514386665</v>
      </c>
      <c r="L12" s="3">
        <v>0</v>
      </c>
      <c r="M12" s="18">
        <v>0.67</v>
      </c>
      <c r="N12" s="207">
        <v>73.099999999999994</v>
      </c>
      <c r="O12" s="334">
        <v>1.415</v>
      </c>
    </row>
    <row r="13" spans="1:15">
      <c r="A13" s="207">
        <v>75</v>
      </c>
      <c r="B13" s="207">
        <v>1.45</v>
      </c>
      <c r="C13" s="212">
        <f t="shared" si="1"/>
        <v>250000000</v>
      </c>
      <c r="D13" s="301">
        <f t="shared" si="6"/>
        <v>56061557.788944721</v>
      </c>
      <c r="E13" s="207">
        <v>0.8</v>
      </c>
      <c r="F13" s="207">
        <f t="shared" si="2"/>
        <v>11.428571428571429</v>
      </c>
      <c r="G13" s="242">
        <f t="shared" si="3"/>
        <v>6407035.1758793974</v>
      </c>
      <c r="H13" s="207">
        <v>1.95</v>
      </c>
      <c r="I13" s="207">
        <f t="shared" si="4"/>
        <v>1.1499999999999999</v>
      </c>
      <c r="J13" s="207">
        <f t="shared" si="5"/>
        <v>16.428571428571427</v>
      </c>
      <c r="K13" s="242">
        <f t="shared" si="0"/>
        <v>9210113.0653266329</v>
      </c>
      <c r="L13" s="3">
        <v>0</v>
      </c>
      <c r="M13" s="18">
        <v>0.93</v>
      </c>
      <c r="N13" s="207">
        <v>64.3</v>
      </c>
      <c r="O13" s="334">
        <v>1.5920000000000001</v>
      </c>
    </row>
    <row r="14" spans="1:15">
      <c r="A14" s="211">
        <v>103</v>
      </c>
      <c r="B14" s="207">
        <v>0.9</v>
      </c>
      <c r="C14" s="212">
        <f t="shared" si="1"/>
        <v>155172413.79310346</v>
      </c>
      <c r="D14" s="301">
        <f t="shared" si="6"/>
        <v>23257971.321794901</v>
      </c>
      <c r="E14" s="207">
        <v>2.1</v>
      </c>
      <c r="F14" s="207">
        <f t="shared" si="2"/>
        <v>30</v>
      </c>
      <c r="G14" s="242">
        <f t="shared" si="3"/>
        <v>6977391.3965384699</v>
      </c>
      <c r="H14" s="207">
        <v>3.9</v>
      </c>
      <c r="I14" s="207">
        <f t="shared" si="4"/>
        <v>1.7999999999999998</v>
      </c>
      <c r="J14" s="207">
        <f t="shared" si="5"/>
        <v>25.714285714285712</v>
      </c>
      <c r="K14" s="242">
        <f t="shared" si="0"/>
        <v>5980621.1970329741</v>
      </c>
      <c r="L14" s="4">
        <v>4.0599999999999996</v>
      </c>
      <c r="M14" s="18">
        <v>0.51</v>
      </c>
      <c r="N14" s="207">
        <v>80.5</v>
      </c>
      <c r="O14" s="334">
        <v>1.3009999999999999</v>
      </c>
    </row>
    <row r="15" spans="1:15">
      <c r="A15" s="207">
        <v>110</v>
      </c>
      <c r="B15" s="207">
        <v>1.2</v>
      </c>
      <c r="C15" s="212">
        <f t="shared" si="1"/>
        <v>206896551.72413793</v>
      </c>
      <c r="D15" s="301">
        <f t="shared" si="6"/>
        <v>35432767.607261151</v>
      </c>
      <c r="E15" s="207">
        <v>1.55</v>
      </c>
      <c r="F15" s="207">
        <f t="shared" si="2"/>
        <v>22.142857142857142</v>
      </c>
      <c r="G15" s="242">
        <f t="shared" si="3"/>
        <v>7845827.1130363978</v>
      </c>
      <c r="H15" s="207">
        <v>3.5</v>
      </c>
      <c r="I15" s="207">
        <f t="shared" si="4"/>
        <v>1.95</v>
      </c>
      <c r="J15" s="207">
        <f t="shared" si="5"/>
        <v>27.857142857142858</v>
      </c>
      <c r="K15" s="242">
        <f t="shared" si="0"/>
        <v>9870556.6905941777</v>
      </c>
      <c r="L15" s="4">
        <v>5.55</v>
      </c>
      <c r="M15" s="18">
        <v>0.56999999999999995</v>
      </c>
      <c r="N15" s="207">
        <v>77</v>
      </c>
      <c r="O15" s="334">
        <v>1.343</v>
      </c>
    </row>
    <row r="17" spans="1:1">
      <c r="A17" s="207" t="s">
        <v>45</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5" workbookViewId="0">
      <selection activeCell="J18" sqref="J18"/>
    </sheetView>
  </sheetViews>
  <sheetFormatPr baseColWidth="10" defaultRowHeight="13" x14ac:dyDescent="0"/>
  <cols>
    <col min="1" max="1" width="12.5703125" customWidth="1"/>
    <col min="2" max="2" width="12.5703125" style="272" customWidth="1"/>
    <col min="3" max="3" width="13.28515625" style="176" customWidth="1"/>
    <col min="4" max="4" width="0" hidden="1" customWidth="1"/>
    <col min="5" max="5" width="11" style="206" hidden="1" customWidth="1"/>
    <col min="6" max="6" width="11" hidden="1" customWidth="1"/>
    <col min="7" max="8" width="0" hidden="1" customWidth="1"/>
    <col min="11" max="11" width="12" bestFit="1" customWidth="1"/>
  </cols>
  <sheetData>
    <row r="1" spans="1:16">
      <c r="A1" s="176" t="s">
        <v>1194</v>
      </c>
    </row>
    <row r="2" spans="1:16">
      <c r="A2" s="176" t="s">
        <v>1195</v>
      </c>
    </row>
    <row r="4" spans="1:16">
      <c r="A4" s="176" t="s">
        <v>708</v>
      </c>
      <c r="I4" s="176" t="s">
        <v>1132</v>
      </c>
    </row>
    <row r="5" spans="1:16">
      <c r="A5" s="176"/>
      <c r="F5" s="204" t="s">
        <v>1272</v>
      </c>
      <c r="I5" s="176" t="s">
        <v>1199</v>
      </c>
    </row>
    <row r="6" spans="1:16">
      <c r="A6" s="25" t="s">
        <v>1270</v>
      </c>
      <c r="B6" s="25"/>
    </row>
    <row r="7" spans="1:16" s="262" customFormat="1" ht="39">
      <c r="A7" s="262" t="s">
        <v>1367</v>
      </c>
      <c r="B7" s="262" t="s">
        <v>498</v>
      </c>
      <c r="C7" s="233" t="s">
        <v>497</v>
      </c>
      <c r="D7" s="262" t="s">
        <v>1050</v>
      </c>
      <c r="F7" s="233" t="s">
        <v>1046</v>
      </c>
      <c r="I7" s="262" t="s">
        <v>1134</v>
      </c>
      <c r="J7" s="262" t="s">
        <v>1130</v>
      </c>
      <c r="K7" s="235" t="s">
        <v>1206</v>
      </c>
      <c r="L7" s="235" t="s">
        <v>1207</v>
      </c>
      <c r="M7" s="235" t="s">
        <v>1208</v>
      </c>
      <c r="N7" s="262" t="s">
        <v>499</v>
      </c>
      <c r="O7" s="262" t="s">
        <v>500</v>
      </c>
      <c r="P7" s="262" t="s">
        <v>501</v>
      </c>
    </row>
    <row r="8" spans="1:16">
      <c r="A8" s="176" t="s">
        <v>1103</v>
      </c>
      <c r="C8" s="221">
        <v>2680000000</v>
      </c>
      <c r="D8">
        <v>6</v>
      </c>
      <c r="E8" s="206">
        <f>(1200000000*D8)/6</f>
        <v>1200000000</v>
      </c>
      <c r="F8" s="196">
        <f>E8/0.8</f>
        <v>1500000000</v>
      </c>
      <c r="I8" s="176" t="s">
        <v>1254</v>
      </c>
      <c r="K8" s="30"/>
      <c r="L8" s="30"/>
      <c r="M8" s="30"/>
    </row>
    <row r="9" spans="1:16">
      <c r="A9" s="176">
        <v>10</v>
      </c>
      <c r="B9" s="272">
        <v>0.01</v>
      </c>
      <c r="C9" s="32">
        <v>0</v>
      </c>
      <c r="D9" s="176" t="s">
        <v>1254</v>
      </c>
      <c r="F9" s="203"/>
      <c r="I9" s="176" t="s">
        <v>1254</v>
      </c>
      <c r="K9" s="30"/>
      <c r="L9" s="30"/>
      <c r="M9" s="30"/>
    </row>
    <row r="10" spans="1:16">
      <c r="A10" s="176">
        <v>100</v>
      </c>
      <c r="B10" s="272">
        <v>0.01</v>
      </c>
      <c r="C10" s="32">
        <v>0</v>
      </c>
      <c r="D10" s="176" t="s">
        <v>1254</v>
      </c>
      <c r="F10" s="203"/>
      <c r="I10" s="176" t="s">
        <v>1254</v>
      </c>
      <c r="K10" s="30"/>
      <c r="L10" s="30"/>
      <c r="M10" s="30"/>
    </row>
    <row r="11" spans="1:16">
      <c r="A11">
        <v>200</v>
      </c>
      <c r="B11" s="272">
        <v>0.01</v>
      </c>
      <c r="C11" s="32">
        <v>0</v>
      </c>
      <c r="D11" s="176" t="s">
        <v>1254</v>
      </c>
      <c r="F11" s="203"/>
      <c r="I11" s="176" t="s">
        <v>1254</v>
      </c>
      <c r="K11" s="30"/>
      <c r="L11" s="30"/>
      <c r="M11" s="30"/>
    </row>
    <row r="12" spans="1:16">
      <c r="C12" s="32"/>
      <c r="F12" s="203"/>
      <c r="K12" s="30"/>
      <c r="L12" s="30"/>
      <c r="M12" s="30"/>
    </row>
    <row r="13" spans="1:16">
      <c r="C13" s="32"/>
      <c r="F13" s="203"/>
      <c r="K13" s="30"/>
      <c r="L13" s="30"/>
      <c r="M13" s="30"/>
    </row>
    <row r="14" spans="1:16">
      <c r="A14" s="25" t="s">
        <v>1245</v>
      </c>
      <c r="B14" s="25"/>
      <c r="C14" s="32"/>
      <c r="F14" s="203"/>
      <c r="K14" s="30"/>
      <c r="L14" s="30"/>
      <c r="M14" s="30"/>
    </row>
    <row r="15" spans="1:16">
      <c r="A15" s="176" t="s">
        <v>1104</v>
      </c>
      <c r="C15" s="32"/>
      <c r="F15" s="203"/>
      <c r="K15" s="30"/>
      <c r="L15" s="30"/>
      <c r="M15" s="30"/>
    </row>
    <row r="16" spans="1:16">
      <c r="A16" s="176" t="s">
        <v>1103</v>
      </c>
      <c r="C16" s="221">
        <v>1280000000</v>
      </c>
      <c r="D16">
        <v>6</v>
      </c>
      <c r="E16" s="206">
        <f t="shared" ref="E16:E36" si="0">(1200000000*D16)/6</f>
        <v>1200000000</v>
      </c>
      <c r="F16" s="203">
        <f t="shared" ref="F16:F36" si="1">E16/0.8</f>
        <v>1500000000</v>
      </c>
      <c r="I16" s="176" t="s">
        <v>1254</v>
      </c>
      <c r="K16" s="30"/>
      <c r="L16" s="30"/>
      <c r="M16" s="30"/>
    </row>
    <row r="17" spans="1:16">
      <c r="A17" s="176">
        <v>10</v>
      </c>
      <c r="B17" s="272">
        <v>0.01</v>
      </c>
      <c r="C17" s="221">
        <v>190000000</v>
      </c>
      <c r="D17">
        <v>0.9</v>
      </c>
      <c r="E17" s="206">
        <f t="shared" si="0"/>
        <v>180000000</v>
      </c>
      <c r="F17" s="203">
        <f t="shared" si="1"/>
        <v>225000000</v>
      </c>
      <c r="I17">
        <v>3</v>
      </c>
      <c r="J17">
        <f>(100*I17)/4.9</f>
        <v>61.224489795918366</v>
      </c>
      <c r="K17" s="197">
        <f>(C17*J17)/100</f>
        <v>116326530.61224489</v>
      </c>
      <c r="L17" s="30">
        <f>100-J17</f>
        <v>38.775510204081634</v>
      </c>
      <c r="M17" s="197">
        <f>(L17*F17)/100</f>
        <v>87244897.959183678</v>
      </c>
      <c r="N17" s="282">
        <f>C17*1.3</f>
        <v>247000000</v>
      </c>
      <c r="O17" s="282">
        <f>K17*1.3</f>
        <v>151224489.79591838</v>
      </c>
      <c r="P17" s="282">
        <f>M17*1.3</f>
        <v>113418367.34693879</v>
      </c>
    </row>
    <row r="18" spans="1:16">
      <c r="A18" s="176">
        <v>100</v>
      </c>
      <c r="B18" s="272">
        <v>0.01</v>
      </c>
      <c r="C18" s="221">
        <v>88000000</v>
      </c>
      <c r="D18">
        <v>0.45</v>
      </c>
      <c r="E18" s="206">
        <f t="shared" si="0"/>
        <v>90000000</v>
      </c>
      <c r="F18" s="203">
        <f t="shared" si="1"/>
        <v>112500000</v>
      </c>
      <c r="I18">
        <v>3.3</v>
      </c>
      <c r="J18" s="176">
        <f>(100*I18)/4.9</f>
        <v>67.346938775510196</v>
      </c>
      <c r="K18" s="244">
        <f>(C18*J18)/100</f>
        <v>59265306.122448966</v>
      </c>
      <c r="L18" s="30">
        <f>100-J18</f>
        <v>32.653061224489804</v>
      </c>
      <c r="M18" s="197">
        <f t="shared" ref="M18:M36" si="2">(L18*F18)/100</f>
        <v>36734693.877551034</v>
      </c>
      <c r="N18" s="282">
        <f>C18*1.3</f>
        <v>114400000</v>
      </c>
      <c r="O18" s="282">
        <f>K18*1.3</f>
        <v>77044897.959183663</v>
      </c>
      <c r="P18" s="282">
        <f>M18*1.3</f>
        <v>47755102.040816344</v>
      </c>
    </row>
    <row r="19" spans="1:16">
      <c r="A19" s="176">
        <v>200</v>
      </c>
      <c r="B19" s="272">
        <v>0.01</v>
      </c>
      <c r="C19" s="221">
        <v>100000000</v>
      </c>
      <c r="D19">
        <v>0.5</v>
      </c>
      <c r="E19" s="206">
        <f t="shared" si="0"/>
        <v>100000000</v>
      </c>
      <c r="F19" s="203">
        <f t="shared" si="1"/>
        <v>125000000</v>
      </c>
      <c r="I19">
        <v>2.85</v>
      </c>
      <c r="J19" s="176">
        <f>(100*I19)/4.9</f>
        <v>58.163265306122447</v>
      </c>
      <c r="K19" s="244">
        <f>(C19*J19)/100</f>
        <v>58163265.306122445</v>
      </c>
      <c r="L19" s="30">
        <f>100-J19</f>
        <v>41.836734693877553</v>
      </c>
      <c r="M19" s="197">
        <f t="shared" si="2"/>
        <v>52295918.367346942</v>
      </c>
      <c r="N19" s="282">
        <f>C19*1.3</f>
        <v>130000000</v>
      </c>
      <c r="O19" s="282">
        <f>K19*1.3</f>
        <v>75612244.897959188</v>
      </c>
      <c r="P19" s="282">
        <f>M19*1.3</f>
        <v>67984693.877551034</v>
      </c>
    </row>
    <row r="20" spans="1:16">
      <c r="C20" s="32"/>
      <c r="F20" s="203"/>
      <c r="K20" s="244"/>
      <c r="L20" s="30"/>
      <c r="M20" s="197"/>
    </row>
    <row r="21" spans="1:16">
      <c r="C21" s="32"/>
      <c r="F21" s="203"/>
      <c r="K21" s="197"/>
      <c r="L21" s="30"/>
      <c r="M21" s="197"/>
    </row>
    <row r="22" spans="1:16">
      <c r="C22" s="32"/>
      <c r="F22" s="203"/>
      <c r="K22" s="197"/>
      <c r="L22" s="30"/>
      <c r="M22" s="197"/>
    </row>
    <row r="23" spans="1:16">
      <c r="A23" s="25" t="s">
        <v>507</v>
      </c>
      <c r="B23" s="25"/>
      <c r="C23" s="32"/>
      <c r="F23" s="203"/>
      <c r="K23" s="197"/>
      <c r="L23" s="30"/>
      <c r="M23" s="197"/>
    </row>
    <row r="24" spans="1:16">
      <c r="A24" s="176" t="s">
        <v>1104</v>
      </c>
      <c r="C24" s="32"/>
      <c r="F24" s="203"/>
      <c r="K24" s="197"/>
      <c r="L24" s="30"/>
      <c r="M24" s="197"/>
    </row>
    <row r="25" spans="1:16">
      <c r="A25" s="176" t="s">
        <v>1103</v>
      </c>
      <c r="C25" s="32">
        <v>0</v>
      </c>
      <c r="D25" s="176" t="s">
        <v>1255</v>
      </c>
      <c r="F25" s="203"/>
      <c r="I25" s="176" t="s">
        <v>1133</v>
      </c>
      <c r="K25" s="197"/>
      <c r="L25" s="30"/>
      <c r="M25" s="197"/>
    </row>
    <row r="26" spans="1:16">
      <c r="A26" s="176">
        <v>10</v>
      </c>
      <c r="B26" s="272">
        <v>0.01</v>
      </c>
      <c r="C26" s="221">
        <v>140000000</v>
      </c>
      <c r="D26">
        <v>0.7</v>
      </c>
      <c r="E26" s="206">
        <f t="shared" si="0"/>
        <v>140000000</v>
      </c>
      <c r="F26" s="203">
        <f t="shared" si="1"/>
        <v>175000000</v>
      </c>
      <c r="I26">
        <v>3.2</v>
      </c>
      <c r="J26">
        <f>(100*I26)/4.9</f>
        <v>65.306122448979593</v>
      </c>
      <c r="K26" s="244">
        <f>(C26*J26)/100</f>
        <v>91428571.428571433</v>
      </c>
      <c r="L26" s="30">
        <f t="shared" ref="L26:L36" si="3">100-J26</f>
        <v>34.693877551020407</v>
      </c>
      <c r="M26" s="197">
        <f t="shared" si="2"/>
        <v>60714285.714285709</v>
      </c>
      <c r="N26" s="282">
        <f>C26*1.3</f>
        <v>182000000</v>
      </c>
      <c r="O26" s="282">
        <f>K26*1.3</f>
        <v>118857142.85714287</v>
      </c>
      <c r="P26" s="282">
        <f>M26*1.3</f>
        <v>78928571.428571418</v>
      </c>
    </row>
    <row r="27" spans="1:16">
      <c r="A27" s="176">
        <v>100</v>
      </c>
      <c r="B27" s="272">
        <v>0.01</v>
      </c>
      <c r="C27" s="221">
        <v>140000000</v>
      </c>
      <c r="D27">
        <v>0.7</v>
      </c>
      <c r="E27" s="206">
        <f t="shared" si="0"/>
        <v>140000000</v>
      </c>
      <c r="F27" s="203">
        <f t="shared" si="1"/>
        <v>175000000</v>
      </c>
      <c r="I27">
        <v>3.6</v>
      </c>
      <c r="J27" s="176">
        <f>(100*I27)/4.9</f>
        <v>73.469387755102034</v>
      </c>
      <c r="K27" s="244">
        <f>(C27*J27)/100</f>
        <v>102857142.85714285</v>
      </c>
      <c r="L27" s="30">
        <f t="shared" si="3"/>
        <v>26.530612244897966</v>
      </c>
      <c r="M27" s="197">
        <f t="shared" si="2"/>
        <v>46428571.42857144</v>
      </c>
      <c r="N27" s="282">
        <f>C27*1.3</f>
        <v>182000000</v>
      </c>
      <c r="O27" s="282">
        <f>K27*1.3</f>
        <v>133714285.71428572</v>
      </c>
      <c r="P27" s="282">
        <f>M27*1.3</f>
        <v>60357142.857142873</v>
      </c>
    </row>
    <row r="28" spans="1:16">
      <c r="A28" s="176">
        <v>200</v>
      </c>
      <c r="B28" s="272">
        <v>0.01</v>
      </c>
      <c r="C28" s="221">
        <v>77000000</v>
      </c>
      <c r="D28">
        <v>0.4</v>
      </c>
      <c r="E28" s="206">
        <f t="shared" si="0"/>
        <v>80000000</v>
      </c>
      <c r="F28" s="203">
        <f t="shared" si="1"/>
        <v>100000000</v>
      </c>
      <c r="I28">
        <v>3</v>
      </c>
      <c r="J28" s="176">
        <f>(100*I28)/4.9</f>
        <v>61.224489795918366</v>
      </c>
      <c r="K28" s="244">
        <f>(C28*J28)/100</f>
        <v>47142857.142857142</v>
      </c>
      <c r="L28" s="30">
        <f t="shared" si="3"/>
        <v>38.775510204081634</v>
      </c>
      <c r="M28" s="197">
        <f t="shared" si="2"/>
        <v>38775510.204081632</v>
      </c>
      <c r="N28" s="282">
        <f>C28*1.3</f>
        <v>100100000</v>
      </c>
      <c r="O28" s="282">
        <f>K28*1.3</f>
        <v>61285714.285714284</v>
      </c>
      <c r="P28" s="282">
        <f>M28*1.3</f>
        <v>50408163.265306123</v>
      </c>
    </row>
    <row r="29" spans="1:16">
      <c r="C29" s="32"/>
      <c r="F29" s="203"/>
      <c r="K29" s="197"/>
      <c r="L29" s="30"/>
      <c r="M29" s="197"/>
    </row>
    <row r="30" spans="1:16">
      <c r="C30" s="32"/>
      <c r="F30" s="203"/>
      <c r="K30" s="197"/>
      <c r="L30" s="30"/>
      <c r="M30" s="197"/>
    </row>
    <row r="31" spans="1:16">
      <c r="A31" s="25" t="s">
        <v>1271</v>
      </c>
      <c r="B31" s="25"/>
      <c r="C31" s="32"/>
      <c r="F31" s="203"/>
      <c r="K31" s="197"/>
      <c r="L31" s="30"/>
      <c r="M31" s="197"/>
    </row>
    <row r="32" spans="1:16">
      <c r="A32" s="176" t="s">
        <v>1104</v>
      </c>
      <c r="C32" s="32"/>
      <c r="F32" s="203"/>
      <c r="K32" s="197"/>
      <c r="L32" s="30"/>
      <c r="M32" s="197"/>
    </row>
    <row r="33" spans="1:16">
      <c r="A33" s="176" t="s">
        <v>1103</v>
      </c>
      <c r="C33" s="221">
        <v>1590000000</v>
      </c>
      <c r="D33">
        <v>6</v>
      </c>
      <c r="E33" s="206">
        <f>(1200000000*D33)/6</f>
        <v>1200000000</v>
      </c>
      <c r="F33" s="203">
        <f t="shared" si="1"/>
        <v>1500000000</v>
      </c>
      <c r="I33" s="176">
        <v>3.6</v>
      </c>
      <c r="J33">
        <f>(100*I33)/4.9</f>
        <v>73.469387755102034</v>
      </c>
      <c r="K33" s="244">
        <f>(C33*J33)/100</f>
        <v>1168163265.3061223</v>
      </c>
      <c r="L33" s="30">
        <f t="shared" si="3"/>
        <v>26.530612244897966</v>
      </c>
      <c r="M33" s="197">
        <f t="shared" si="2"/>
        <v>397959183.67346948</v>
      </c>
      <c r="N33" s="282"/>
      <c r="O33" s="282"/>
      <c r="P33" s="282"/>
    </row>
    <row r="34" spans="1:16">
      <c r="A34" s="176">
        <v>10</v>
      </c>
      <c r="B34" s="272">
        <v>0.01</v>
      </c>
      <c r="C34" s="221">
        <v>412000000</v>
      </c>
      <c r="D34">
        <v>2</v>
      </c>
      <c r="E34" s="206">
        <f t="shared" si="0"/>
        <v>400000000</v>
      </c>
      <c r="F34" s="203">
        <f t="shared" si="1"/>
        <v>500000000</v>
      </c>
      <c r="I34">
        <v>3.7</v>
      </c>
      <c r="J34" s="176">
        <f>(100*I34)/4.9</f>
        <v>75.510204081632651</v>
      </c>
      <c r="K34" s="244">
        <f>(C34*J34)/100</f>
        <v>311102040.8163265</v>
      </c>
      <c r="L34" s="30">
        <f t="shared" si="3"/>
        <v>24.489795918367349</v>
      </c>
      <c r="M34" s="197">
        <f t="shared" si="2"/>
        <v>122448979.59183674</v>
      </c>
      <c r="N34" s="282">
        <f>C34*1.3</f>
        <v>535600000</v>
      </c>
      <c r="O34" s="282">
        <f>K34*1.3</f>
        <v>404432653.06122446</v>
      </c>
      <c r="P34" s="282">
        <f>M34*1.3</f>
        <v>159183673.46938777</v>
      </c>
    </row>
    <row r="35" spans="1:16">
      <c r="A35" s="176">
        <v>100</v>
      </c>
      <c r="B35" s="272">
        <v>0.01</v>
      </c>
      <c r="C35" s="221">
        <v>417000000</v>
      </c>
      <c r="D35">
        <v>2</v>
      </c>
      <c r="E35" s="206">
        <f t="shared" si="0"/>
        <v>400000000</v>
      </c>
      <c r="F35" s="203">
        <f t="shared" si="1"/>
        <v>500000000</v>
      </c>
      <c r="I35">
        <v>3.55</v>
      </c>
      <c r="J35" s="176">
        <f>(100*I35)/4.9</f>
        <v>72.448979591836732</v>
      </c>
      <c r="K35" s="244">
        <f>(C35*J35)/100</f>
        <v>302112244.89795917</v>
      </c>
      <c r="L35" s="30">
        <f t="shared" si="3"/>
        <v>27.551020408163268</v>
      </c>
      <c r="M35" s="197">
        <f t="shared" si="2"/>
        <v>137755102.04081634</v>
      </c>
      <c r="N35" s="282">
        <f>C35*1.3</f>
        <v>542100000</v>
      </c>
      <c r="O35" s="282">
        <f>K35*1.3</f>
        <v>392745918.36734694</v>
      </c>
      <c r="P35" s="282">
        <f>M35*1.3</f>
        <v>179081632.65306124</v>
      </c>
    </row>
    <row r="36" spans="1:16">
      <c r="A36" s="176">
        <v>200</v>
      </c>
      <c r="B36" s="272">
        <v>0.01</v>
      </c>
      <c r="C36" s="221">
        <v>283000000</v>
      </c>
      <c r="D36">
        <v>1.35</v>
      </c>
      <c r="E36" s="206">
        <f t="shared" si="0"/>
        <v>270000000</v>
      </c>
      <c r="F36" s="203">
        <f t="shared" si="1"/>
        <v>337500000</v>
      </c>
      <c r="I36">
        <v>3.4</v>
      </c>
      <c r="J36" s="176">
        <f>(100*I36)/4.9</f>
        <v>69.387755102040813</v>
      </c>
      <c r="K36" s="244">
        <f>(C36*J36)/100</f>
        <v>196367346.93877551</v>
      </c>
      <c r="L36" s="30">
        <f t="shared" si="3"/>
        <v>30.612244897959187</v>
      </c>
      <c r="M36" s="197">
        <f t="shared" si="2"/>
        <v>103316326.53061226</v>
      </c>
      <c r="N36" s="282">
        <f>C36*1.3</f>
        <v>367900000</v>
      </c>
      <c r="O36" s="282">
        <f>K36*1.3</f>
        <v>255277551.02040818</v>
      </c>
      <c r="P36" s="282">
        <f>M36*1.3</f>
        <v>134311224.48979595</v>
      </c>
    </row>
    <row r="37" spans="1:16">
      <c r="K37" s="30"/>
      <c r="L37" s="30"/>
      <c r="M37" s="197"/>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D31" sqref="D31"/>
    </sheetView>
  </sheetViews>
  <sheetFormatPr baseColWidth="10" defaultRowHeight="13" x14ac:dyDescent="0"/>
  <cols>
    <col min="2" max="3" width="10.7109375" style="174"/>
    <col min="5" max="6" width="10.7109375" style="174"/>
  </cols>
  <sheetData>
    <row r="1" spans="1:9">
      <c r="A1" s="174" t="s">
        <v>580</v>
      </c>
    </row>
    <row r="2" spans="1:9">
      <c r="A2" s="174" t="s">
        <v>780</v>
      </c>
    </row>
    <row r="6" spans="1:9">
      <c r="A6" s="174" t="s">
        <v>542</v>
      </c>
      <c r="D6" s="174"/>
    </row>
    <row r="7" spans="1:9">
      <c r="A7" s="174"/>
      <c r="D7" s="174" t="s">
        <v>688</v>
      </c>
      <c r="G7" s="174" t="s">
        <v>593</v>
      </c>
    </row>
    <row r="8" spans="1:9" s="43" customFormat="1" ht="26">
      <c r="A8" s="43" t="s">
        <v>932</v>
      </c>
      <c r="B8" s="43" t="s">
        <v>538</v>
      </c>
      <c r="C8" s="51" t="s">
        <v>539</v>
      </c>
      <c r="D8" s="43" t="s">
        <v>632</v>
      </c>
      <c r="E8" s="43" t="s">
        <v>640</v>
      </c>
      <c r="F8" s="51" t="s">
        <v>641</v>
      </c>
      <c r="G8" s="43" t="s">
        <v>633</v>
      </c>
      <c r="H8" s="43" t="s">
        <v>640</v>
      </c>
      <c r="I8" s="51" t="s">
        <v>641</v>
      </c>
    </row>
    <row r="9" spans="1:9">
      <c r="A9">
        <v>0.3</v>
      </c>
      <c r="B9" s="174">
        <f>(6.7*A9)/30</f>
        <v>6.699999999999999E-2</v>
      </c>
      <c r="C9" s="32">
        <f>B9/100</f>
        <v>6.6999999999999991E-4</v>
      </c>
      <c r="D9">
        <v>1.1000000000000001</v>
      </c>
      <c r="E9" s="174">
        <f>(D9*10000)/2.7</f>
        <v>4074.0740740740739</v>
      </c>
      <c r="F9" s="32">
        <f>E9/2</f>
        <v>2037.037037037037</v>
      </c>
      <c r="G9">
        <v>1.1000000000000001</v>
      </c>
      <c r="H9">
        <f>(G9*10000)/2.7</f>
        <v>4074.0740740740739</v>
      </c>
      <c r="I9" s="32">
        <f>H9/2</f>
        <v>2037.037037037037</v>
      </c>
    </row>
    <row r="10" spans="1:9">
      <c r="A10">
        <v>1.4</v>
      </c>
      <c r="B10" s="174">
        <f t="shared" ref="B10:B42" si="0">(6.7*A10)/30</f>
        <v>0.31266666666666665</v>
      </c>
      <c r="C10" s="32">
        <f t="shared" ref="C10:C42" si="1">B10/100</f>
        <v>3.1266666666666665E-3</v>
      </c>
      <c r="D10">
        <v>0.4</v>
      </c>
      <c r="E10" s="174">
        <f t="shared" ref="E10:E42" si="2">(D10*10000)/2.7</f>
        <v>1481.4814814814813</v>
      </c>
      <c r="F10" s="32">
        <f t="shared" ref="F10:F42" si="3">E10/2</f>
        <v>740.74074074074065</v>
      </c>
      <c r="G10">
        <v>0.85</v>
      </c>
      <c r="H10" s="174">
        <f t="shared" ref="H10:H42" si="4">(G10*10000)/2.7</f>
        <v>3148.1481481481478</v>
      </c>
      <c r="I10" s="32">
        <f t="shared" ref="I10:I42" si="5">H10/2</f>
        <v>1574.0740740740739</v>
      </c>
    </row>
    <row r="11" spans="1:9">
      <c r="A11">
        <v>2.5</v>
      </c>
      <c r="B11" s="174">
        <f t="shared" si="0"/>
        <v>0.55833333333333335</v>
      </c>
      <c r="C11" s="32">
        <f t="shared" si="1"/>
        <v>5.5833333333333334E-3</v>
      </c>
      <c r="D11">
        <v>0.35</v>
      </c>
      <c r="E11" s="174">
        <f t="shared" si="2"/>
        <v>1296.2962962962963</v>
      </c>
      <c r="F11" s="32">
        <f t="shared" si="3"/>
        <v>648.14814814814815</v>
      </c>
      <c r="G11">
        <v>0.4</v>
      </c>
      <c r="H11" s="174">
        <f t="shared" si="4"/>
        <v>1481.4814814814813</v>
      </c>
      <c r="I11" s="32">
        <f t="shared" si="5"/>
        <v>740.74074074074065</v>
      </c>
    </row>
    <row r="12" spans="1:9">
      <c r="A12">
        <v>3.7</v>
      </c>
      <c r="B12" s="174">
        <f t="shared" si="0"/>
        <v>0.82633333333333348</v>
      </c>
      <c r="C12" s="32">
        <f t="shared" si="1"/>
        <v>8.2633333333333343E-3</v>
      </c>
      <c r="D12">
        <v>0.1</v>
      </c>
      <c r="E12" s="174">
        <f t="shared" si="2"/>
        <v>370.37037037037032</v>
      </c>
      <c r="F12" s="32">
        <f t="shared" si="3"/>
        <v>185.18518518518516</v>
      </c>
      <c r="G12">
        <v>0.1</v>
      </c>
      <c r="H12" s="174">
        <f t="shared" si="4"/>
        <v>370.37037037037032</v>
      </c>
      <c r="I12" s="32">
        <f t="shared" si="5"/>
        <v>185.18518518518516</v>
      </c>
    </row>
    <row r="13" spans="1:9">
      <c r="A13">
        <v>4.8</v>
      </c>
      <c r="B13" s="174">
        <f t="shared" si="0"/>
        <v>1.0719999999999998</v>
      </c>
      <c r="C13" s="32">
        <f t="shared" si="1"/>
        <v>1.0719999999999999E-2</v>
      </c>
      <c r="D13">
        <v>0.5</v>
      </c>
      <c r="E13" s="174">
        <f t="shared" si="2"/>
        <v>1851.8518518518517</v>
      </c>
      <c r="F13" s="32">
        <f t="shared" si="3"/>
        <v>925.92592592592587</v>
      </c>
      <c r="G13">
        <v>0.5</v>
      </c>
      <c r="H13" s="174">
        <f t="shared" si="4"/>
        <v>1851.8518518518517</v>
      </c>
      <c r="I13" s="32">
        <f t="shared" si="5"/>
        <v>925.92592592592587</v>
      </c>
    </row>
    <row r="14" spans="1:9">
      <c r="C14" s="32"/>
      <c r="F14" s="32"/>
      <c r="H14" s="174"/>
      <c r="I14" s="32"/>
    </row>
    <row r="15" spans="1:9">
      <c r="C15" s="32"/>
      <c r="F15" s="32"/>
      <c r="H15" s="174"/>
      <c r="I15" s="32"/>
    </row>
    <row r="16" spans="1:9">
      <c r="A16" s="174" t="s">
        <v>634</v>
      </c>
      <c r="C16" s="32"/>
      <c r="D16" s="174"/>
      <c r="F16" s="32"/>
      <c r="G16" s="174"/>
      <c r="H16" s="174"/>
      <c r="I16" s="32"/>
    </row>
    <row r="17" spans="1:9">
      <c r="A17" s="174"/>
      <c r="C17" s="32"/>
      <c r="D17" s="174" t="s">
        <v>688</v>
      </c>
      <c r="F17" s="32"/>
      <c r="G17" s="174" t="s">
        <v>593</v>
      </c>
      <c r="H17" s="174"/>
      <c r="I17" s="32"/>
    </row>
    <row r="18" spans="1:9">
      <c r="A18" s="174" t="s">
        <v>932</v>
      </c>
      <c r="C18" s="32"/>
      <c r="D18" s="174" t="s">
        <v>632</v>
      </c>
      <c r="F18" s="32"/>
      <c r="G18" s="174" t="s">
        <v>633</v>
      </c>
      <c r="H18" s="174"/>
      <c r="I18" s="32"/>
    </row>
    <row r="19" spans="1:9">
      <c r="A19">
        <v>0.3</v>
      </c>
      <c r="B19" s="174">
        <f t="shared" si="0"/>
        <v>6.699999999999999E-2</v>
      </c>
      <c r="C19" s="32">
        <f t="shared" si="1"/>
        <v>6.6999999999999991E-4</v>
      </c>
      <c r="D19">
        <v>4.0999999999999996</v>
      </c>
      <c r="E19" s="174">
        <f t="shared" si="2"/>
        <v>15185.185185185184</v>
      </c>
      <c r="F19" s="32">
        <f>E19/2</f>
        <v>7592.5925925925922</v>
      </c>
      <c r="G19">
        <v>6.5</v>
      </c>
      <c r="H19" s="174">
        <f t="shared" si="4"/>
        <v>24074.074074074073</v>
      </c>
      <c r="I19" s="32">
        <f t="shared" si="5"/>
        <v>12037.037037037036</v>
      </c>
    </row>
    <row r="20" spans="1:9">
      <c r="A20">
        <v>1</v>
      </c>
      <c r="B20" s="174">
        <f t="shared" si="0"/>
        <v>0.22333333333333333</v>
      </c>
      <c r="C20" s="32">
        <f t="shared" si="1"/>
        <v>2.2333333333333333E-3</v>
      </c>
      <c r="D20">
        <v>2.4500000000000002</v>
      </c>
      <c r="E20" s="174">
        <f t="shared" si="2"/>
        <v>9074.074074074073</v>
      </c>
      <c r="F20" s="32">
        <f t="shared" si="3"/>
        <v>4537.0370370370365</v>
      </c>
      <c r="G20">
        <v>3.3</v>
      </c>
      <c r="H20" s="174">
        <f t="shared" si="4"/>
        <v>12222.222222222221</v>
      </c>
      <c r="I20" s="32">
        <f t="shared" si="5"/>
        <v>6111.1111111111104</v>
      </c>
    </row>
    <row r="21" spans="1:9">
      <c r="A21">
        <v>2.1</v>
      </c>
      <c r="B21" s="174">
        <f t="shared" si="0"/>
        <v>0.46900000000000003</v>
      </c>
      <c r="C21" s="32">
        <f t="shared" si="1"/>
        <v>4.6900000000000006E-3</v>
      </c>
      <c r="D21">
        <v>1.2</v>
      </c>
      <c r="E21" s="174">
        <f t="shared" si="2"/>
        <v>4444.4444444444443</v>
      </c>
      <c r="F21" s="32">
        <f t="shared" si="3"/>
        <v>2222.2222222222222</v>
      </c>
      <c r="G21">
        <v>2.0499999999999998</v>
      </c>
      <c r="H21" s="174">
        <f t="shared" si="4"/>
        <v>7592.5925925925922</v>
      </c>
      <c r="I21" s="32">
        <f t="shared" si="5"/>
        <v>3796.2962962962961</v>
      </c>
    </row>
    <row r="22" spans="1:9">
      <c r="A22">
        <v>3.6</v>
      </c>
      <c r="B22" s="174">
        <f t="shared" si="0"/>
        <v>0.80400000000000005</v>
      </c>
      <c r="C22" s="32">
        <f t="shared" si="1"/>
        <v>8.0400000000000003E-3</v>
      </c>
      <c r="D22">
        <v>0.4</v>
      </c>
      <c r="E22" s="174">
        <f t="shared" si="2"/>
        <v>1481.4814814814813</v>
      </c>
      <c r="F22" s="32">
        <f t="shared" si="3"/>
        <v>740.74074074074065</v>
      </c>
      <c r="G22">
        <v>1.5</v>
      </c>
      <c r="H22" s="174">
        <f t="shared" si="4"/>
        <v>5555.5555555555547</v>
      </c>
      <c r="I22" s="32">
        <f t="shared" si="5"/>
        <v>2777.7777777777774</v>
      </c>
    </row>
    <row r="23" spans="1:9">
      <c r="A23">
        <v>5.9</v>
      </c>
      <c r="B23" s="174">
        <f t="shared" si="0"/>
        <v>1.3176666666666668</v>
      </c>
      <c r="C23" s="32">
        <f t="shared" si="1"/>
        <v>1.3176666666666668E-2</v>
      </c>
      <c r="D23">
        <v>0.15</v>
      </c>
      <c r="E23" s="174">
        <f t="shared" si="2"/>
        <v>555.55555555555554</v>
      </c>
      <c r="F23" s="32">
        <f t="shared" si="3"/>
        <v>277.77777777777777</v>
      </c>
      <c r="G23">
        <v>0.25</v>
      </c>
      <c r="H23" s="174">
        <f t="shared" si="4"/>
        <v>925.92592592592587</v>
      </c>
      <c r="I23" s="32">
        <f t="shared" si="5"/>
        <v>462.96296296296293</v>
      </c>
    </row>
    <row r="24" spans="1:9">
      <c r="C24" s="32"/>
      <c r="F24" s="32"/>
      <c r="H24" s="174"/>
      <c r="I24" s="32"/>
    </row>
    <row r="25" spans="1:9">
      <c r="C25" s="32"/>
      <c r="F25" s="32"/>
      <c r="H25" s="174"/>
      <c r="I25" s="32"/>
    </row>
    <row r="26" spans="1:9">
      <c r="A26" s="174" t="s">
        <v>635</v>
      </c>
      <c r="C26" s="32"/>
      <c r="D26" s="174"/>
      <c r="F26" s="32"/>
      <c r="G26" s="174"/>
      <c r="H26" s="174"/>
      <c r="I26" s="32"/>
    </row>
    <row r="27" spans="1:9">
      <c r="A27" s="174"/>
      <c r="C27" s="32"/>
      <c r="D27" s="174" t="s">
        <v>688</v>
      </c>
      <c r="F27" s="32"/>
      <c r="G27" s="174" t="s">
        <v>593</v>
      </c>
      <c r="H27" s="174"/>
      <c r="I27" s="32"/>
    </row>
    <row r="28" spans="1:9">
      <c r="A28" s="174" t="s">
        <v>932</v>
      </c>
      <c r="C28" s="32"/>
      <c r="D28" s="174" t="s">
        <v>632</v>
      </c>
      <c r="F28" s="32"/>
      <c r="G28" s="174" t="s">
        <v>633</v>
      </c>
      <c r="H28" s="174"/>
      <c r="I28" s="32"/>
    </row>
    <row r="29" spans="1:9">
      <c r="A29">
        <v>0.3</v>
      </c>
      <c r="B29" s="174">
        <f t="shared" si="0"/>
        <v>6.699999999999999E-2</v>
      </c>
      <c r="C29" s="32">
        <f t="shared" si="1"/>
        <v>6.6999999999999991E-4</v>
      </c>
      <c r="D29">
        <v>2.8</v>
      </c>
      <c r="E29" s="174">
        <f t="shared" si="2"/>
        <v>10370.37037037037</v>
      </c>
      <c r="F29" s="32">
        <f t="shared" si="3"/>
        <v>5185.1851851851852</v>
      </c>
      <c r="G29">
        <v>3</v>
      </c>
      <c r="H29" s="174">
        <f t="shared" si="4"/>
        <v>11111.111111111109</v>
      </c>
      <c r="I29" s="32">
        <f t="shared" si="5"/>
        <v>5555.5555555555547</v>
      </c>
    </row>
    <row r="30" spans="1:9">
      <c r="A30">
        <v>1</v>
      </c>
      <c r="B30" s="174">
        <f t="shared" si="0"/>
        <v>0.22333333333333333</v>
      </c>
      <c r="C30" s="32">
        <f t="shared" si="1"/>
        <v>2.2333333333333333E-3</v>
      </c>
      <c r="D30">
        <v>1</v>
      </c>
      <c r="E30" s="174">
        <f t="shared" si="2"/>
        <v>3703.7037037037035</v>
      </c>
      <c r="F30" s="32">
        <f t="shared" si="3"/>
        <v>1851.8518518518517</v>
      </c>
      <c r="G30">
        <v>0.85</v>
      </c>
      <c r="H30" s="174">
        <f t="shared" si="4"/>
        <v>3148.1481481481478</v>
      </c>
      <c r="I30" s="32">
        <f t="shared" si="5"/>
        <v>1574.0740740740739</v>
      </c>
    </row>
    <row r="31" spans="1:9">
      <c r="A31">
        <v>1.8</v>
      </c>
      <c r="B31" s="174">
        <f t="shared" si="0"/>
        <v>0.40200000000000002</v>
      </c>
      <c r="C31" s="32">
        <f t="shared" si="1"/>
        <v>4.0200000000000001E-3</v>
      </c>
      <c r="D31">
        <v>0.3</v>
      </c>
      <c r="E31" s="174">
        <f t="shared" si="2"/>
        <v>1111.1111111111111</v>
      </c>
      <c r="F31" s="32">
        <f t="shared" si="3"/>
        <v>555.55555555555554</v>
      </c>
      <c r="G31">
        <v>0.4</v>
      </c>
      <c r="H31" s="174">
        <f t="shared" si="4"/>
        <v>1481.4814814814813</v>
      </c>
      <c r="I31" s="32">
        <f t="shared" si="5"/>
        <v>740.74074074074065</v>
      </c>
    </row>
    <row r="32" spans="1:9">
      <c r="A32">
        <v>4.0999999999999996</v>
      </c>
      <c r="B32" s="174">
        <f t="shared" si="0"/>
        <v>0.91566666666666663</v>
      </c>
      <c r="C32" s="32">
        <f t="shared" si="1"/>
        <v>9.1566666666666671E-3</v>
      </c>
      <c r="D32">
        <v>0.1</v>
      </c>
      <c r="E32" s="174">
        <f t="shared" si="2"/>
        <v>370.37037037037032</v>
      </c>
      <c r="F32" s="32">
        <f t="shared" si="3"/>
        <v>185.18518518518516</v>
      </c>
      <c r="G32">
        <v>0.1</v>
      </c>
      <c r="H32" s="174">
        <f t="shared" si="4"/>
        <v>370.37037037037032</v>
      </c>
      <c r="I32" s="32">
        <f t="shared" si="5"/>
        <v>185.18518518518516</v>
      </c>
    </row>
    <row r="33" spans="1:9">
      <c r="A33">
        <v>6.3</v>
      </c>
      <c r="B33" s="174">
        <f t="shared" si="0"/>
        <v>1.407</v>
      </c>
      <c r="C33" s="32">
        <f t="shared" si="1"/>
        <v>1.4070000000000001E-2</v>
      </c>
      <c r="D33">
        <v>0</v>
      </c>
      <c r="E33" s="174">
        <f t="shared" si="2"/>
        <v>0</v>
      </c>
      <c r="F33" s="32">
        <f t="shared" si="3"/>
        <v>0</v>
      </c>
      <c r="G33">
        <v>0</v>
      </c>
      <c r="H33" s="174">
        <f t="shared" si="4"/>
        <v>0</v>
      </c>
      <c r="I33" s="32">
        <f t="shared" si="5"/>
        <v>0</v>
      </c>
    </row>
    <row r="34" spans="1:9">
      <c r="C34" s="32"/>
      <c r="F34" s="32"/>
      <c r="H34" s="174"/>
      <c r="I34" s="32"/>
    </row>
    <row r="35" spans="1:9">
      <c r="A35" s="174" t="s">
        <v>656</v>
      </c>
      <c r="C35" s="32"/>
      <c r="D35" s="174"/>
      <c r="F35" s="32"/>
      <c r="G35" s="174"/>
      <c r="H35" s="174"/>
      <c r="I35" s="32"/>
    </row>
    <row r="36" spans="1:9">
      <c r="A36" s="174"/>
      <c r="C36" s="32"/>
      <c r="D36" s="174" t="s">
        <v>688</v>
      </c>
      <c r="F36" s="32"/>
      <c r="G36" s="174" t="s">
        <v>593</v>
      </c>
      <c r="H36" s="174"/>
      <c r="I36" s="32"/>
    </row>
    <row r="37" spans="1:9">
      <c r="A37" s="174" t="s">
        <v>932</v>
      </c>
      <c r="C37" s="32"/>
      <c r="D37" s="174" t="s">
        <v>632</v>
      </c>
      <c r="F37" s="32"/>
      <c r="G37" s="174" t="s">
        <v>633</v>
      </c>
      <c r="H37" s="174"/>
      <c r="I37" s="32"/>
    </row>
    <row r="38" spans="1:9">
      <c r="A38">
        <v>0.3</v>
      </c>
      <c r="B38" s="174">
        <f t="shared" si="0"/>
        <v>6.699999999999999E-2</v>
      </c>
      <c r="C38" s="32">
        <f t="shared" si="1"/>
        <v>6.6999999999999991E-4</v>
      </c>
      <c r="D38">
        <v>2.5499999999999998</v>
      </c>
      <c r="E38" s="174">
        <f t="shared" si="2"/>
        <v>9444.4444444444434</v>
      </c>
      <c r="F38" s="32">
        <f t="shared" si="3"/>
        <v>4722.2222222222217</v>
      </c>
      <c r="G38">
        <v>1.9</v>
      </c>
      <c r="H38" s="174">
        <f t="shared" si="4"/>
        <v>7037.0370370370365</v>
      </c>
      <c r="I38" s="32">
        <f t="shared" si="5"/>
        <v>3518.5185185185182</v>
      </c>
    </row>
    <row r="39" spans="1:9">
      <c r="A39">
        <v>0.9</v>
      </c>
      <c r="B39" s="174">
        <f t="shared" si="0"/>
        <v>0.20100000000000001</v>
      </c>
      <c r="C39" s="32">
        <f t="shared" si="1"/>
        <v>2.0100000000000001E-3</v>
      </c>
      <c r="D39">
        <v>2.1</v>
      </c>
      <c r="E39" s="174">
        <f t="shared" si="2"/>
        <v>7777.7777777777774</v>
      </c>
      <c r="F39" s="32">
        <f t="shared" si="3"/>
        <v>3888.8888888888887</v>
      </c>
      <c r="G39">
        <v>0.65</v>
      </c>
      <c r="H39" s="174">
        <f t="shared" si="4"/>
        <v>2407.4074074074074</v>
      </c>
      <c r="I39" s="32">
        <f t="shared" si="5"/>
        <v>1203.7037037037037</v>
      </c>
    </row>
    <row r="40" spans="1:9">
      <c r="A40">
        <v>1.8</v>
      </c>
      <c r="B40" s="174">
        <f t="shared" si="0"/>
        <v>0.40200000000000002</v>
      </c>
      <c r="C40" s="32">
        <f t="shared" si="1"/>
        <v>4.0200000000000001E-3</v>
      </c>
      <c r="D40">
        <v>0.5</v>
      </c>
      <c r="E40" s="174">
        <f t="shared" si="2"/>
        <v>1851.8518518518517</v>
      </c>
      <c r="F40" s="32">
        <f t="shared" si="3"/>
        <v>925.92592592592587</v>
      </c>
      <c r="G40">
        <v>0.4</v>
      </c>
      <c r="H40" s="174">
        <f t="shared" si="4"/>
        <v>1481.4814814814813</v>
      </c>
      <c r="I40" s="32">
        <f t="shared" si="5"/>
        <v>740.74074074074065</v>
      </c>
    </row>
    <row r="41" spans="1:9">
      <c r="A41">
        <v>4</v>
      </c>
      <c r="B41" s="174">
        <f t="shared" si="0"/>
        <v>0.89333333333333331</v>
      </c>
      <c r="C41" s="32">
        <f t="shared" si="1"/>
        <v>8.9333333333333331E-3</v>
      </c>
      <c r="D41">
        <v>0.2</v>
      </c>
      <c r="E41" s="174">
        <f t="shared" si="2"/>
        <v>740.74074074074065</v>
      </c>
      <c r="F41" s="32">
        <f t="shared" si="3"/>
        <v>370.37037037037032</v>
      </c>
      <c r="G41">
        <v>0.2</v>
      </c>
      <c r="H41" s="174">
        <f t="shared" si="4"/>
        <v>740.74074074074065</v>
      </c>
      <c r="I41" s="32">
        <f t="shared" si="5"/>
        <v>370.37037037037032</v>
      </c>
    </row>
    <row r="42" spans="1:9">
      <c r="A42">
        <v>6.2</v>
      </c>
      <c r="B42" s="174">
        <f t="shared" si="0"/>
        <v>1.3846666666666667</v>
      </c>
      <c r="C42" s="32">
        <f t="shared" si="1"/>
        <v>1.3846666666666667E-2</v>
      </c>
      <c r="D42">
        <v>0.1</v>
      </c>
      <c r="E42" s="174">
        <f t="shared" si="2"/>
        <v>370.37037037037032</v>
      </c>
      <c r="F42" s="32">
        <f t="shared" si="3"/>
        <v>185.18518518518516</v>
      </c>
      <c r="G42">
        <v>0.1</v>
      </c>
      <c r="H42" s="174">
        <f t="shared" si="4"/>
        <v>370.37037037037032</v>
      </c>
      <c r="I42" s="32">
        <f t="shared" si="5"/>
        <v>185.18518518518516</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2" sqref="B2"/>
    </sheetView>
  </sheetViews>
  <sheetFormatPr baseColWidth="10" defaultRowHeight="13" x14ac:dyDescent="0"/>
  <sheetData>
    <row r="1" spans="1:7">
      <c r="A1" t="s">
        <v>287</v>
      </c>
      <c r="F1" t="s">
        <v>288</v>
      </c>
    </row>
    <row r="2" spans="1:7">
      <c r="A2" t="s">
        <v>943</v>
      </c>
      <c r="B2" t="s">
        <v>133</v>
      </c>
    </row>
    <row r="4" spans="1:7" s="43" customFormat="1" ht="39">
      <c r="A4" s="43" t="s">
        <v>965</v>
      </c>
      <c r="B4" s="43" t="s">
        <v>864</v>
      </c>
      <c r="C4" s="43" t="s">
        <v>289</v>
      </c>
      <c r="D4" s="43" t="s">
        <v>290</v>
      </c>
      <c r="E4" s="43" t="s">
        <v>291</v>
      </c>
      <c r="F4" s="43" t="s">
        <v>292</v>
      </c>
      <c r="G4" s="43" t="s">
        <v>293</v>
      </c>
    </row>
    <row r="5" spans="1:7">
      <c r="A5">
        <v>10</v>
      </c>
      <c r="B5">
        <f>A5*0.01</f>
        <v>0.1</v>
      </c>
      <c r="C5" s="301">
        <v>98000</v>
      </c>
      <c r="D5">
        <v>0.81</v>
      </c>
      <c r="E5">
        <v>0.19</v>
      </c>
      <c r="F5" s="301">
        <f>C5*D5</f>
        <v>79380</v>
      </c>
      <c r="G5" s="301">
        <f>C5*E5</f>
        <v>18620</v>
      </c>
    </row>
    <row r="6" spans="1:7">
      <c r="A6">
        <v>50</v>
      </c>
      <c r="B6" s="303">
        <f>A6*0.01</f>
        <v>0.5</v>
      </c>
      <c r="C6" s="301">
        <v>83000</v>
      </c>
      <c r="D6">
        <v>0.83499999999999996</v>
      </c>
      <c r="E6">
        <v>0.16</v>
      </c>
      <c r="F6" s="301">
        <f>C6*D6</f>
        <v>69305</v>
      </c>
      <c r="G6" s="301">
        <f>C6*E6</f>
        <v>13280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14" sqref="D14"/>
    </sheetView>
  </sheetViews>
  <sheetFormatPr baseColWidth="10" defaultRowHeight="13" x14ac:dyDescent="0"/>
  <cols>
    <col min="2" max="3" width="10.7109375" style="152"/>
    <col min="5" max="5" width="11" style="163" bestFit="1" customWidth="1"/>
    <col min="6" max="6" width="11" style="247" customWidth="1"/>
    <col min="8" max="8" width="10.7109375" style="163"/>
    <col min="9" max="9" width="10.7109375" style="247"/>
    <col min="11" max="11" width="10.7109375" style="163"/>
  </cols>
  <sheetData>
    <row r="1" spans="1:12">
      <c r="A1" s="155" t="s">
        <v>702</v>
      </c>
      <c r="B1" s="155" t="s">
        <v>1393</v>
      </c>
      <c r="C1" s="155"/>
    </row>
    <row r="2" spans="1:12">
      <c r="A2" s="155" t="s">
        <v>703</v>
      </c>
      <c r="B2" s="155"/>
      <c r="C2" s="155"/>
    </row>
    <row r="4" spans="1:12">
      <c r="A4" s="155"/>
      <c r="B4" s="155"/>
      <c r="C4" s="155"/>
      <c r="D4" s="155" t="s">
        <v>903</v>
      </c>
      <c r="E4" s="164"/>
      <c r="F4" s="169"/>
      <c r="G4" s="155" t="s">
        <v>799</v>
      </c>
      <c r="H4" s="164"/>
      <c r="I4" s="169"/>
      <c r="J4" s="155" t="s">
        <v>948</v>
      </c>
      <c r="K4" s="164"/>
    </row>
    <row r="5" spans="1:12" s="43" customFormat="1" ht="39">
      <c r="A5" s="283" t="s">
        <v>888</v>
      </c>
      <c r="B5" s="283" t="s">
        <v>704</v>
      </c>
      <c r="C5" s="284" t="s">
        <v>897</v>
      </c>
      <c r="D5" s="283" t="s">
        <v>789</v>
      </c>
      <c r="E5" s="285" t="s">
        <v>790</v>
      </c>
      <c r="F5" s="285" t="s">
        <v>1394</v>
      </c>
      <c r="G5" s="283" t="s">
        <v>621</v>
      </c>
      <c r="H5" s="285" t="s">
        <v>701</v>
      </c>
      <c r="I5" s="285" t="s">
        <v>1377</v>
      </c>
      <c r="J5" s="283" t="s">
        <v>692</v>
      </c>
      <c r="K5" s="285" t="s">
        <v>1379</v>
      </c>
      <c r="L5" s="285" t="s">
        <v>1378</v>
      </c>
    </row>
    <row r="6" spans="1:12">
      <c r="A6" s="155">
        <v>0</v>
      </c>
      <c r="B6" s="155">
        <f>(80*A6)/9.9</f>
        <v>0</v>
      </c>
      <c r="C6" s="158">
        <f>B6/100</f>
        <v>0</v>
      </c>
      <c r="D6">
        <v>5.65</v>
      </c>
      <c r="E6" s="165"/>
      <c r="F6" s="200"/>
      <c r="G6">
        <v>3.15</v>
      </c>
      <c r="H6" s="165">
        <f>(1200000000*G6)/7.3</f>
        <v>517808219.17808223</v>
      </c>
      <c r="I6" s="200">
        <f>1.3*H6</f>
        <v>673150684.93150687</v>
      </c>
      <c r="J6">
        <v>9.3000000000000007</v>
      </c>
      <c r="K6" s="165">
        <f>(1200000000*J6)/7.3</f>
        <v>1528767123.2876713</v>
      </c>
      <c r="L6" s="247">
        <f>K6*1.3</f>
        <v>1987397260.2739727</v>
      </c>
    </row>
    <row r="7" spans="1:12">
      <c r="A7" s="155">
        <v>0.2</v>
      </c>
      <c r="B7" s="155">
        <f t="shared" ref="B7:B24" si="0">(80*A7)/9.9</f>
        <v>1.6161616161616161</v>
      </c>
      <c r="C7" s="158">
        <f t="shared" ref="C7:C24" si="1">B7/100</f>
        <v>1.6161616161616162E-2</v>
      </c>
      <c r="D7">
        <v>4.3</v>
      </c>
      <c r="E7" s="165">
        <f t="shared" ref="E7:E24" si="2">(1200000000*D7)/7.3</f>
        <v>706849315.06849313</v>
      </c>
      <c r="F7" s="200">
        <f>E7*1.3</f>
        <v>918904109.58904111</v>
      </c>
      <c r="G7">
        <v>1.6</v>
      </c>
      <c r="H7" s="165">
        <f t="shared" ref="H7:H24" si="3">(1200000000*G7)/7.3</f>
        <v>263013698.630137</v>
      </c>
      <c r="I7" s="200">
        <f t="shared" ref="I7:I24" si="4">1.3*H7</f>
        <v>341917808.21917808</v>
      </c>
      <c r="J7">
        <v>9.5</v>
      </c>
      <c r="K7" s="165">
        <f t="shared" ref="K7:K24" si="5">(1200000000*J7)/7.3</f>
        <v>1561643835.6164384</v>
      </c>
      <c r="L7" s="247">
        <f t="shared" ref="L7:L24" si="6">K7*1.3</f>
        <v>2030136986.3013699</v>
      </c>
    </row>
    <row r="8" spans="1:12">
      <c r="A8" s="155">
        <v>0.3</v>
      </c>
      <c r="B8" s="155">
        <f t="shared" si="0"/>
        <v>2.4242424242424243</v>
      </c>
      <c r="C8" s="158">
        <f t="shared" si="1"/>
        <v>2.4242424242424242E-2</v>
      </c>
      <c r="D8">
        <v>3.6</v>
      </c>
      <c r="E8" s="165">
        <f t="shared" si="2"/>
        <v>591780821.91780818</v>
      </c>
      <c r="F8" s="200">
        <f t="shared" ref="F8:F24" si="7">E8*1.3</f>
        <v>769315068.49315071</v>
      </c>
      <c r="G8">
        <v>2.4500000000000002</v>
      </c>
      <c r="H8" s="165">
        <f t="shared" si="3"/>
        <v>402739726.02739727</v>
      </c>
      <c r="I8" s="200">
        <f t="shared" si="4"/>
        <v>523561643.83561647</v>
      </c>
      <c r="J8">
        <v>9</v>
      </c>
      <c r="K8" s="165">
        <f t="shared" si="5"/>
        <v>1479452054.7945206</v>
      </c>
      <c r="L8" s="247">
        <f t="shared" si="6"/>
        <v>1923287671.2328768</v>
      </c>
    </row>
    <row r="9" spans="1:12">
      <c r="A9" s="155">
        <v>0.5</v>
      </c>
      <c r="B9" s="155">
        <f t="shared" si="0"/>
        <v>4.0404040404040407</v>
      </c>
      <c r="C9" s="158">
        <f t="shared" si="1"/>
        <v>4.0404040404040407E-2</v>
      </c>
      <c r="D9">
        <v>5.2</v>
      </c>
      <c r="E9" s="165">
        <f t="shared" si="2"/>
        <v>854794520.54794526</v>
      </c>
      <c r="F9" s="200">
        <f t="shared" si="7"/>
        <v>1111232876.7123289</v>
      </c>
      <c r="G9">
        <v>1.6</v>
      </c>
      <c r="H9" s="165">
        <f t="shared" si="3"/>
        <v>263013698.630137</v>
      </c>
      <c r="I9" s="200">
        <f t="shared" si="4"/>
        <v>341917808.21917808</v>
      </c>
      <c r="J9">
        <v>9.3000000000000007</v>
      </c>
      <c r="K9" s="165">
        <f t="shared" si="5"/>
        <v>1528767123.2876713</v>
      </c>
      <c r="L9" s="247">
        <f t="shared" si="6"/>
        <v>1987397260.2739727</v>
      </c>
    </row>
    <row r="10" spans="1:12">
      <c r="A10" s="155">
        <v>0.7</v>
      </c>
      <c r="B10" s="155">
        <f t="shared" si="0"/>
        <v>5.6565656565656566</v>
      </c>
      <c r="C10" s="158">
        <f t="shared" si="1"/>
        <v>5.6565656565656569E-2</v>
      </c>
      <c r="D10">
        <v>5.0999999999999996</v>
      </c>
      <c r="E10" s="165">
        <f t="shared" si="2"/>
        <v>838356164.38356161</v>
      </c>
      <c r="F10" s="200">
        <f t="shared" si="7"/>
        <v>1089863013.6986301</v>
      </c>
      <c r="G10">
        <v>2.4</v>
      </c>
      <c r="H10" s="165">
        <f t="shared" si="3"/>
        <v>394520547.94520551</v>
      </c>
      <c r="I10" s="200">
        <f t="shared" si="4"/>
        <v>512876712.32876718</v>
      </c>
      <c r="J10">
        <v>7.2</v>
      </c>
      <c r="K10" s="165">
        <f t="shared" si="5"/>
        <v>1183561643.8356164</v>
      </c>
      <c r="L10" s="247">
        <f t="shared" si="6"/>
        <v>1538630136.9863014</v>
      </c>
    </row>
    <row r="11" spans="1:12">
      <c r="A11" s="155">
        <v>0.8</v>
      </c>
      <c r="B11" s="155">
        <f t="shared" si="0"/>
        <v>6.4646464646464645</v>
      </c>
      <c r="C11" s="158">
        <f t="shared" si="1"/>
        <v>6.4646464646464646E-2</v>
      </c>
      <c r="D11">
        <v>3.4</v>
      </c>
      <c r="E11" s="165">
        <f t="shared" si="2"/>
        <v>558904109.58904111</v>
      </c>
      <c r="F11" s="200">
        <f t="shared" si="7"/>
        <v>726575342.46575344</v>
      </c>
      <c r="G11">
        <v>2.7</v>
      </c>
      <c r="H11" s="165">
        <f t="shared" si="3"/>
        <v>443835616.43835616</v>
      </c>
      <c r="I11" s="200">
        <f t="shared" si="4"/>
        <v>576986301.36986303</v>
      </c>
      <c r="J11">
        <v>5</v>
      </c>
      <c r="K11" s="165">
        <f t="shared" si="5"/>
        <v>821917808.21917808</v>
      </c>
      <c r="L11" s="247">
        <f t="shared" si="6"/>
        <v>1068493150.6849315</v>
      </c>
    </row>
    <row r="12" spans="1:12">
      <c r="A12" s="155">
        <v>1.1000000000000001</v>
      </c>
      <c r="B12" s="155">
        <f t="shared" si="0"/>
        <v>8.8888888888888893</v>
      </c>
      <c r="C12" s="158">
        <f t="shared" si="1"/>
        <v>8.8888888888888892E-2</v>
      </c>
      <c r="D12">
        <v>2.6</v>
      </c>
      <c r="E12" s="165">
        <f t="shared" si="2"/>
        <v>427397260.27397263</v>
      </c>
      <c r="F12" s="200">
        <f t="shared" si="7"/>
        <v>555616438.35616446</v>
      </c>
      <c r="G12">
        <v>2.1</v>
      </c>
      <c r="H12" s="165">
        <f t="shared" si="3"/>
        <v>345205479.4520548</v>
      </c>
      <c r="I12" s="200">
        <f t="shared" si="4"/>
        <v>448767123.28767127</v>
      </c>
      <c r="J12">
        <v>5.3</v>
      </c>
      <c r="K12" s="165">
        <f t="shared" si="5"/>
        <v>871232876.71232879</v>
      </c>
      <c r="L12" s="247">
        <f t="shared" si="6"/>
        <v>1132602739.7260275</v>
      </c>
    </row>
    <row r="13" spans="1:12">
      <c r="A13" s="155">
        <v>1.4</v>
      </c>
      <c r="B13" s="155">
        <f t="shared" si="0"/>
        <v>11.313131313131313</v>
      </c>
      <c r="C13" s="158">
        <f t="shared" si="1"/>
        <v>0.11313131313131314</v>
      </c>
      <c r="D13">
        <v>1.1499999999999999</v>
      </c>
      <c r="E13" s="165">
        <f t="shared" si="2"/>
        <v>189041095.89041096</v>
      </c>
      <c r="F13" s="200">
        <f t="shared" si="7"/>
        <v>245753424.65753424</v>
      </c>
      <c r="G13">
        <v>1.5</v>
      </c>
      <c r="H13" s="165">
        <f t="shared" si="3"/>
        <v>246575342.46575344</v>
      </c>
      <c r="I13" s="200">
        <f t="shared" si="4"/>
        <v>320547945.2054795</v>
      </c>
      <c r="J13">
        <v>2.95</v>
      </c>
      <c r="K13" s="165">
        <f t="shared" si="5"/>
        <v>484931506.84931511</v>
      </c>
      <c r="L13" s="247">
        <f t="shared" si="6"/>
        <v>630410958.90410972</v>
      </c>
    </row>
    <row r="14" spans="1:12">
      <c r="A14" s="155">
        <v>1.8</v>
      </c>
      <c r="B14" s="155">
        <f t="shared" si="0"/>
        <v>14.545454545454545</v>
      </c>
      <c r="C14" s="158">
        <f t="shared" si="1"/>
        <v>0.14545454545454545</v>
      </c>
      <c r="D14">
        <v>0.35</v>
      </c>
      <c r="E14" s="165">
        <f t="shared" si="2"/>
        <v>57534246.575342469</v>
      </c>
      <c r="F14" s="200">
        <f t="shared" si="7"/>
        <v>74794520.547945216</v>
      </c>
      <c r="G14">
        <v>0.35</v>
      </c>
      <c r="H14" s="165">
        <f t="shared" si="3"/>
        <v>57534246.575342469</v>
      </c>
      <c r="I14" s="200">
        <f t="shared" si="4"/>
        <v>74794520.547945216</v>
      </c>
      <c r="J14">
        <v>0.75</v>
      </c>
      <c r="K14" s="165">
        <f t="shared" si="5"/>
        <v>123287671.23287672</v>
      </c>
      <c r="L14" s="247">
        <f t="shared" si="6"/>
        <v>160273972.60273975</v>
      </c>
    </row>
    <row r="15" spans="1:12">
      <c r="A15" s="155">
        <v>2.4</v>
      </c>
      <c r="B15" s="155">
        <f t="shared" si="0"/>
        <v>19.393939393939394</v>
      </c>
      <c r="C15" s="158">
        <f t="shared" si="1"/>
        <v>0.19393939393939394</v>
      </c>
      <c r="D15">
        <v>0.3</v>
      </c>
      <c r="E15" s="165">
        <f t="shared" si="2"/>
        <v>49315068.493150689</v>
      </c>
      <c r="F15" s="200">
        <f t="shared" si="7"/>
        <v>64109589.041095898</v>
      </c>
      <c r="G15">
        <v>0.45</v>
      </c>
      <c r="H15" s="165">
        <f t="shared" si="3"/>
        <v>73972602.739726022</v>
      </c>
      <c r="I15" s="200">
        <f t="shared" si="4"/>
        <v>96164383.561643839</v>
      </c>
      <c r="J15">
        <v>0.85</v>
      </c>
      <c r="K15" s="165">
        <f t="shared" si="5"/>
        <v>139726027.39726028</v>
      </c>
      <c r="L15" s="247">
        <f t="shared" si="6"/>
        <v>181643835.61643836</v>
      </c>
    </row>
    <row r="16" spans="1:12">
      <c r="A16" s="155">
        <v>3</v>
      </c>
      <c r="B16" s="155">
        <f t="shared" si="0"/>
        <v>24.242424242424242</v>
      </c>
      <c r="C16" s="158">
        <f t="shared" si="1"/>
        <v>0.24242424242424243</v>
      </c>
      <c r="D16">
        <v>0.4</v>
      </c>
      <c r="E16" s="165">
        <f t="shared" si="2"/>
        <v>65753424.657534249</v>
      </c>
      <c r="F16" s="200">
        <f t="shared" si="7"/>
        <v>85479452.05479452</v>
      </c>
      <c r="G16">
        <v>0.45</v>
      </c>
      <c r="H16" s="165">
        <f t="shared" si="3"/>
        <v>73972602.739726022</v>
      </c>
      <c r="I16" s="200">
        <f t="shared" si="4"/>
        <v>96164383.561643839</v>
      </c>
      <c r="J16">
        <v>1</v>
      </c>
      <c r="K16" s="165">
        <f t="shared" si="5"/>
        <v>164383561.64383563</v>
      </c>
      <c r="L16" s="247">
        <f t="shared" si="6"/>
        <v>213698630.13698635</v>
      </c>
    </row>
    <row r="17" spans="1:12">
      <c r="A17" s="155">
        <v>3.6</v>
      </c>
      <c r="B17" s="155">
        <f t="shared" si="0"/>
        <v>29.09090909090909</v>
      </c>
      <c r="C17" s="158">
        <f t="shared" si="1"/>
        <v>0.29090909090909089</v>
      </c>
      <c r="D17">
        <v>0.35</v>
      </c>
      <c r="E17" s="165">
        <f t="shared" si="2"/>
        <v>57534246.575342469</v>
      </c>
      <c r="F17" s="200">
        <f t="shared" si="7"/>
        <v>74794520.547945216</v>
      </c>
      <c r="G17">
        <v>0.55000000000000004</v>
      </c>
      <c r="H17" s="165">
        <f t="shared" si="3"/>
        <v>90410958.904109597</v>
      </c>
      <c r="I17" s="200">
        <f t="shared" si="4"/>
        <v>117534246.57534248</v>
      </c>
      <c r="J17">
        <v>1.1499999999999999</v>
      </c>
      <c r="K17" s="165">
        <f t="shared" si="5"/>
        <v>189041095.89041096</v>
      </c>
      <c r="L17" s="247">
        <f t="shared" si="6"/>
        <v>245753424.65753424</v>
      </c>
    </row>
    <row r="18" spans="1:12">
      <c r="A18" s="155">
        <v>4.2</v>
      </c>
      <c r="B18" s="155">
        <f t="shared" si="0"/>
        <v>33.939393939393938</v>
      </c>
      <c r="C18" s="158">
        <f t="shared" si="1"/>
        <v>0.33939393939393936</v>
      </c>
      <c r="D18">
        <v>0.4</v>
      </c>
      <c r="E18" s="165">
        <f t="shared" si="2"/>
        <v>65753424.657534249</v>
      </c>
      <c r="F18" s="200">
        <f t="shared" si="7"/>
        <v>85479452.05479452</v>
      </c>
      <c r="G18">
        <v>0.5</v>
      </c>
      <c r="H18" s="165">
        <f t="shared" si="3"/>
        <v>82191780.821917817</v>
      </c>
      <c r="I18" s="200">
        <f t="shared" si="4"/>
        <v>106849315.06849317</v>
      </c>
      <c r="J18">
        <v>1.1499999999999999</v>
      </c>
      <c r="K18" s="165">
        <f t="shared" si="5"/>
        <v>189041095.89041096</v>
      </c>
      <c r="L18" s="247">
        <f t="shared" si="6"/>
        <v>245753424.65753424</v>
      </c>
    </row>
    <row r="19" spans="1:12">
      <c r="A19" s="155">
        <v>4.9000000000000004</v>
      </c>
      <c r="B19" s="155">
        <f t="shared" si="0"/>
        <v>39.595959595959592</v>
      </c>
      <c r="C19" s="158">
        <f t="shared" si="1"/>
        <v>0.3959595959595959</v>
      </c>
      <c r="D19">
        <v>0.4</v>
      </c>
      <c r="E19" s="165">
        <f t="shared" si="2"/>
        <v>65753424.657534249</v>
      </c>
      <c r="F19" s="200">
        <f t="shared" si="7"/>
        <v>85479452.05479452</v>
      </c>
      <c r="G19">
        <v>0.3</v>
      </c>
      <c r="H19" s="165">
        <f t="shared" si="3"/>
        <v>49315068.493150689</v>
      </c>
      <c r="I19" s="200">
        <f t="shared" si="4"/>
        <v>64109589.041095898</v>
      </c>
      <c r="J19">
        <v>0.9</v>
      </c>
      <c r="K19" s="165">
        <f t="shared" si="5"/>
        <v>147945205.47945204</v>
      </c>
      <c r="L19" s="247">
        <f t="shared" si="6"/>
        <v>192328767.12328768</v>
      </c>
    </row>
    <row r="20" spans="1:12">
      <c r="A20" s="155">
        <v>5.5</v>
      </c>
      <c r="B20" s="155">
        <f t="shared" si="0"/>
        <v>44.444444444444443</v>
      </c>
      <c r="C20" s="158">
        <f t="shared" si="1"/>
        <v>0.44444444444444442</v>
      </c>
      <c r="D20">
        <v>0.35</v>
      </c>
      <c r="E20" s="165">
        <f t="shared" si="2"/>
        <v>57534246.575342469</v>
      </c>
      <c r="F20" s="200">
        <f t="shared" si="7"/>
        <v>74794520.547945216</v>
      </c>
      <c r="G20">
        <v>0.35</v>
      </c>
      <c r="H20" s="165">
        <f t="shared" si="3"/>
        <v>57534246.575342469</v>
      </c>
      <c r="I20" s="200">
        <f t="shared" si="4"/>
        <v>74794520.547945216</v>
      </c>
      <c r="J20">
        <v>0.85</v>
      </c>
      <c r="K20" s="165">
        <f t="shared" si="5"/>
        <v>139726027.39726028</v>
      </c>
      <c r="L20" s="247">
        <f t="shared" si="6"/>
        <v>181643835.61643836</v>
      </c>
    </row>
    <row r="21" spans="1:12">
      <c r="A21" s="155">
        <v>6</v>
      </c>
      <c r="B21" s="155">
        <f t="shared" si="0"/>
        <v>48.484848484848484</v>
      </c>
      <c r="C21" s="158">
        <f t="shared" si="1"/>
        <v>0.48484848484848486</v>
      </c>
      <c r="D21">
        <v>0.4</v>
      </c>
      <c r="E21" s="165">
        <f t="shared" si="2"/>
        <v>65753424.657534249</v>
      </c>
      <c r="F21" s="200">
        <f t="shared" si="7"/>
        <v>85479452.05479452</v>
      </c>
      <c r="G21">
        <v>0.4</v>
      </c>
      <c r="H21" s="165">
        <f t="shared" si="3"/>
        <v>65753424.657534249</v>
      </c>
      <c r="I21" s="200">
        <f t="shared" si="4"/>
        <v>85479452.05479452</v>
      </c>
      <c r="J21">
        <v>1</v>
      </c>
      <c r="K21" s="165">
        <f t="shared" si="5"/>
        <v>164383561.64383563</v>
      </c>
      <c r="L21" s="247">
        <f t="shared" si="6"/>
        <v>213698630.13698635</v>
      </c>
    </row>
    <row r="22" spans="1:12">
      <c r="A22" s="155">
        <v>7.3</v>
      </c>
      <c r="B22" s="155">
        <f t="shared" si="0"/>
        <v>58.98989898989899</v>
      </c>
      <c r="C22" s="158">
        <f t="shared" si="1"/>
        <v>0.58989898989898992</v>
      </c>
      <c r="D22">
        <v>0</v>
      </c>
      <c r="E22" s="165">
        <f t="shared" si="2"/>
        <v>0</v>
      </c>
      <c r="F22" s="200">
        <f t="shared" si="7"/>
        <v>0</v>
      </c>
      <c r="G22">
        <v>0</v>
      </c>
      <c r="H22" s="165">
        <f t="shared" si="3"/>
        <v>0</v>
      </c>
      <c r="I22" s="200">
        <f t="shared" si="4"/>
        <v>0</v>
      </c>
      <c r="J22">
        <v>0.1</v>
      </c>
      <c r="K22" s="165">
        <f t="shared" si="5"/>
        <v>16438356.164383562</v>
      </c>
      <c r="L22" s="247">
        <f t="shared" si="6"/>
        <v>21369863.01369863</v>
      </c>
    </row>
    <row r="23" spans="1:12">
      <c r="A23" s="155">
        <v>8.6</v>
      </c>
      <c r="B23" s="155">
        <f t="shared" si="0"/>
        <v>69.494949494949495</v>
      </c>
      <c r="C23" s="158">
        <f t="shared" si="1"/>
        <v>0.69494949494949498</v>
      </c>
      <c r="D23">
        <v>0.1</v>
      </c>
      <c r="E23" s="165">
        <f t="shared" si="2"/>
        <v>16438356.164383562</v>
      </c>
      <c r="F23" s="200">
        <f t="shared" si="7"/>
        <v>21369863.01369863</v>
      </c>
      <c r="G23">
        <v>0.4</v>
      </c>
      <c r="H23" s="165">
        <f t="shared" si="3"/>
        <v>65753424.657534249</v>
      </c>
      <c r="I23" s="200">
        <f t="shared" si="4"/>
        <v>85479452.05479452</v>
      </c>
      <c r="J23">
        <v>1.2</v>
      </c>
      <c r="K23" s="165">
        <f t="shared" si="5"/>
        <v>197260273.97260275</v>
      </c>
      <c r="L23" s="247">
        <f t="shared" si="6"/>
        <v>256438356.16438359</v>
      </c>
    </row>
    <row r="24" spans="1:12">
      <c r="A24" s="155">
        <v>12.3</v>
      </c>
      <c r="B24" s="155">
        <f t="shared" si="0"/>
        <v>99.393939393939391</v>
      </c>
      <c r="C24" s="158">
        <f t="shared" si="1"/>
        <v>0.9939393939393939</v>
      </c>
      <c r="D24">
        <v>0</v>
      </c>
      <c r="E24" s="165">
        <f t="shared" si="2"/>
        <v>0</v>
      </c>
      <c r="F24" s="200">
        <f t="shared" si="7"/>
        <v>0</v>
      </c>
      <c r="G24">
        <v>0</v>
      </c>
      <c r="H24" s="165">
        <f t="shared" si="3"/>
        <v>0</v>
      </c>
      <c r="I24" s="200">
        <f t="shared" si="4"/>
        <v>0</v>
      </c>
      <c r="J24">
        <v>0.1</v>
      </c>
      <c r="K24" s="165">
        <f t="shared" si="5"/>
        <v>16438356.164383562</v>
      </c>
      <c r="L24" s="247">
        <f t="shared" si="6"/>
        <v>21369863.01369863</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C1" workbookViewId="0">
      <selection activeCell="D19" sqref="D19"/>
    </sheetView>
  </sheetViews>
  <sheetFormatPr baseColWidth="10" defaultRowHeight="13" x14ac:dyDescent="0"/>
  <cols>
    <col min="2" max="2" width="10.7109375" style="152"/>
    <col min="4" max="4" width="10.7109375" style="159"/>
    <col min="5" max="5" width="10.7109375" style="247"/>
    <col min="7" max="7" width="10.7109375" style="159"/>
    <col min="8" max="8" width="10.7109375" style="247"/>
    <col min="10" max="10" width="10.7109375" style="159"/>
  </cols>
  <sheetData>
    <row r="1" spans="1:11">
      <c r="A1" s="152" t="s">
        <v>1381</v>
      </c>
      <c r="B1" s="250" t="s">
        <v>111</v>
      </c>
    </row>
    <row r="2" spans="1:11">
      <c r="A2" s="152" t="s">
        <v>906</v>
      </c>
      <c r="B2" s="250" t="s">
        <v>1366</v>
      </c>
    </row>
    <row r="3" spans="1:11" s="152" customFormat="1">
      <c r="D3" s="159"/>
      <c r="E3" s="247"/>
      <c r="G3" s="159"/>
      <c r="H3" s="247"/>
      <c r="J3" s="159"/>
    </row>
    <row r="4" spans="1:11">
      <c r="A4" s="155" t="s">
        <v>669</v>
      </c>
      <c r="B4" s="155"/>
      <c r="C4" s="155"/>
      <c r="D4" s="160"/>
      <c r="E4" s="169"/>
      <c r="F4" s="155"/>
      <c r="G4" s="160"/>
      <c r="H4" s="169"/>
      <c r="I4" s="155"/>
    </row>
    <row r="5" spans="1:11">
      <c r="A5" s="155"/>
      <c r="B5" s="155"/>
      <c r="C5" s="155" t="s">
        <v>670</v>
      </c>
      <c r="D5" s="167" t="s">
        <v>1196</v>
      </c>
      <c r="E5" s="169"/>
      <c r="F5" s="155" t="s">
        <v>671</v>
      </c>
      <c r="G5" s="172" t="s">
        <v>1123</v>
      </c>
      <c r="H5" s="172"/>
      <c r="I5" s="155" t="s">
        <v>672</v>
      </c>
      <c r="J5" s="166" t="s">
        <v>1124</v>
      </c>
    </row>
    <row r="6" spans="1:11" s="43" customFormat="1" ht="26">
      <c r="A6" s="283" t="s">
        <v>1234</v>
      </c>
      <c r="B6" s="284" t="s">
        <v>1235</v>
      </c>
      <c r="C6" s="283" t="s">
        <v>623</v>
      </c>
      <c r="D6" s="285" t="s">
        <v>624</v>
      </c>
      <c r="E6" s="285" t="s">
        <v>1380</v>
      </c>
      <c r="F6" s="283" t="s">
        <v>623</v>
      </c>
      <c r="G6" s="285" t="s">
        <v>624</v>
      </c>
      <c r="H6" s="285" t="s">
        <v>1380</v>
      </c>
      <c r="I6" s="283" t="s">
        <v>623</v>
      </c>
      <c r="J6" s="285" t="s">
        <v>624</v>
      </c>
      <c r="K6" s="285" t="s">
        <v>1380</v>
      </c>
    </row>
    <row r="7" spans="1:11">
      <c r="A7">
        <v>0.7</v>
      </c>
      <c r="B7" s="151">
        <f t="shared" ref="B7:B12" si="0">(4000*A7)/6.7</f>
        <v>417.91044776119401</v>
      </c>
      <c r="C7">
        <v>1.8</v>
      </c>
      <c r="D7" s="162">
        <f t="shared" ref="D7:D12" si="1">(400000000*C7)/2.7</f>
        <v>266666666.66666666</v>
      </c>
      <c r="E7" s="200">
        <f t="shared" ref="E7:E12" si="2">1.3*D7</f>
        <v>346666666.66666669</v>
      </c>
      <c r="F7">
        <v>1.3</v>
      </c>
      <c r="G7" s="162">
        <f>(400000000*F7)/2.7</f>
        <v>192592592.59259257</v>
      </c>
      <c r="H7" s="200">
        <f>1.3*G7</f>
        <v>250370370.37037036</v>
      </c>
      <c r="I7">
        <v>0.2</v>
      </c>
      <c r="J7" s="162">
        <f t="shared" ref="J7:J12" si="3">(400000000*I7)/2.7</f>
        <v>29629629.629629627</v>
      </c>
      <c r="K7" s="200">
        <f t="shared" ref="K7:K12" si="4">1.3*J7</f>
        <v>38518518.518518515</v>
      </c>
    </row>
    <row r="8" spans="1:11">
      <c r="A8">
        <v>1.6</v>
      </c>
      <c r="B8" s="151">
        <f t="shared" si="0"/>
        <v>955.22388059701495</v>
      </c>
      <c r="C8">
        <v>1.2</v>
      </c>
      <c r="D8" s="162">
        <f t="shared" si="1"/>
        <v>177777777.77777776</v>
      </c>
      <c r="E8" s="200">
        <f t="shared" si="2"/>
        <v>231111111.1111111</v>
      </c>
      <c r="F8">
        <v>0.6</v>
      </c>
      <c r="G8" s="162">
        <f>(400000000*F8)/2.7</f>
        <v>88888888.888888881</v>
      </c>
      <c r="H8" s="200">
        <f>1.3*G8</f>
        <v>115555555.55555555</v>
      </c>
      <c r="I8">
        <v>0.4</v>
      </c>
      <c r="J8" s="162">
        <f t="shared" si="3"/>
        <v>59259259.259259254</v>
      </c>
      <c r="K8" s="200">
        <f t="shared" si="4"/>
        <v>77037037.03703703</v>
      </c>
    </row>
    <row r="9" spans="1:11">
      <c r="A9">
        <v>2.5</v>
      </c>
      <c r="B9" s="151">
        <f t="shared" si="0"/>
        <v>1492.5373134328358</v>
      </c>
      <c r="C9">
        <v>1.4</v>
      </c>
      <c r="D9" s="162">
        <f t="shared" si="1"/>
        <v>207407407.4074074</v>
      </c>
      <c r="E9" s="200">
        <f t="shared" si="2"/>
        <v>269629629.62962961</v>
      </c>
      <c r="F9">
        <v>0.6</v>
      </c>
      <c r="G9" s="162">
        <f>(400000000*F9)/2.7</f>
        <v>88888888.888888881</v>
      </c>
      <c r="H9" s="200">
        <f>1.3*G9</f>
        <v>115555555.55555555</v>
      </c>
      <c r="I9">
        <v>0.5</v>
      </c>
      <c r="J9" s="162">
        <f t="shared" si="3"/>
        <v>74074074.074074075</v>
      </c>
      <c r="K9" s="200">
        <f t="shared" si="4"/>
        <v>96296296.296296299</v>
      </c>
    </row>
    <row r="10" spans="1:11">
      <c r="A10">
        <v>5.9</v>
      </c>
      <c r="B10" s="151">
        <f t="shared" si="0"/>
        <v>3522.3880597014922</v>
      </c>
      <c r="C10">
        <v>4.95</v>
      </c>
      <c r="D10" s="162">
        <f t="shared" si="1"/>
        <v>733333333.33333325</v>
      </c>
      <c r="E10" s="200">
        <f t="shared" si="2"/>
        <v>953333333.33333325</v>
      </c>
      <c r="F10">
        <v>1.9</v>
      </c>
      <c r="G10" s="162">
        <f>(400000000*F10)/2.7</f>
        <v>281481481.48148149</v>
      </c>
      <c r="H10" s="200">
        <f>1.3*G10</f>
        <v>365925925.92592597</v>
      </c>
      <c r="I10">
        <v>2.1</v>
      </c>
      <c r="J10" s="162">
        <f t="shared" si="3"/>
        <v>311111111.1111111</v>
      </c>
      <c r="K10" s="200">
        <f t="shared" si="4"/>
        <v>404444444.44444448</v>
      </c>
    </row>
    <row r="11" spans="1:11">
      <c r="A11">
        <v>6.7</v>
      </c>
      <c r="B11" s="151">
        <f t="shared" si="0"/>
        <v>4000</v>
      </c>
      <c r="C11">
        <v>1.7</v>
      </c>
      <c r="D11" s="162">
        <f t="shared" si="1"/>
        <v>251851851.85185182</v>
      </c>
      <c r="E11" s="200">
        <f t="shared" si="2"/>
        <v>327407407.4074074</v>
      </c>
      <c r="G11" s="162"/>
      <c r="H11" s="200"/>
      <c r="I11">
        <v>0.7</v>
      </c>
      <c r="J11" s="162">
        <f t="shared" si="3"/>
        <v>103703703.7037037</v>
      </c>
      <c r="K11" s="200">
        <f t="shared" si="4"/>
        <v>134814814.81481481</v>
      </c>
    </row>
    <row r="12" spans="1:11">
      <c r="A12">
        <v>8.1999999999999993</v>
      </c>
      <c r="B12" s="151">
        <f t="shared" si="0"/>
        <v>4895.5223880597014</v>
      </c>
      <c r="C12">
        <v>2.2999999999999998</v>
      </c>
      <c r="D12" s="162">
        <f t="shared" si="1"/>
        <v>340740740.74074066</v>
      </c>
      <c r="E12" s="200">
        <f t="shared" si="2"/>
        <v>442962962.96296287</v>
      </c>
      <c r="F12">
        <v>1.3</v>
      </c>
      <c r="G12" s="162">
        <f>(400000000*F12)/2.7</f>
        <v>192592592.59259257</v>
      </c>
      <c r="H12" s="200">
        <f>1.3*G12</f>
        <v>250370370.37037036</v>
      </c>
      <c r="I12">
        <v>0.3</v>
      </c>
      <c r="J12" s="162">
        <f t="shared" si="3"/>
        <v>44444444.44444444</v>
      </c>
      <c r="K12" s="200">
        <f t="shared" si="4"/>
        <v>57777777.777777776</v>
      </c>
    </row>
    <row r="13" spans="1:11">
      <c r="A13" s="155" t="s">
        <v>788</v>
      </c>
      <c r="E13" s="200"/>
    </row>
    <row r="14" spans="1:11">
      <c r="A14" s="155"/>
      <c r="B14" s="155"/>
      <c r="C14" s="155" t="s">
        <v>670</v>
      </c>
      <c r="D14" s="167" t="s">
        <v>1196</v>
      </c>
      <c r="E14" s="169"/>
      <c r="F14" s="155" t="s">
        <v>671</v>
      </c>
      <c r="G14" s="172" t="s">
        <v>1123</v>
      </c>
      <c r="H14" s="172"/>
      <c r="I14" s="155" t="s">
        <v>672</v>
      </c>
      <c r="J14" s="166" t="s">
        <v>1124</v>
      </c>
    </row>
    <row r="15" spans="1:11">
      <c r="A15" s="155" t="s">
        <v>622</v>
      </c>
      <c r="B15" s="158" t="s">
        <v>897</v>
      </c>
      <c r="C15" s="155" t="s">
        <v>623</v>
      </c>
      <c r="D15" s="161" t="s">
        <v>624</v>
      </c>
      <c r="E15" s="170"/>
      <c r="F15" s="155" t="s">
        <v>623</v>
      </c>
      <c r="G15" s="161" t="s">
        <v>624</v>
      </c>
      <c r="H15" s="170"/>
      <c r="I15" s="155" t="s">
        <v>623</v>
      </c>
      <c r="J15" s="161" t="s">
        <v>624</v>
      </c>
    </row>
    <row r="16" spans="1:11">
      <c r="A16">
        <v>0.7</v>
      </c>
      <c r="B16" s="151">
        <f>(4000*A16)/6.7</f>
        <v>417.91044776119401</v>
      </c>
      <c r="C16">
        <v>4.7</v>
      </c>
      <c r="D16" s="162">
        <f>(400000000*C16)/2.7</f>
        <v>696296296.29629624</v>
      </c>
      <c r="E16" s="200">
        <f>1.3*D16</f>
        <v>905185185.18518519</v>
      </c>
      <c r="F16">
        <v>3.25</v>
      </c>
      <c r="G16" s="162">
        <f>(400000000*F16)/2.7</f>
        <v>481481481.48148143</v>
      </c>
      <c r="H16" s="200">
        <f>1.3*G16</f>
        <v>625925925.92592585</v>
      </c>
      <c r="I16">
        <v>0.4</v>
      </c>
      <c r="J16" s="162">
        <f>(400000000*I16)/2.7</f>
        <v>59259259.259259254</v>
      </c>
      <c r="K16" s="200">
        <f>1.3*J16</f>
        <v>77037037.03703703</v>
      </c>
    </row>
    <row r="17" spans="1:11">
      <c r="A17">
        <v>1.5</v>
      </c>
      <c r="B17" s="151">
        <f>(4000*A17)/6.7</f>
        <v>895.52238805970148</v>
      </c>
      <c r="C17">
        <v>4.75</v>
      </c>
      <c r="D17" s="162">
        <f>(400000000*C17)/2.7</f>
        <v>703703703.70370364</v>
      </c>
      <c r="E17" s="200">
        <f>1.3*D17</f>
        <v>914814814.81481481</v>
      </c>
      <c r="F17">
        <v>3.1</v>
      </c>
      <c r="G17" s="162">
        <f>(400000000*F17)/2.7</f>
        <v>459259259.25925922</v>
      </c>
      <c r="H17" s="200">
        <f>1.3*G17</f>
        <v>597037037.03703701</v>
      </c>
      <c r="I17">
        <v>0.7</v>
      </c>
      <c r="J17" s="162">
        <f>(400000000*I17)/2.7</f>
        <v>103703703.7037037</v>
      </c>
      <c r="K17" s="200">
        <f>1.3*J17</f>
        <v>134814814.81481481</v>
      </c>
    </row>
    <row r="18" spans="1:11">
      <c r="A18">
        <v>5.4</v>
      </c>
      <c r="B18" s="151">
        <f>(4000*A18)/6.7</f>
        <v>3223.8805970149251</v>
      </c>
      <c r="C18">
        <v>4.5</v>
      </c>
      <c r="D18" s="162">
        <f>(400000000*C18)/2.7</f>
        <v>666666666.66666663</v>
      </c>
      <c r="E18" s="200">
        <f>1.3*D18</f>
        <v>866666666.66666663</v>
      </c>
      <c r="F18">
        <v>3.2</v>
      </c>
      <c r="G18" s="162">
        <f>(400000000*F18)/2.7</f>
        <v>474074074.07407403</v>
      </c>
      <c r="H18" s="200">
        <f>1.3*G18</f>
        <v>616296296.29629624</v>
      </c>
      <c r="I18">
        <v>0.4</v>
      </c>
      <c r="J18" s="162">
        <f>(400000000*I18)/2.7</f>
        <v>59259259.259259254</v>
      </c>
      <c r="K18" s="200">
        <f>1.3*J18</f>
        <v>77037037.03703703</v>
      </c>
    </row>
    <row r="19" spans="1:11">
      <c r="A19">
        <v>7.3</v>
      </c>
      <c r="B19" s="151">
        <f>(4000*A19)/6.7</f>
        <v>4358.2089552238804</v>
      </c>
      <c r="C19">
        <v>3.75</v>
      </c>
      <c r="D19" s="162">
        <f>(400000000*C19)/2.7</f>
        <v>555555555.55555546</v>
      </c>
      <c r="E19" s="200">
        <f>1.3*D19</f>
        <v>722222222.22222209</v>
      </c>
      <c r="F19">
        <v>2.6</v>
      </c>
      <c r="G19" s="162">
        <f>(400000000*F19)/2.7</f>
        <v>385185185.18518513</v>
      </c>
      <c r="H19" s="200">
        <f>1.3*G19</f>
        <v>500740740.74074072</v>
      </c>
      <c r="I19">
        <v>0.3</v>
      </c>
      <c r="J19" s="162">
        <f>(400000000*I19)/2.7</f>
        <v>44444444.44444444</v>
      </c>
      <c r="K19" s="200">
        <f>1.3*J19</f>
        <v>57777777.777777776</v>
      </c>
    </row>
    <row r="20" spans="1:11">
      <c r="A20" s="155" t="s">
        <v>899</v>
      </c>
      <c r="C20" s="152"/>
      <c r="F20" s="152"/>
      <c r="I20" s="152"/>
    </row>
    <row r="21" spans="1:11">
      <c r="A21" s="155"/>
      <c r="B21" s="155"/>
      <c r="C21" s="155" t="s">
        <v>670</v>
      </c>
      <c r="D21" s="167" t="s">
        <v>1196</v>
      </c>
      <c r="E21" s="169"/>
      <c r="F21" s="155" t="s">
        <v>671</v>
      </c>
      <c r="G21" s="172" t="s">
        <v>1123</v>
      </c>
      <c r="H21" s="172"/>
      <c r="I21" s="155" t="s">
        <v>672</v>
      </c>
      <c r="J21" s="166" t="s">
        <v>1124</v>
      </c>
    </row>
    <row r="22" spans="1:11">
      <c r="A22" s="155" t="s">
        <v>622</v>
      </c>
      <c r="B22" s="158" t="s">
        <v>897</v>
      </c>
      <c r="C22" s="155" t="s">
        <v>623</v>
      </c>
      <c r="D22" s="161" t="s">
        <v>624</v>
      </c>
      <c r="E22" s="170"/>
      <c r="F22" s="155" t="s">
        <v>623</v>
      </c>
      <c r="G22" s="161" t="s">
        <v>624</v>
      </c>
      <c r="H22" s="170"/>
      <c r="I22" s="155" t="s">
        <v>623</v>
      </c>
      <c r="J22" s="161" t="s">
        <v>624</v>
      </c>
    </row>
    <row r="23" spans="1:11">
      <c r="A23" s="152">
        <v>0.8</v>
      </c>
      <c r="B23" s="151">
        <f>(4000*A23)/7</f>
        <v>457.14285714285717</v>
      </c>
      <c r="C23" s="152">
        <v>6.5</v>
      </c>
      <c r="D23" s="162">
        <f>(400000000*C23)/5.6</f>
        <v>464285714.28571433</v>
      </c>
      <c r="E23" s="200">
        <f>1.3*D23</f>
        <v>603571428.57142866</v>
      </c>
      <c r="F23" s="152">
        <v>4.5999999999999996</v>
      </c>
      <c r="G23" s="162">
        <f>(400000000*F23)/5.6</f>
        <v>328571428.57142854</v>
      </c>
      <c r="H23" s="200">
        <f>1.3*G23</f>
        <v>427142857.14285713</v>
      </c>
      <c r="I23" s="152">
        <v>0.9</v>
      </c>
      <c r="J23" s="162">
        <f>(400000000*I23)/5.6</f>
        <v>64285714.285714291</v>
      </c>
      <c r="K23" s="200">
        <f>1.3*J23</f>
        <v>83571428.571428582</v>
      </c>
    </row>
    <row r="24" spans="1:11">
      <c r="A24">
        <v>1.8</v>
      </c>
      <c r="B24" s="151">
        <f>(4000*A24)/7</f>
        <v>1028.5714285714287</v>
      </c>
      <c r="C24">
        <v>5</v>
      </c>
      <c r="D24" s="162">
        <f>(400000000*C24)/5.6</f>
        <v>357142857.14285719</v>
      </c>
      <c r="E24" s="200">
        <f>1.3*D24</f>
        <v>464285714.28571439</v>
      </c>
      <c r="F24">
        <v>3.7</v>
      </c>
      <c r="G24" s="162">
        <f>(400000000*F24)/5.6</f>
        <v>264285714.2857143</v>
      </c>
      <c r="H24" s="200">
        <f>1.3*G24</f>
        <v>343571428.5714286</v>
      </c>
      <c r="I24">
        <v>0.5</v>
      </c>
      <c r="J24" s="162">
        <f>(400000000*I24)/5.6</f>
        <v>35714285.714285716</v>
      </c>
      <c r="K24" s="200">
        <f>1.3*J24</f>
        <v>46428571.428571433</v>
      </c>
    </row>
    <row r="25" spans="1:11">
      <c r="A25">
        <v>3.7</v>
      </c>
      <c r="B25" s="151">
        <f>(4000*A25)/7</f>
        <v>2114.2857142857142</v>
      </c>
      <c r="C25">
        <v>5.3</v>
      </c>
      <c r="D25" s="162">
        <f>(400000000*C25)/5.6</f>
        <v>378571428.5714286</v>
      </c>
      <c r="E25" s="200">
        <f>1.3*D25</f>
        <v>492142857.14285719</v>
      </c>
      <c r="F25">
        <v>3.9</v>
      </c>
      <c r="G25" s="162">
        <f>(400000000*F25)/5.6</f>
        <v>278571428.5714286</v>
      </c>
      <c r="H25" s="200">
        <f>1.3*G25</f>
        <v>362142857.14285719</v>
      </c>
      <c r="I25">
        <v>0.6</v>
      </c>
      <c r="J25" s="162">
        <f>(400000000*I25)/5.6</f>
        <v>42857142.857142858</v>
      </c>
      <c r="K25" s="200">
        <f>1.3*J25</f>
        <v>55714285.714285716</v>
      </c>
    </row>
    <row r="26" spans="1:11">
      <c r="A26">
        <v>5.2</v>
      </c>
      <c r="B26" s="151">
        <f>(4000*A26)/7</f>
        <v>2971.4285714285716</v>
      </c>
      <c r="C26">
        <v>4.5</v>
      </c>
      <c r="D26" s="162">
        <f>(400000000*C26)/5.6</f>
        <v>321428571.42857146</v>
      </c>
      <c r="E26" s="200">
        <f>1.3*D26</f>
        <v>417857142.85714293</v>
      </c>
      <c r="F26">
        <v>3.3</v>
      </c>
      <c r="G26" s="162">
        <f>(400000000*F26)/5.6</f>
        <v>235714285.71428573</v>
      </c>
      <c r="H26" s="200">
        <f>1.3*G26</f>
        <v>306428571.42857146</v>
      </c>
      <c r="I26">
        <v>0.6</v>
      </c>
      <c r="J26" s="162">
        <f>(400000000*I26)/5.6</f>
        <v>42857142.857142858</v>
      </c>
      <c r="K26" s="200">
        <f>1.3*J26</f>
        <v>55714285.714285716</v>
      </c>
    </row>
    <row r="27" spans="1:11">
      <c r="A27">
        <v>6.9</v>
      </c>
      <c r="B27" s="151">
        <f>(4000*A27)/7</f>
        <v>3942.8571428571427</v>
      </c>
      <c r="C27">
        <v>4</v>
      </c>
      <c r="D27" s="162">
        <f>(400000000*C27)/5.6</f>
        <v>285714285.71428573</v>
      </c>
      <c r="E27" s="200">
        <f>1.3*D27</f>
        <v>371428571.42857146</v>
      </c>
      <c r="F27">
        <v>3.15</v>
      </c>
      <c r="G27" s="162">
        <f>(400000000*F27)/5.6</f>
        <v>225000000</v>
      </c>
      <c r="H27" s="200">
        <f>1.3*G27</f>
        <v>292500000</v>
      </c>
      <c r="I27">
        <v>0.25</v>
      </c>
      <c r="J27" s="162">
        <f>(400000000*I27)/5.6</f>
        <v>17857142.857142858</v>
      </c>
      <c r="K27" s="200">
        <f>1.3*J27</f>
        <v>23214285.714285716</v>
      </c>
    </row>
    <row r="28" spans="1:11">
      <c r="A28" s="155" t="s">
        <v>901</v>
      </c>
      <c r="C28" s="152"/>
      <c r="F28" s="152"/>
      <c r="I28" s="152"/>
    </row>
    <row r="29" spans="1:11">
      <c r="A29" s="155"/>
      <c r="B29" s="155"/>
      <c r="C29" s="155" t="s">
        <v>670</v>
      </c>
      <c r="D29" s="167" t="s">
        <v>1196</v>
      </c>
      <c r="E29" s="169"/>
      <c r="F29" s="155" t="s">
        <v>671</v>
      </c>
      <c r="G29" s="167" t="s">
        <v>1122</v>
      </c>
      <c r="H29" s="169"/>
      <c r="I29" s="155" t="s">
        <v>672</v>
      </c>
      <c r="J29" s="166" t="s">
        <v>1124</v>
      </c>
    </row>
    <row r="30" spans="1:11">
      <c r="A30" s="155" t="s">
        <v>622</v>
      </c>
      <c r="B30" s="158" t="s">
        <v>897</v>
      </c>
      <c r="C30" s="155" t="s">
        <v>623</v>
      </c>
      <c r="D30" s="161" t="s">
        <v>624</v>
      </c>
      <c r="E30" s="170"/>
      <c r="F30" s="155" t="s">
        <v>623</v>
      </c>
      <c r="G30" s="161" t="s">
        <v>624</v>
      </c>
      <c r="H30" s="170"/>
      <c r="I30" s="155" t="s">
        <v>623</v>
      </c>
      <c r="J30" s="161" t="s">
        <v>900</v>
      </c>
    </row>
    <row r="31" spans="1:11">
      <c r="A31">
        <v>1.8</v>
      </c>
      <c r="B31" s="151">
        <f>(4000*A31)/7</f>
        <v>1028.5714285714287</v>
      </c>
      <c r="C31">
        <v>3.2</v>
      </c>
      <c r="D31" s="162">
        <f>(600000000*C31)/6.4</f>
        <v>300000000</v>
      </c>
      <c r="E31" s="200">
        <f>1.3*D31</f>
        <v>390000000</v>
      </c>
      <c r="F31">
        <v>2.2000000000000002</v>
      </c>
      <c r="G31" s="162">
        <f>(600000000*F31)/6.4</f>
        <v>206250000</v>
      </c>
      <c r="H31" s="200">
        <f>1.3*G31</f>
        <v>268125000</v>
      </c>
      <c r="I31">
        <v>0.5</v>
      </c>
      <c r="J31" s="162">
        <f>(600000000*I31)/6.4</f>
        <v>46875000</v>
      </c>
      <c r="K31" s="200">
        <f>1.3*J31</f>
        <v>60937500</v>
      </c>
    </row>
    <row r="32" spans="1:11">
      <c r="A32">
        <v>3.8</v>
      </c>
      <c r="B32" s="151">
        <f>(4000*A32)/7</f>
        <v>2171.4285714285716</v>
      </c>
      <c r="C32">
        <v>3.1</v>
      </c>
      <c r="D32" s="162">
        <f>(600000000*C32)/6.4</f>
        <v>290625000</v>
      </c>
      <c r="E32" s="200">
        <f>1.3*D32</f>
        <v>377812500</v>
      </c>
      <c r="F32">
        <v>2.2000000000000002</v>
      </c>
      <c r="G32" s="162">
        <f>(600000000*F32)/6.4</f>
        <v>206250000</v>
      </c>
      <c r="H32" s="200">
        <f>1.3*G32</f>
        <v>268125000</v>
      </c>
      <c r="I32">
        <v>0.45</v>
      </c>
      <c r="J32" s="162">
        <f>(600000000*I32)/6.4</f>
        <v>42187500</v>
      </c>
      <c r="K32" s="200">
        <f>1.3*J32</f>
        <v>54843750</v>
      </c>
    </row>
    <row r="33" spans="1:11">
      <c r="A33">
        <v>5</v>
      </c>
      <c r="B33" s="151">
        <f>(4000*A33)/7</f>
        <v>2857.1428571428573</v>
      </c>
      <c r="C33">
        <v>2.9</v>
      </c>
      <c r="D33" s="162">
        <f>(600000000*C33)/6.4</f>
        <v>271875000</v>
      </c>
      <c r="E33" s="200">
        <f>1.3*D33</f>
        <v>353437500</v>
      </c>
      <c r="F33">
        <v>1.2</v>
      </c>
      <c r="G33" s="162">
        <f>(600000000*F33)/6.4</f>
        <v>112500000</v>
      </c>
      <c r="H33" s="200">
        <f>1.3*G33</f>
        <v>146250000</v>
      </c>
      <c r="I33">
        <v>0.9</v>
      </c>
      <c r="J33" s="162">
        <f>(600000000*I33)/6.4</f>
        <v>84375000</v>
      </c>
      <c r="K33" s="200">
        <f>1.3*J33</f>
        <v>109687500</v>
      </c>
    </row>
    <row r="34" spans="1:11">
      <c r="A34">
        <v>6.8</v>
      </c>
      <c r="B34" s="151">
        <f>(4000*A34)/7</f>
        <v>3885.7142857142858</v>
      </c>
      <c r="C34">
        <v>5.15</v>
      </c>
      <c r="D34" s="162">
        <f>(600000000*C34)/6.4</f>
        <v>482812500</v>
      </c>
      <c r="E34" s="200">
        <f>1.3*D34</f>
        <v>627656250</v>
      </c>
      <c r="F34">
        <v>3.45</v>
      </c>
      <c r="G34" s="162">
        <f>(600000000*F34)/6.4</f>
        <v>323437500</v>
      </c>
      <c r="H34" s="200">
        <f>1.3*G34</f>
        <v>420468750</v>
      </c>
      <c r="I34">
        <v>0.9</v>
      </c>
      <c r="J34" s="162">
        <f>(600000000*I34)/6.4</f>
        <v>84375000</v>
      </c>
      <c r="K34" s="200">
        <f>1.3*J34</f>
        <v>109687500</v>
      </c>
    </row>
    <row r="35" spans="1:11">
      <c r="A35">
        <v>8.6999999999999993</v>
      </c>
      <c r="B35" s="151">
        <f>(4000*A35)/7</f>
        <v>4971.4285714285716</v>
      </c>
      <c r="C35">
        <v>5.2</v>
      </c>
      <c r="D35" s="162">
        <f>(600000000*C35)/6.4</f>
        <v>487500000</v>
      </c>
      <c r="E35" s="200">
        <f>1.3*D35</f>
        <v>633750000</v>
      </c>
      <c r="F35">
        <v>3.8</v>
      </c>
      <c r="G35" s="162">
        <f>(600000000*F35)/6.4</f>
        <v>356250000</v>
      </c>
      <c r="H35" s="200">
        <f>1.3*G35</f>
        <v>463125000</v>
      </c>
      <c r="I35">
        <v>0.8</v>
      </c>
      <c r="J35" s="162">
        <f>(600000000*I35)/6.4</f>
        <v>75000000</v>
      </c>
      <c r="K35" s="200">
        <f>1.3*J35</f>
        <v>97500000</v>
      </c>
    </row>
    <row r="50" spans="12:12">
      <c r="L50" s="301"/>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G6" sqref="G6"/>
    </sheetView>
  </sheetViews>
  <sheetFormatPr baseColWidth="10" defaultRowHeight="13" x14ac:dyDescent="0"/>
  <cols>
    <col min="6" max="6" width="11" bestFit="1" customWidth="1"/>
  </cols>
  <sheetData>
    <row r="1" spans="1:7">
      <c r="A1" t="s">
        <v>222</v>
      </c>
    </row>
    <row r="2" spans="1:7">
      <c r="A2" t="s">
        <v>232</v>
      </c>
    </row>
    <row r="4" spans="1:7" s="43" customFormat="1" ht="26">
      <c r="B4" s="43" t="s">
        <v>965</v>
      </c>
      <c r="C4" s="43" t="s">
        <v>223</v>
      </c>
      <c r="D4" s="43" t="s">
        <v>230</v>
      </c>
      <c r="E4" s="43" t="s">
        <v>864</v>
      </c>
      <c r="F4" s="43" t="s">
        <v>392</v>
      </c>
      <c r="G4" s="43" t="s">
        <v>233</v>
      </c>
    </row>
    <row r="5" spans="1:7">
      <c r="A5" t="s">
        <v>224</v>
      </c>
      <c r="B5">
        <v>0.5</v>
      </c>
      <c r="C5">
        <v>2</v>
      </c>
      <c r="D5">
        <v>35</v>
      </c>
      <c r="E5">
        <f>B5*0.01</f>
        <v>5.0000000000000001E-3</v>
      </c>
      <c r="F5" s="301">
        <f>C5*10^9</f>
        <v>2000000000</v>
      </c>
      <c r="G5" s="301">
        <f>F5*(D5/100)</f>
        <v>700000000</v>
      </c>
    </row>
    <row r="6" spans="1:7">
      <c r="A6" s="303" t="s">
        <v>224</v>
      </c>
      <c r="B6">
        <v>1.5</v>
      </c>
      <c r="C6">
        <v>1.3</v>
      </c>
      <c r="D6">
        <v>49</v>
      </c>
      <c r="E6" s="303">
        <f t="shared" ref="E6:E66" si="0">B6*0.01</f>
        <v>1.4999999999999999E-2</v>
      </c>
      <c r="F6" s="301">
        <f t="shared" ref="F6:F66" si="1">C6*10^9</f>
        <v>1300000000</v>
      </c>
      <c r="G6" s="301">
        <f t="shared" ref="G6:G66" si="2">F6*(D6/100)</f>
        <v>637000000</v>
      </c>
    </row>
    <row r="7" spans="1:7">
      <c r="A7" s="303" t="s">
        <v>224</v>
      </c>
      <c r="B7">
        <v>2.5</v>
      </c>
      <c r="C7">
        <v>1.3</v>
      </c>
      <c r="D7">
        <v>42</v>
      </c>
      <c r="E7" s="303">
        <f t="shared" si="0"/>
        <v>2.5000000000000001E-2</v>
      </c>
      <c r="F7" s="301">
        <f t="shared" si="1"/>
        <v>1300000000</v>
      </c>
      <c r="G7" s="301">
        <f t="shared" si="2"/>
        <v>546000000</v>
      </c>
    </row>
    <row r="8" spans="1:7">
      <c r="A8" s="303" t="s">
        <v>224</v>
      </c>
      <c r="B8">
        <v>4.5</v>
      </c>
      <c r="C8">
        <v>1.1000000000000001</v>
      </c>
      <c r="D8">
        <v>36</v>
      </c>
      <c r="E8" s="303">
        <f t="shared" si="0"/>
        <v>4.4999999999999998E-2</v>
      </c>
      <c r="F8" s="301">
        <f t="shared" si="1"/>
        <v>1100000000</v>
      </c>
      <c r="G8" s="301">
        <f t="shared" si="2"/>
        <v>396000000</v>
      </c>
    </row>
    <row r="9" spans="1:7">
      <c r="A9" s="303" t="s">
        <v>224</v>
      </c>
      <c r="B9">
        <v>5.5</v>
      </c>
      <c r="C9">
        <v>1.4</v>
      </c>
      <c r="D9">
        <v>30</v>
      </c>
      <c r="E9" s="303">
        <f t="shared" si="0"/>
        <v>5.5E-2</v>
      </c>
      <c r="F9" s="301">
        <f t="shared" si="1"/>
        <v>1400000000</v>
      </c>
      <c r="G9" s="301">
        <f t="shared" si="2"/>
        <v>420000000</v>
      </c>
    </row>
    <row r="10" spans="1:7">
      <c r="A10" s="303" t="s">
        <v>224</v>
      </c>
      <c r="B10">
        <v>6.5</v>
      </c>
      <c r="C10">
        <v>1.1000000000000001</v>
      </c>
      <c r="D10">
        <v>31</v>
      </c>
      <c r="E10" s="303">
        <f t="shared" si="0"/>
        <v>6.5000000000000002E-2</v>
      </c>
      <c r="F10" s="301">
        <f t="shared" si="1"/>
        <v>1100000000</v>
      </c>
      <c r="G10" s="301">
        <f t="shared" si="2"/>
        <v>341000000</v>
      </c>
    </row>
    <row r="11" spans="1:7">
      <c r="A11" s="303" t="s">
        <v>224</v>
      </c>
      <c r="B11">
        <v>7.5</v>
      </c>
      <c r="C11">
        <v>1.2</v>
      </c>
      <c r="D11">
        <v>30</v>
      </c>
      <c r="E11" s="303">
        <f t="shared" si="0"/>
        <v>7.4999999999999997E-2</v>
      </c>
      <c r="F11" s="301">
        <f t="shared" si="1"/>
        <v>1200000000</v>
      </c>
      <c r="G11" s="301">
        <f t="shared" si="2"/>
        <v>360000000</v>
      </c>
    </row>
    <row r="12" spans="1:7">
      <c r="A12" s="303" t="s">
        <v>224</v>
      </c>
      <c r="B12">
        <v>9.5</v>
      </c>
      <c r="C12">
        <v>1.1000000000000001</v>
      </c>
      <c r="D12">
        <v>32</v>
      </c>
      <c r="E12" s="303">
        <f t="shared" si="0"/>
        <v>9.5000000000000001E-2</v>
      </c>
      <c r="F12" s="301">
        <f t="shared" si="1"/>
        <v>1100000000</v>
      </c>
      <c r="G12" s="301">
        <f t="shared" si="2"/>
        <v>352000000</v>
      </c>
    </row>
    <row r="13" spans="1:7">
      <c r="A13" s="303" t="s">
        <v>224</v>
      </c>
      <c r="B13">
        <v>10.5</v>
      </c>
      <c r="C13">
        <v>1.1000000000000001</v>
      </c>
      <c r="D13">
        <v>26</v>
      </c>
      <c r="E13" s="303">
        <f t="shared" si="0"/>
        <v>0.105</v>
      </c>
      <c r="F13" s="301">
        <f t="shared" si="1"/>
        <v>1100000000</v>
      </c>
      <c r="G13" s="301">
        <f t="shared" si="2"/>
        <v>286000000</v>
      </c>
    </row>
    <row r="14" spans="1:7">
      <c r="A14" s="303" t="s">
        <v>224</v>
      </c>
      <c r="B14">
        <v>11.5</v>
      </c>
      <c r="C14">
        <v>1.2</v>
      </c>
      <c r="D14">
        <v>16</v>
      </c>
      <c r="E14" s="303">
        <f t="shared" si="0"/>
        <v>0.115</v>
      </c>
      <c r="F14" s="301">
        <f t="shared" si="1"/>
        <v>1200000000</v>
      </c>
      <c r="G14" s="301">
        <f t="shared" si="2"/>
        <v>192000000</v>
      </c>
    </row>
    <row r="15" spans="1:7">
      <c r="A15" t="s">
        <v>225</v>
      </c>
      <c r="B15" s="303">
        <v>0.5</v>
      </c>
      <c r="C15">
        <v>2</v>
      </c>
      <c r="D15">
        <v>34</v>
      </c>
      <c r="E15" s="303">
        <f t="shared" si="0"/>
        <v>5.0000000000000001E-3</v>
      </c>
      <c r="F15" s="301">
        <f t="shared" si="1"/>
        <v>2000000000</v>
      </c>
      <c r="G15" s="301">
        <f t="shared" si="2"/>
        <v>680000000</v>
      </c>
    </row>
    <row r="16" spans="1:7">
      <c r="A16" s="303" t="s">
        <v>225</v>
      </c>
      <c r="B16" s="303">
        <v>1.5</v>
      </c>
      <c r="C16">
        <v>1.4</v>
      </c>
      <c r="D16">
        <v>47</v>
      </c>
      <c r="E16" s="303">
        <f t="shared" si="0"/>
        <v>1.4999999999999999E-2</v>
      </c>
      <c r="F16" s="301">
        <f t="shared" si="1"/>
        <v>1400000000</v>
      </c>
      <c r="G16" s="301">
        <f t="shared" si="2"/>
        <v>658000000</v>
      </c>
    </row>
    <row r="17" spans="1:7">
      <c r="A17" s="303" t="s">
        <v>225</v>
      </c>
      <c r="B17" s="303">
        <v>2.5</v>
      </c>
      <c r="C17">
        <v>1.4</v>
      </c>
      <c r="D17">
        <v>38</v>
      </c>
      <c r="E17" s="303">
        <f t="shared" si="0"/>
        <v>2.5000000000000001E-2</v>
      </c>
      <c r="F17" s="301">
        <f t="shared" si="1"/>
        <v>1400000000</v>
      </c>
      <c r="G17" s="301">
        <f t="shared" si="2"/>
        <v>532000000</v>
      </c>
    </row>
    <row r="18" spans="1:7">
      <c r="A18" s="303" t="s">
        <v>225</v>
      </c>
      <c r="B18" s="303">
        <v>3.5</v>
      </c>
      <c r="C18">
        <v>1.6</v>
      </c>
      <c r="D18">
        <v>33</v>
      </c>
      <c r="E18" s="303">
        <f t="shared" si="0"/>
        <v>3.5000000000000003E-2</v>
      </c>
      <c r="F18" s="301">
        <f t="shared" si="1"/>
        <v>1600000000</v>
      </c>
      <c r="G18" s="301">
        <f t="shared" si="2"/>
        <v>528000000</v>
      </c>
    </row>
    <row r="19" spans="1:7">
      <c r="A19" s="303" t="s">
        <v>225</v>
      </c>
      <c r="B19" s="303">
        <v>4.5</v>
      </c>
      <c r="C19">
        <v>1.2</v>
      </c>
      <c r="D19">
        <v>33</v>
      </c>
      <c r="E19" s="303">
        <f t="shared" si="0"/>
        <v>4.4999999999999998E-2</v>
      </c>
      <c r="F19" s="301">
        <f t="shared" si="1"/>
        <v>1200000000</v>
      </c>
      <c r="G19" s="301">
        <f t="shared" si="2"/>
        <v>396000000</v>
      </c>
    </row>
    <row r="20" spans="1:7">
      <c r="A20" s="303" t="s">
        <v>225</v>
      </c>
      <c r="B20" s="303">
        <v>5.5</v>
      </c>
      <c r="C20">
        <v>1.4</v>
      </c>
      <c r="D20">
        <v>31</v>
      </c>
      <c r="E20" s="303">
        <f t="shared" si="0"/>
        <v>5.5E-2</v>
      </c>
      <c r="F20" s="301">
        <f t="shared" si="1"/>
        <v>1400000000</v>
      </c>
      <c r="G20" s="301">
        <f t="shared" si="2"/>
        <v>434000000</v>
      </c>
    </row>
    <row r="21" spans="1:7">
      <c r="A21" s="303" t="s">
        <v>225</v>
      </c>
      <c r="B21" s="303">
        <v>6.5</v>
      </c>
      <c r="C21">
        <v>1.1000000000000001</v>
      </c>
      <c r="D21">
        <v>33</v>
      </c>
      <c r="E21" s="303">
        <f t="shared" si="0"/>
        <v>6.5000000000000002E-2</v>
      </c>
      <c r="F21" s="301">
        <f t="shared" si="1"/>
        <v>1100000000</v>
      </c>
      <c r="G21" s="301">
        <f t="shared" si="2"/>
        <v>363000000</v>
      </c>
    </row>
    <row r="22" spans="1:7">
      <c r="A22" s="303" t="s">
        <v>225</v>
      </c>
      <c r="B22" s="303">
        <v>7.5</v>
      </c>
      <c r="C22">
        <v>1.2</v>
      </c>
      <c r="D22">
        <v>24</v>
      </c>
      <c r="E22" s="303">
        <f t="shared" si="0"/>
        <v>7.4999999999999997E-2</v>
      </c>
      <c r="F22" s="301">
        <f t="shared" si="1"/>
        <v>1200000000</v>
      </c>
      <c r="G22" s="301">
        <f t="shared" si="2"/>
        <v>288000000</v>
      </c>
    </row>
    <row r="23" spans="1:7">
      <c r="A23" s="303" t="s">
        <v>225</v>
      </c>
      <c r="B23" s="303">
        <v>8.5</v>
      </c>
      <c r="C23">
        <v>1.2</v>
      </c>
      <c r="D23">
        <v>27</v>
      </c>
      <c r="E23" s="303">
        <f t="shared" si="0"/>
        <v>8.5000000000000006E-2</v>
      </c>
      <c r="F23" s="301">
        <f t="shared" si="1"/>
        <v>1200000000</v>
      </c>
      <c r="G23" s="301">
        <f t="shared" si="2"/>
        <v>324000000</v>
      </c>
    </row>
    <row r="24" spans="1:7">
      <c r="A24" s="303" t="s">
        <v>225</v>
      </c>
      <c r="B24" s="303">
        <v>9.5</v>
      </c>
      <c r="C24">
        <v>1.2</v>
      </c>
      <c r="D24">
        <v>22</v>
      </c>
      <c r="E24" s="303">
        <f t="shared" si="0"/>
        <v>9.5000000000000001E-2</v>
      </c>
      <c r="F24" s="301">
        <f t="shared" si="1"/>
        <v>1200000000</v>
      </c>
      <c r="G24" s="301">
        <f t="shared" si="2"/>
        <v>264000000</v>
      </c>
    </row>
    <row r="25" spans="1:7">
      <c r="A25" s="303" t="s">
        <v>225</v>
      </c>
      <c r="B25" s="303">
        <v>10.5</v>
      </c>
      <c r="C25">
        <v>1.1000000000000001</v>
      </c>
      <c r="D25">
        <v>17</v>
      </c>
      <c r="E25" s="303">
        <f t="shared" si="0"/>
        <v>0.105</v>
      </c>
      <c r="F25" s="301">
        <f t="shared" si="1"/>
        <v>1100000000</v>
      </c>
      <c r="G25" s="301">
        <f t="shared" si="2"/>
        <v>187000000</v>
      </c>
    </row>
    <row r="26" spans="1:7">
      <c r="A26" s="303" t="s">
        <v>225</v>
      </c>
      <c r="B26" s="303">
        <v>11.5</v>
      </c>
      <c r="C26">
        <v>1.2</v>
      </c>
      <c r="D26">
        <v>25</v>
      </c>
      <c r="E26" s="303">
        <f t="shared" si="0"/>
        <v>0.115</v>
      </c>
      <c r="F26" s="301">
        <f t="shared" si="1"/>
        <v>1200000000</v>
      </c>
      <c r="G26" s="301">
        <f t="shared" si="2"/>
        <v>300000000</v>
      </c>
    </row>
    <row r="27" spans="1:7">
      <c r="A27" t="s">
        <v>226</v>
      </c>
      <c r="B27" s="303">
        <v>0.5</v>
      </c>
      <c r="C27">
        <v>0.6</v>
      </c>
      <c r="D27">
        <v>63</v>
      </c>
      <c r="E27" s="303">
        <f t="shared" si="0"/>
        <v>5.0000000000000001E-3</v>
      </c>
      <c r="F27" s="301">
        <f t="shared" si="1"/>
        <v>600000000</v>
      </c>
      <c r="G27" s="301">
        <f t="shared" si="2"/>
        <v>378000000</v>
      </c>
    </row>
    <row r="28" spans="1:7">
      <c r="A28" s="303" t="s">
        <v>226</v>
      </c>
      <c r="B28" s="303">
        <v>1.5</v>
      </c>
      <c r="C28">
        <v>0.5</v>
      </c>
      <c r="D28">
        <v>51</v>
      </c>
      <c r="E28" s="303">
        <f t="shared" si="0"/>
        <v>1.4999999999999999E-2</v>
      </c>
      <c r="F28" s="301">
        <f t="shared" si="1"/>
        <v>500000000</v>
      </c>
      <c r="G28" s="301">
        <f t="shared" si="2"/>
        <v>255000000</v>
      </c>
    </row>
    <row r="29" spans="1:7">
      <c r="A29" s="303" t="s">
        <v>226</v>
      </c>
      <c r="B29" s="303">
        <v>2.5</v>
      </c>
      <c r="C29">
        <v>0.5</v>
      </c>
      <c r="D29">
        <v>65</v>
      </c>
      <c r="E29" s="303">
        <f t="shared" si="0"/>
        <v>2.5000000000000001E-2</v>
      </c>
      <c r="F29" s="301">
        <f t="shared" si="1"/>
        <v>500000000</v>
      </c>
      <c r="G29" s="301">
        <f t="shared" si="2"/>
        <v>325000000</v>
      </c>
    </row>
    <row r="30" spans="1:7">
      <c r="A30" s="303" t="s">
        <v>226</v>
      </c>
      <c r="B30" s="303">
        <v>3.5</v>
      </c>
      <c r="C30">
        <v>0.6</v>
      </c>
      <c r="D30">
        <v>55</v>
      </c>
      <c r="E30" s="303">
        <f t="shared" si="0"/>
        <v>3.5000000000000003E-2</v>
      </c>
      <c r="F30" s="301">
        <f t="shared" si="1"/>
        <v>600000000</v>
      </c>
      <c r="G30" s="301">
        <f t="shared" si="2"/>
        <v>330000000</v>
      </c>
    </row>
    <row r="31" spans="1:7">
      <c r="A31" s="303" t="s">
        <v>226</v>
      </c>
      <c r="B31" s="303">
        <v>4.5</v>
      </c>
      <c r="C31">
        <v>1</v>
      </c>
      <c r="D31">
        <v>51</v>
      </c>
      <c r="E31" s="303">
        <f t="shared" si="0"/>
        <v>4.4999999999999998E-2</v>
      </c>
      <c r="F31" s="301">
        <f t="shared" si="1"/>
        <v>1000000000</v>
      </c>
      <c r="G31" s="301">
        <f t="shared" si="2"/>
        <v>510000000</v>
      </c>
    </row>
    <row r="32" spans="1:7">
      <c r="A32" s="303" t="s">
        <v>226</v>
      </c>
      <c r="B32" s="303">
        <v>5.5</v>
      </c>
      <c r="C32">
        <v>1.1000000000000001</v>
      </c>
      <c r="D32">
        <v>42</v>
      </c>
      <c r="E32" s="303">
        <f t="shared" si="0"/>
        <v>5.5E-2</v>
      </c>
      <c r="F32" s="301">
        <f t="shared" si="1"/>
        <v>1100000000</v>
      </c>
      <c r="G32" s="301">
        <f t="shared" si="2"/>
        <v>462000000</v>
      </c>
    </row>
    <row r="33" spans="1:7">
      <c r="A33" s="303" t="s">
        <v>226</v>
      </c>
      <c r="B33" s="303">
        <v>6.5</v>
      </c>
      <c r="C33">
        <v>0.7</v>
      </c>
      <c r="D33">
        <v>61</v>
      </c>
      <c r="E33" s="303">
        <f t="shared" si="0"/>
        <v>6.5000000000000002E-2</v>
      </c>
      <c r="F33" s="301">
        <f t="shared" si="1"/>
        <v>700000000</v>
      </c>
      <c r="G33" s="301">
        <f t="shared" si="2"/>
        <v>427000000</v>
      </c>
    </row>
    <row r="34" spans="1:7">
      <c r="A34" s="303" t="s">
        <v>226</v>
      </c>
      <c r="B34" s="303">
        <v>7.5</v>
      </c>
      <c r="C34">
        <v>0.4</v>
      </c>
      <c r="D34">
        <v>63</v>
      </c>
      <c r="E34" s="303">
        <f t="shared" si="0"/>
        <v>7.4999999999999997E-2</v>
      </c>
      <c r="F34" s="301">
        <f t="shared" si="1"/>
        <v>400000000</v>
      </c>
      <c r="G34" s="301">
        <f t="shared" si="2"/>
        <v>252000000</v>
      </c>
    </row>
    <row r="35" spans="1:7">
      <c r="A35" s="303" t="s">
        <v>226</v>
      </c>
      <c r="B35" s="303">
        <v>8.5</v>
      </c>
      <c r="C35">
        <v>0.4</v>
      </c>
      <c r="D35">
        <v>24</v>
      </c>
      <c r="E35" s="303">
        <f t="shared" si="0"/>
        <v>8.5000000000000006E-2</v>
      </c>
      <c r="F35" s="301">
        <f t="shared" si="1"/>
        <v>400000000</v>
      </c>
      <c r="G35" s="301">
        <f t="shared" si="2"/>
        <v>96000000</v>
      </c>
    </row>
    <row r="36" spans="1:7">
      <c r="A36" s="303" t="s">
        <v>226</v>
      </c>
      <c r="B36" s="303">
        <v>9.5</v>
      </c>
      <c r="C36">
        <v>0.6</v>
      </c>
      <c r="D36">
        <v>14</v>
      </c>
      <c r="E36" s="303">
        <f t="shared" si="0"/>
        <v>9.5000000000000001E-2</v>
      </c>
      <c r="F36" s="301">
        <f t="shared" si="1"/>
        <v>600000000</v>
      </c>
      <c r="G36" s="301">
        <f t="shared" si="2"/>
        <v>84000000.000000015</v>
      </c>
    </row>
    <row r="37" spans="1:7">
      <c r="A37" s="303" t="s">
        <v>226</v>
      </c>
      <c r="B37" s="303">
        <v>10.5</v>
      </c>
      <c r="C37">
        <v>0.6</v>
      </c>
      <c r="D37">
        <v>14</v>
      </c>
      <c r="E37" s="303">
        <f t="shared" si="0"/>
        <v>0.105</v>
      </c>
      <c r="F37" s="301">
        <f t="shared" si="1"/>
        <v>600000000</v>
      </c>
      <c r="G37" s="301">
        <f t="shared" si="2"/>
        <v>84000000.000000015</v>
      </c>
    </row>
    <row r="38" spans="1:7">
      <c r="A38" s="303" t="s">
        <v>226</v>
      </c>
      <c r="B38" s="303">
        <v>11.5</v>
      </c>
      <c r="C38">
        <v>0.6</v>
      </c>
      <c r="D38">
        <v>11</v>
      </c>
      <c r="E38" s="303">
        <f t="shared" si="0"/>
        <v>0.115</v>
      </c>
      <c r="F38" s="301">
        <f t="shared" si="1"/>
        <v>600000000</v>
      </c>
      <c r="G38" s="301">
        <f t="shared" si="2"/>
        <v>66000000</v>
      </c>
    </row>
    <row r="39" spans="1:7">
      <c r="A39" t="s">
        <v>227</v>
      </c>
      <c r="B39" s="303">
        <v>0.5</v>
      </c>
      <c r="C39">
        <v>0.6</v>
      </c>
      <c r="D39">
        <v>56</v>
      </c>
      <c r="E39" s="303">
        <f t="shared" si="0"/>
        <v>5.0000000000000001E-3</v>
      </c>
      <c r="F39" s="301">
        <f t="shared" si="1"/>
        <v>600000000</v>
      </c>
      <c r="G39" s="301">
        <f t="shared" si="2"/>
        <v>336000000.00000006</v>
      </c>
    </row>
    <row r="40" spans="1:7">
      <c r="A40" t="s">
        <v>227</v>
      </c>
      <c r="B40" s="303">
        <v>1.5</v>
      </c>
      <c r="C40">
        <v>0.6</v>
      </c>
      <c r="D40">
        <v>52</v>
      </c>
      <c r="E40" s="303">
        <f t="shared" si="0"/>
        <v>1.4999999999999999E-2</v>
      </c>
      <c r="F40" s="301">
        <f t="shared" si="1"/>
        <v>600000000</v>
      </c>
      <c r="G40" s="301">
        <f t="shared" si="2"/>
        <v>312000000</v>
      </c>
    </row>
    <row r="41" spans="1:7">
      <c r="A41" s="303" t="s">
        <v>227</v>
      </c>
      <c r="B41" s="303">
        <v>2.5</v>
      </c>
      <c r="C41">
        <v>0.6</v>
      </c>
      <c r="D41">
        <v>45</v>
      </c>
      <c r="E41" s="303">
        <f t="shared" si="0"/>
        <v>2.5000000000000001E-2</v>
      </c>
      <c r="F41" s="301">
        <f t="shared" si="1"/>
        <v>600000000</v>
      </c>
      <c r="G41" s="301">
        <f t="shared" si="2"/>
        <v>270000000</v>
      </c>
    </row>
    <row r="42" spans="1:7">
      <c r="A42" s="303" t="s">
        <v>227</v>
      </c>
      <c r="B42" s="303">
        <v>3.5</v>
      </c>
      <c r="C42">
        <v>1</v>
      </c>
      <c r="D42">
        <v>57</v>
      </c>
      <c r="E42" s="303">
        <f t="shared" si="0"/>
        <v>3.5000000000000003E-2</v>
      </c>
      <c r="F42" s="301">
        <f t="shared" si="1"/>
        <v>1000000000</v>
      </c>
      <c r="G42" s="301">
        <f t="shared" si="2"/>
        <v>570000000</v>
      </c>
    </row>
    <row r="43" spans="1:7">
      <c r="A43" s="303" t="s">
        <v>227</v>
      </c>
      <c r="B43" s="303">
        <v>4.5</v>
      </c>
      <c r="C43">
        <v>1</v>
      </c>
      <c r="D43">
        <v>46</v>
      </c>
      <c r="E43" s="303">
        <f t="shared" si="0"/>
        <v>4.4999999999999998E-2</v>
      </c>
      <c r="F43" s="301">
        <f t="shared" si="1"/>
        <v>1000000000</v>
      </c>
      <c r="G43" s="301">
        <f t="shared" si="2"/>
        <v>460000000</v>
      </c>
    </row>
    <row r="44" spans="1:7">
      <c r="A44" s="303" t="s">
        <v>227</v>
      </c>
      <c r="B44" s="303">
        <v>5.5</v>
      </c>
      <c r="C44">
        <v>0.9</v>
      </c>
      <c r="D44">
        <v>51</v>
      </c>
      <c r="E44" s="303">
        <f t="shared" si="0"/>
        <v>5.5E-2</v>
      </c>
      <c r="F44" s="301">
        <f t="shared" si="1"/>
        <v>900000000</v>
      </c>
      <c r="G44" s="301">
        <f t="shared" si="2"/>
        <v>459000000</v>
      </c>
    </row>
    <row r="45" spans="1:7">
      <c r="A45" s="303" t="s">
        <v>227</v>
      </c>
      <c r="B45" s="303">
        <v>6.5</v>
      </c>
      <c r="C45">
        <v>0.5</v>
      </c>
      <c r="D45">
        <v>56</v>
      </c>
      <c r="E45" s="303">
        <f t="shared" si="0"/>
        <v>6.5000000000000002E-2</v>
      </c>
      <c r="F45" s="301">
        <f t="shared" si="1"/>
        <v>500000000</v>
      </c>
      <c r="G45" s="301">
        <f t="shared" si="2"/>
        <v>280000000</v>
      </c>
    </row>
    <row r="46" spans="1:7">
      <c r="A46" s="303" t="s">
        <v>227</v>
      </c>
      <c r="B46" s="303">
        <v>7.5</v>
      </c>
      <c r="C46">
        <v>0.5</v>
      </c>
      <c r="D46">
        <v>49</v>
      </c>
      <c r="E46" s="303">
        <f t="shared" si="0"/>
        <v>7.4999999999999997E-2</v>
      </c>
      <c r="F46" s="301">
        <f t="shared" si="1"/>
        <v>500000000</v>
      </c>
      <c r="G46" s="301">
        <f t="shared" si="2"/>
        <v>245000000</v>
      </c>
    </row>
    <row r="47" spans="1:7">
      <c r="A47" s="303" t="s">
        <v>227</v>
      </c>
      <c r="B47" s="303">
        <v>8.5</v>
      </c>
      <c r="C47">
        <v>0.6</v>
      </c>
      <c r="D47">
        <v>58</v>
      </c>
      <c r="E47" s="303">
        <f t="shared" si="0"/>
        <v>8.5000000000000006E-2</v>
      </c>
      <c r="F47" s="301">
        <f t="shared" si="1"/>
        <v>600000000</v>
      </c>
      <c r="G47" s="301">
        <f t="shared" si="2"/>
        <v>348000000</v>
      </c>
    </row>
    <row r="48" spans="1:7">
      <c r="A48" s="303" t="s">
        <v>227</v>
      </c>
      <c r="B48" s="303">
        <v>9.5</v>
      </c>
      <c r="C48">
        <v>0.5</v>
      </c>
      <c r="D48">
        <v>57</v>
      </c>
      <c r="E48" s="303">
        <f t="shared" si="0"/>
        <v>9.5000000000000001E-2</v>
      </c>
      <c r="F48" s="301">
        <f t="shared" si="1"/>
        <v>500000000</v>
      </c>
      <c r="G48" s="301">
        <f t="shared" si="2"/>
        <v>285000000</v>
      </c>
    </row>
    <row r="49" spans="1:7">
      <c r="A49" s="303" t="s">
        <v>227</v>
      </c>
      <c r="B49" s="303">
        <v>10.5</v>
      </c>
      <c r="C49">
        <v>0.5</v>
      </c>
      <c r="D49">
        <v>45</v>
      </c>
      <c r="E49" s="303">
        <f t="shared" si="0"/>
        <v>0.105</v>
      </c>
      <c r="F49" s="301">
        <f t="shared" si="1"/>
        <v>500000000</v>
      </c>
      <c r="G49" s="301">
        <f t="shared" si="2"/>
        <v>225000000</v>
      </c>
    </row>
    <row r="50" spans="1:7">
      <c r="A50" s="303" t="s">
        <v>227</v>
      </c>
      <c r="B50" s="303">
        <v>11.5</v>
      </c>
      <c r="C50">
        <v>0.5</v>
      </c>
      <c r="D50">
        <v>56</v>
      </c>
      <c r="E50" s="303">
        <f t="shared" si="0"/>
        <v>0.115</v>
      </c>
      <c r="F50" s="301">
        <f t="shared" si="1"/>
        <v>500000000</v>
      </c>
      <c r="G50" s="301">
        <f t="shared" si="2"/>
        <v>280000000</v>
      </c>
    </row>
    <row r="51" spans="1:7">
      <c r="A51" t="s">
        <v>228</v>
      </c>
      <c r="B51" s="303">
        <v>0.5</v>
      </c>
      <c r="C51">
        <v>2</v>
      </c>
      <c r="D51">
        <v>83</v>
      </c>
      <c r="E51" s="303">
        <f t="shared" si="0"/>
        <v>5.0000000000000001E-3</v>
      </c>
      <c r="F51" s="301">
        <f t="shared" si="1"/>
        <v>2000000000</v>
      </c>
      <c r="G51" s="301">
        <f t="shared" si="2"/>
        <v>1660000000</v>
      </c>
    </row>
    <row r="52" spans="1:7">
      <c r="A52" s="303" t="s">
        <v>228</v>
      </c>
      <c r="B52" s="303">
        <v>1.5</v>
      </c>
      <c r="C52">
        <v>1.4</v>
      </c>
      <c r="D52">
        <v>85</v>
      </c>
      <c r="E52" s="303">
        <f t="shared" si="0"/>
        <v>1.4999999999999999E-2</v>
      </c>
      <c r="F52" s="301">
        <f t="shared" si="1"/>
        <v>1400000000</v>
      </c>
      <c r="G52" s="301">
        <f t="shared" si="2"/>
        <v>1190000000</v>
      </c>
    </row>
    <row r="53" spans="1:7">
      <c r="A53" s="303" t="s">
        <v>228</v>
      </c>
      <c r="B53" s="303">
        <v>2.5</v>
      </c>
      <c r="C53">
        <v>3.3</v>
      </c>
      <c r="D53">
        <v>65</v>
      </c>
      <c r="E53" s="303">
        <f t="shared" si="0"/>
        <v>2.5000000000000001E-2</v>
      </c>
      <c r="F53" s="301">
        <f t="shared" si="1"/>
        <v>3300000000</v>
      </c>
      <c r="G53" s="301">
        <f t="shared" si="2"/>
        <v>2145000000</v>
      </c>
    </row>
    <row r="54" spans="1:7">
      <c r="A54" s="303" t="s">
        <v>228</v>
      </c>
      <c r="B54" s="303">
        <v>3.5</v>
      </c>
      <c r="C54">
        <v>1.6</v>
      </c>
      <c r="D54">
        <v>81</v>
      </c>
      <c r="E54" s="303">
        <f t="shared" si="0"/>
        <v>3.5000000000000003E-2</v>
      </c>
      <c r="F54" s="301">
        <f t="shared" si="1"/>
        <v>1600000000</v>
      </c>
      <c r="G54" s="301">
        <f t="shared" si="2"/>
        <v>1296000000</v>
      </c>
    </row>
    <row r="55" spans="1:7">
      <c r="A55" s="303" t="s">
        <v>228</v>
      </c>
      <c r="B55" s="303">
        <v>4.5</v>
      </c>
      <c r="C55">
        <v>2</v>
      </c>
      <c r="D55">
        <v>70</v>
      </c>
      <c r="E55" s="303">
        <f t="shared" si="0"/>
        <v>4.4999999999999998E-2</v>
      </c>
      <c r="F55" s="301">
        <f t="shared" si="1"/>
        <v>2000000000</v>
      </c>
      <c r="G55" s="301">
        <f t="shared" si="2"/>
        <v>1400000000</v>
      </c>
    </row>
    <row r="56" spans="1:7">
      <c r="A56" s="303" t="s">
        <v>228</v>
      </c>
      <c r="B56" s="303">
        <v>5.5</v>
      </c>
      <c r="C56">
        <v>1.8</v>
      </c>
      <c r="D56">
        <v>63</v>
      </c>
      <c r="E56" s="303">
        <f t="shared" si="0"/>
        <v>5.5E-2</v>
      </c>
      <c r="F56" s="301">
        <f t="shared" si="1"/>
        <v>1800000000</v>
      </c>
      <c r="G56" s="301">
        <f t="shared" si="2"/>
        <v>1134000000</v>
      </c>
    </row>
    <row r="57" spans="1:7">
      <c r="A57" s="303" t="s">
        <v>228</v>
      </c>
      <c r="B57" s="303">
        <v>7.5</v>
      </c>
      <c r="C57">
        <v>1</v>
      </c>
      <c r="D57">
        <v>62</v>
      </c>
      <c r="E57" s="303">
        <f t="shared" si="0"/>
        <v>7.4999999999999997E-2</v>
      </c>
      <c r="F57" s="301">
        <f t="shared" si="1"/>
        <v>1000000000</v>
      </c>
      <c r="G57" s="301">
        <f t="shared" si="2"/>
        <v>620000000</v>
      </c>
    </row>
    <row r="58" spans="1:7">
      <c r="A58" s="303" t="s">
        <v>228</v>
      </c>
      <c r="B58" s="303">
        <v>8.5</v>
      </c>
      <c r="C58">
        <v>1.2</v>
      </c>
      <c r="D58">
        <v>65</v>
      </c>
      <c r="E58" s="303">
        <f t="shared" si="0"/>
        <v>8.5000000000000006E-2</v>
      </c>
      <c r="F58" s="301">
        <f t="shared" si="1"/>
        <v>1200000000</v>
      </c>
      <c r="G58" s="301">
        <f t="shared" si="2"/>
        <v>780000000</v>
      </c>
    </row>
    <row r="59" spans="1:7">
      <c r="A59" s="303" t="s">
        <v>228</v>
      </c>
      <c r="B59" s="303">
        <v>9.5</v>
      </c>
      <c r="C59">
        <v>1.2</v>
      </c>
      <c r="D59">
        <v>74</v>
      </c>
      <c r="E59" s="303">
        <f t="shared" si="0"/>
        <v>9.5000000000000001E-2</v>
      </c>
      <c r="F59" s="301">
        <f t="shared" si="1"/>
        <v>1200000000</v>
      </c>
      <c r="G59" s="301">
        <f t="shared" si="2"/>
        <v>888000000</v>
      </c>
    </row>
    <row r="60" spans="1:7">
      <c r="A60" s="303" t="s">
        <v>228</v>
      </c>
      <c r="B60" s="303">
        <v>10.5</v>
      </c>
      <c r="C60">
        <v>1.6</v>
      </c>
      <c r="D60">
        <v>76</v>
      </c>
      <c r="E60" s="303">
        <f t="shared" si="0"/>
        <v>0.105</v>
      </c>
      <c r="F60" s="301">
        <f t="shared" si="1"/>
        <v>1600000000</v>
      </c>
      <c r="G60" s="301">
        <f t="shared" si="2"/>
        <v>1216000000</v>
      </c>
    </row>
    <row r="61" spans="1:7">
      <c r="A61" s="303" t="s">
        <v>228</v>
      </c>
      <c r="B61" s="303">
        <v>11.5</v>
      </c>
      <c r="C61">
        <v>0.7</v>
      </c>
      <c r="D61">
        <v>73</v>
      </c>
      <c r="E61" s="303">
        <f t="shared" si="0"/>
        <v>0.115</v>
      </c>
      <c r="F61" s="301">
        <f t="shared" si="1"/>
        <v>700000000</v>
      </c>
      <c r="G61" s="301">
        <f t="shared" si="2"/>
        <v>511000000</v>
      </c>
    </row>
    <row r="62" spans="1:7">
      <c r="A62" t="s">
        <v>229</v>
      </c>
      <c r="B62" s="303">
        <v>0.5</v>
      </c>
      <c r="C62">
        <v>1.3</v>
      </c>
      <c r="D62">
        <v>79</v>
      </c>
      <c r="E62" s="303">
        <f t="shared" si="0"/>
        <v>5.0000000000000001E-3</v>
      </c>
      <c r="F62" s="301">
        <f t="shared" si="1"/>
        <v>1300000000</v>
      </c>
      <c r="G62" s="301">
        <f t="shared" si="2"/>
        <v>1027000000</v>
      </c>
    </row>
    <row r="63" spans="1:7">
      <c r="A63" t="s">
        <v>229</v>
      </c>
      <c r="B63" s="303">
        <v>1.5</v>
      </c>
      <c r="C63">
        <v>1.1000000000000001</v>
      </c>
      <c r="D63">
        <v>87</v>
      </c>
      <c r="E63" s="303">
        <f t="shared" si="0"/>
        <v>1.4999999999999999E-2</v>
      </c>
      <c r="F63" s="301">
        <f t="shared" si="1"/>
        <v>1100000000</v>
      </c>
      <c r="G63" s="301">
        <f t="shared" si="2"/>
        <v>957000000</v>
      </c>
    </row>
    <row r="64" spans="1:7">
      <c r="A64" s="303" t="s">
        <v>229</v>
      </c>
      <c r="B64" s="303">
        <v>2.5</v>
      </c>
      <c r="C64">
        <v>1.6</v>
      </c>
      <c r="D64">
        <v>65</v>
      </c>
      <c r="E64" s="303">
        <f t="shared" si="0"/>
        <v>2.5000000000000001E-2</v>
      </c>
      <c r="F64" s="301">
        <f t="shared" si="1"/>
        <v>1600000000</v>
      </c>
      <c r="G64" s="301">
        <f t="shared" si="2"/>
        <v>1040000000</v>
      </c>
    </row>
    <row r="65" spans="1:7">
      <c r="A65" s="303" t="s">
        <v>229</v>
      </c>
      <c r="B65" s="303">
        <v>3.5</v>
      </c>
      <c r="C65">
        <v>1.1000000000000001</v>
      </c>
      <c r="D65">
        <v>72</v>
      </c>
      <c r="E65" s="303">
        <f t="shared" si="0"/>
        <v>3.5000000000000003E-2</v>
      </c>
      <c r="F65" s="301">
        <f t="shared" si="1"/>
        <v>1100000000</v>
      </c>
      <c r="G65" s="301">
        <f t="shared" si="2"/>
        <v>792000000</v>
      </c>
    </row>
    <row r="66" spans="1:7">
      <c r="A66" s="303" t="s">
        <v>229</v>
      </c>
      <c r="B66" s="303">
        <v>4.5</v>
      </c>
      <c r="C66">
        <v>1.9</v>
      </c>
      <c r="D66">
        <v>76</v>
      </c>
      <c r="E66" s="303">
        <f t="shared" si="0"/>
        <v>4.4999999999999998E-2</v>
      </c>
      <c r="F66" s="301">
        <f t="shared" si="1"/>
        <v>1900000000</v>
      </c>
      <c r="G66" s="301">
        <f t="shared" si="2"/>
        <v>1444000000</v>
      </c>
    </row>
    <row r="67" spans="1:7">
      <c r="A67" s="303" t="s">
        <v>229</v>
      </c>
      <c r="B67" s="303">
        <v>5.5</v>
      </c>
      <c r="C67">
        <v>1.7</v>
      </c>
      <c r="D67">
        <v>69</v>
      </c>
      <c r="E67" s="303">
        <f t="shared" ref="E67:E73" si="3">B67*0.01</f>
        <v>5.5E-2</v>
      </c>
      <c r="F67" s="301">
        <f t="shared" ref="F67:F73" si="4">C67*10^9</f>
        <v>1700000000</v>
      </c>
      <c r="G67" s="301">
        <f t="shared" ref="G67:G73" si="5">F67*(D67/100)</f>
        <v>1173000000</v>
      </c>
    </row>
    <row r="68" spans="1:7">
      <c r="A68" s="303" t="s">
        <v>229</v>
      </c>
      <c r="B68" s="303">
        <v>6.5</v>
      </c>
      <c r="C68">
        <v>1.1000000000000001</v>
      </c>
      <c r="D68">
        <v>80</v>
      </c>
      <c r="E68" s="303">
        <f t="shared" si="3"/>
        <v>6.5000000000000002E-2</v>
      </c>
      <c r="F68" s="301">
        <f t="shared" si="4"/>
        <v>1100000000</v>
      </c>
      <c r="G68" s="301">
        <f t="shared" si="5"/>
        <v>880000000</v>
      </c>
    </row>
    <row r="69" spans="1:7">
      <c r="A69" s="303" t="s">
        <v>229</v>
      </c>
      <c r="B69" s="303">
        <v>7.5</v>
      </c>
      <c r="C69">
        <v>0.9</v>
      </c>
      <c r="D69">
        <v>58</v>
      </c>
      <c r="E69" s="303">
        <f t="shared" si="3"/>
        <v>7.4999999999999997E-2</v>
      </c>
      <c r="F69" s="301">
        <f t="shared" si="4"/>
        <v>900000000</v>
      </c>
      <c r="G69" s="301">
        <f t="shared" si="5"/>
        <v>521999999.99999994</v>
      </c>
    </row>
    <row r="70" spans="1:7">
      <c r="A70" s="303" t="s">
        <v>229</v>
      </c>
      <c r="B70" s="303">
        <v>8.5</v>
      </c>
      <c r="C70">
        <v>1.2</v>
      </c>
      <c r="D70">
        <v>76</v>
      </c>
      <c r="E70" s="303">
        <f t="shared" si="3"/>
        <v>8.5000000000000006E-2</v>
      </c>
      <c r="F70" s="301">
        <f t="shared" si="4"/>
        <v>1200000000</v>
      </c>
      <c r="G70" s="301">
        <f t="shared" si="5"/>
        <v>912000000</v>
      </c>
    </row>
    <row r="71" spans="1:7">
      <c r="A71" s="303" t="s">
        <v>229</v>
      </c>
      <c r="B71" s="303">
        <v>9.5</v>
      </c>
      <c r="C71">
        <v>1.3</v>
      </c>
      <c r="D71">
        <v>66</v>
      </c>
      <c r="E71" s="303">
        <f t="shared" si="3"/>
        <v>9.5000000000000001E-2</v>
      </c>
      <c r="F71" s="301">
        <f t="shared" si="4"/>
        <v>1300000000</v>
      </c>
      <c r="G71" s="301">
        <f t="shared" si="5"/>
        <v>858000000</v>
      </c>
    </row>
    <row r="72" spans="1:7">
      <c r="A72" s="303" t="s">
        <v>229</v>
      </c>
      <c r="B72" s="303">
        <v>10.5</v>
      </c>
      <c r="C72">
        <v>1.5</v>
      </c>
      <c r="D72">
        <v>72</v>
      </c>
      <c r="E72" s="303">
        <f t="shared" si="3"/>
        <v>0.105</v>
      </c>
      <c r="F72" s="301">
        <f t="shared" si="4"/>
        <v>1500000000</v>
      </c>
      <c r="G72" s="301">
        <f t="shared" si="5"/>
        <v>1080000000</v>
      </c>
    </row>
    <row r="73" spans="1:7">
      <c r="A73" s="303" t="s">
        <v>229</v>
      </c>
      <c r="B73" s="303">
        <v>11.5</v>
      </c>
      <c r="C73">
        <v>1.6</v>
      </c>
      <c r="D73">
        <v>78</v>
      </c>
      <c r="E73" s="303">
        <f t="shared" si="3"/>
        <v>0.115</v>
      </c>
      <c r="F73" s="301">
        <f t="shared" si="4"/>
        <v>1600000000</v>
      </c>
      <c r="G73" s="301">
        <f t="shared" si="5"/>
        <v>1248000000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I8" sqref="I8"/>
    </sheetView>
  </sheetViews>
  <sheetFormatPr baseColWidth="10" defaultRowHeight="13" x14ac:dyDescent="0"/>
  <cols>
    <col min="1" max="1" width="10.7109375" style="127"/>
    <col min="3" max="4" width="10.7109375" style="127"/>
    <col min="6" max="6" width="10.7109375" style="127"/>
    <col min="7" max="7" width="10.7109375" style="250"/>
    <col min="10" max="10" width="10.7109375" style="250"/>
  </cols>
  <sheetData>
    <row r="1" spans="1:12">
      <c r="B1" s="127" t="s">
        <v>935</v>
      </c>
      <c r="D1" s="127" t="s">
        <v>870</v>
      </c>
    </row>
    <row r="2" spans="1:12">
      <c r="B2" s="127" t="s">
        <v>936</v>
      </c>
    </row>
    <row r="3" spans="1:12">
      <c r="A3" s="250" t="s">
        <v>1390</v>
      </c>
      <c r="E3" s="127" t="s">
        <v>937</v>
      </c>
      <c r="H3" s="127" t="s">
        <v>939</v>
      </c>
    </row>
    <row r="4" spans="1:12" s="43" customFormat="1" ht="39">
      <c r="A4" s="43" t="s">
        <v>940</v>
      </c>
      <c r="B4" s="43" t="s">
        <v>932</v>
      </c>
      <c r="C4" s="43" t="s">
        <v>983</v>
      </c>
      <c r="D4" s="51" t="s">
        <v>933</v>
      </c>
      <c r="E4" s="43" t="s">
        <v>938</v>
      </c>
      <c r="F4" s="51" t="s">
        <v>1092</v>
      </c>
      <c r="G4" s="51" t="s">
        <v>1386</v>
      </c>
      <c r="H4" s="43" t="s">
        <v>981</v>
      </c>
      <c r="I4" s="51" t="s">
        <v>845</v>
      </c>
      <c r="J4" s="51" t="s">
        <v>1387</v>
      </c>
      <c r="K4" s="279" t="s">
        <v>846</v>
      </c>
      <c r="L4" s="43" t="s">
        <v>448</v>
      </c>
    </row>
    <row r="5" spans="1:12">
      <c r="A5" s="127">
        <v>0</v>
      </c>
      <c r="B5">
        <v>0</v>
      </c>
      <c r="C5" s="127">
        <f t="shared" ref="C5:C10" si="0">(25*B5)/12.2</f>
        <v>0</v>
      </c>
      <c r="D5" s="144">
        <f t="shared" ref="D5:D10" si="1">C5/100</f>
        <v>0</v>
      </c>
      <c r="E5">
        <v>7.25</v>
      </c>
      <c r="F5" s="144">
        <f t="shared" ref="F5:F10" si="2">5000000*EXP(0.6453*E5)</f>
        <v>538002341.52760136</v>
      </c>
      <c r="G5" s="221">
        <f t="shared" ref="G5:G10" si="3">F5*1.3</f>
        <v>699403043.98588181</v>
      </c>
      <c r="H5">
        <v>8.8000000000000007</v>
      </c>
      <c r="I5" s="144">
        <f t="shared" ref="I5:I10" si="4">5000000*EXP(0.6453*H5)</f>
        <v>1462756447.4735684</v>
      </c>
      <c r="J5" s="221">
        <f t="shared" ref="J5:J10" si="5">1.3*I5</f>
        <v>1901583381.7156391</v>
      </c>
      <c r="K5" s="197">
        <f t="shared" ref="K5:K10" si="6">I5-F5</f>
        <v>924754105.94596708</v>
      </c>
      <c r="L5">
        <v>28.2</v>
      </c>
    </row>
    <row r="6" spans="1:12">
      <c r="A6" s="127">
        <v>5</v>
      </c>
      <c r="B6">
        <v>2.4</v>
      </c>
      <c r="C6" s="127">
        <f t="shared" si="0"/>
        <v>4.918032786885246</v>
      </c>
      <c r="D6" s="144">
        <f t="shared" si="1"/>
        <v>4.9180327868852458E-2</v>
      </c>
      <c r="E6">
        <v>7.6</v>
      </c>
      <c r="F6" s="144">
        <f t="shared" si="2"/>
        <v>674328858.42798853</v>
      </c>
      <c r="G6" s="221">
        <f t="shared" si="3"/>
        <v>876627515.95638514</v>
      </c>
      <c r="H6">
        <v>9.6999999999999993</v>
      </c>
      <c r="I6" s="144">
        <f t="shared" si="4"/>
        <v>2614551659.9084301</v>
      </c>
      <c r="J6" s="221">
        <f t="shared" si="5"/>
        <v>3398917157.880959</v>
      </c>
      <c r="K6" s="197">
        <f t="shared" si="6"/>
        <v>1940222801.4804416</v>
      </c>
    </row>
    <row r="7" spans="1:12">
      <c r="A7" s="127">
        <v>10</v>
      </c>
      <c r="B7">
        <v>4.9000000000000004</v>
      </c>
      <c r="C7" s="127">
        <f t="shared" si="0"/>
        <v>10.040983606557379</v>
      </c>
      <c r="D7" s="144">
        <f t="shared" si="1"/>
        <v>0.1004098360655738</v>
      </c>
      <c r="E7">
        <v>7.8</v>
      </c>
      <c r="F7" s="144">
        <f t="shared" si="2"/>
        <v>767223314.69138145</v>
      </c>
      <c r="G7" s="221">
        <f t="shared" si="3"/>
        <v>997390309.09879589</v>
      </c>
      <c r="H7">
        <v>9.75</v>
      </c>
      <c r="I7" s="144">
        <f t="shared" si="4"/>
        <v>2700285838.3217535</v>
      </c>
      <c r="J7" s="221">
        <f t="shared" si="5"/>
        <v>3510371589.8182797</v>
      </c>
      <c r="K7" s="197">
        <f t="shared" si="6"/>
        <v>1933062523.630372</v>
      </c>
    </row>
    <row r="8" spans="1:12">
      <c r="A8" s="127">
        <v>15</v>
      </c>
      <c r="B8">
        <v>7.3</v>
      </c>
      <c r="C8" s="127">
        <f t="shared" si="0"/>
        <v>14.959016393442624</v>
      </c>
      <c r="D8" s="144">
        <f t="shared" si="1"/>
        <v>0.14959016393442626</v>
      </c>
      <c r="E8">
        <v>8.1999999999999993</v>
      </c>
      <c r="F8" s="144">
        <f t="shared" si="2"/>
        <v>993166091.53908908</v>
      </c>
      <c r="G8" s="221">
        <f t="shared" si="3"/>
        <v>1291115919.0008159</v>
      </c>
      <c r="H8">
        <v>10.3</v>
      </c>
      <c r="I8" s="144">
        <f t="shared" si="4"/>
        <v>3850768094.4454155</v>
      </c>
      <c r="J8" s="221">
        <f t="shared" si="5"/>
        <v>5005998522.7790403</v>
      </c>
      <c r="K8" s="197">
        <f t="shared" si="6"/>
        <v>2857602002.9063263</v>
      </c>
    </row>
    <row r="9" spans="1:12">
      <c r="A9" s="127">
        <v>20</v>
      </c>
      <c r="B9">
        <v>9.6999999999999993</v>
      </c>
      <c r="C9" s="127">
        <f t="shared" si="0"/>
        <v>19.877049180327866</v>
      </c>
      <c r="D9" s="144">
        <f t="shared" si="1"/>
        <v>0.19877049180327866</v>
      </c>
      <c r="E9">
        <v>10</v>
      </c>
      <c r="F9" s="144">
        <f t="shared" si="2"/>
        <v>3173016248.5015221</v>
      </c>
      <c r="G9" s="221">
        <f t="shared" si="3"/>
        <v>4124921123.0519786</v>
      </c>
      <c r="H9">
        <v>11.5</v>
      </c>
      <c r="I9" s="144">
        <f t="shared" si="4"/>
        <v>8353099214.8351707</v>
      </c>
      <c r="J9" s="221">
        <f t="shared" si="5"/>
        <v>10859028979.285723</v>
      </c>
      <c r="K9" s="197">
        <f t="shared" si="6"/>
        <v>5180082966.3336487</v>
      </c>
    </row>
    <row r="10" spans="1:12">
      <c r="A10" s="127">
        <v>25</v>
      </c>
      <c r="B10">
        <v>12.15</v>
      </c>
      <c r="C10" s="127">
        <f t="shared" si="0"/>
        <v>24.897540983606557</v>
      </c>
      <c r="D10" s="144">
        <f t="shared" si="1"/>
        <v>0.24897540983606559</v>
      </c>
      <c r="E10">
        <v>9.85</v>
      </c>
      <c r="F10" s="144">
        <f t="shared" si="2"/>
        <v>2880280350.8401875</v>
      </c>
      <c r="G10" s="221">
        <f t="shared" si="3"/>
        <v>3744364456.0922441</v>
      </c>
      <c r="H10">
        <v>11.6</v>
      </c>
      <c r="I10" s="144">
        <f t="shared" si="4"/>
        <v>8909896573.0462685</v>
      </c>
      <c r="J10" s="221">
        <f t="shared" si="5"/>
        <v>11582865544.96015</v>
      </c>
      <c r="K10" s="197">
        <f t="shared" si="6"/>
        <v>6029616222.2060814</v>
      </c>
      <c r="L10">
        <v>20.2</v>
      </c>
    </row>
    <row r="11" spans="1:12">
      <c r="I11" s="143"/>
      <c r="J11" s="247"/>
      <c r="K11" s="143"/>
    </row>
    <row r="14" spans="1:12">
      <c r="A14" s="127">
        <v>1.1000000000000001</v>
      </c>
      <c r="B14" s="129">
        <v>10000000</v>
      </c>
      <c r="F14" s="143"/>
      <c r="G14" s="247"/>
    </row>
    <row r="15" spans="1:12">
      <c r="A15" s="127">
        <v>4.8</v>
      </c>
      <c r="B15" s="129">
        <v>100000000</v>
      </c>
    </row>
    <row r="16" spans="1:12">
      <c r="A16" s="127">
        <v>8.5</v>
      </c>
      <c r="B16" s="129">
        <v>1000000000</v>
      </c>
    </row>
    <row r="17" spans="1:2">
      <c r="A17" s="127">
        <v>11.75</v>
      </c>
      <c r="B17" s="129">
        <v>10000000000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activeCell="D12" sqref="D12"/>
    </sheetView>
  </sheetViews>
  <sheetFormatPr baseColWidth="10" defaultRowHeight="13" x14ac:dyDescent="0"/>
  <cols>
    <col min="2" max="2" width="10.7109375" style="126"/>
    <col min="4" max="4" width="10.7109375" style="139"/>
    <col min="5" max="5" width="10.7109375" style="247"/>
    <col min="7" max="8" width="10.7109375" style="139"/>
    <col min="9" max="9" width="10.7109375" style="282"/>
    <col min="10" max="10" width="10.7109375" style="30"/>
    <col min="14" max="14" width="10.7109375" style="127"/>
    <col min="15" max="15" width="10.7109375" style="250"/>
    <col min="17" max="17" width="10.7109375" style="127"/>
    <col min="18" max="18" width="10.7109375" style="250"/>
    <col min="21" max="21" width="10.7109375" style="127"/>
  </cols>
  <sheetData>
    <row r="1" spans="1:25">
      <c r="A1" s="126" t="s">
        <v>792</v>
      </c>
      <c r="C1" s="127" t="s">
        <v>870</v>
      </c>
    </row>
    <row r="2" spans="1:25">
      <c r="A2" s="126" t="s">
        <v>906</v>
      </c>
      <c r="C2" t="s">
        <v>452</v>
      </c>
    </row>
    <row r="4" spans="1:25">
      <c r="A4" s="128" t="s">
        <v>1030</v>
      </c>
      <c r="B4" s="128"/>
      <c r="C4" s="128" t="s">
        <v>758</v>
      </c>
      <c r="D4" s="140"/>
      <c r="E4" s="140"/>
      <c r="F4" s="128" t="s">
        <v>796</v>
      </c>
      <c r="K4" s="128" t="s">
        <v>765</v>
      </c>
      <c r="L4" s="128"/>
      <c r="M4" s="128" t="s">
        <v>758</v>
      </c>
      <c r="N4" s="128"/>
      <c r="O4" s="128"/>
      <c r="P4" s="128" t="s">
        <v>796</v>
      </c>
      <c r="Q4" s="128"/>
      <c r="R4" s="128"/>
      <c r="V4" s="128" t="s">
        <v>775</v>
      </c>
      <c r="W4" s="128"/>
      <c r="X4" s="128" t="s">
        <v>793</v>
      </c>
      <c r="Y4" s="128" t="s">
        <v>794</v>
      </c>
    </row>
    <row r="5" spans="1:25" s="43" customFormat="1" ht="65">
      <c r="A5" s="294" t="s">
        <v>451</v>
      </c>
      <c r="B5" s="266" t="s">
        <v>764</v>
      </c>
      <c r="C5" s="265" t="s">
        <v>761</v>
      </c>
      <c r="D5" s="268" t="s">
        <v>1035</v>
      </c>
      <c r="E5" s="268" t="s">
        <v>1369</v>
      </c>
      <c r="F5" s="265" t="s">
        <v>762</v>
      </c>
      <c r="G5" s="268" t="s">
        <v>1370</v>
      </c>
      <c r="H5" s="280" t="s">
        <v>871</v>
      </c>
      <c r="I5" s="295" t="s">
        <v>439</v>
      </c>
      <c r="J5" s="281"/>
      <c r="K5" s="265" t="s">
        <v>763</v>
      </c>
      <c r="L5" s="266" t="s">
        <v>764</v>
      </c>
      <c r="M5" s="265" t="s">
        <v>761</v>
      </c>
      <c r="N5" s="266" t="s">
        <v>918</v>
      </c>
      <c r="O5" s="266" t="s">
        <v>1369</v>
      </c>
      <c r="P5" s="265" t="s">
        <v>762</v>
      </c>
      <c r="Q5" s="266" t="s">
        <v>770</v>
      </c>
      <c r="R5" s="266" t="s">
        <v>1385</v>
      </c>
      <c r="S5" s="266" t="s">
        <v>946</v>
      </c>
      <c r="T5" s="43" t="s">
        <v>439</v>
      </c>
      <c r="V5" s="265" t="s">
        <v>965</v>
      </c>
      <c r="W5" s="266" t="s">
        <v>1013</v>
      </c>
      <c r="X5" s="265" t="s">
        <v>779</v>
      </c>
      <c r="Y5" s="265" t="s">
        <v>795</v>
      </c>
    </row>
    <row r="6" spans="1:25">
      <c r="A6">
        <v>0.1</v>
      </c>
      <c r="B6" s="32">
        <f>(400*A6)/10.9</f>
        <v>3.6697247706422016</v>
      </c>
      <c r="C6">
        <v>5.85</v>
      </c>
      <c r="D6" s="141">
        <f>107.75*EXP(2.0171*C6)</f>
        <v>14358443.566611338</v>
      </c>
      <c r="E6" s="221">
        <f>D6*1.3</f>
        <v>18665976.636594739</v>
      </c>
      <c r="F6">
        <v>6.4</v>
      </c>
      <c r="G6" s="141">
        <f>107.75*EXP(2.0171*F6)</f>
        <v>43542748.123105288</v>
      </c>
      <c r="H6" s="142">
        <f>G6-D6</f>
        <v>29184304.556493949</v>
      </c>
      <c r="I6" s="296">
        <v>6.2</v>
      </c>
      <c r="K6">
        <v>0</v>
      </c>
      <c r="L6" s="32">
        <f>(300*K6)/7.3</f>
        <v>0</v>
      </c>
      <c r="M6">
        <v>2.9</v>
      </c>
      <c r="N6" s="32">
        <f>96.111*EXP(2.0374*M6)</f>
        <v>35382.18675719975</v>
      </c>
      <c r="O6" s="32">
        <f>N6*1.3</f>
        <v>45996.84278435968</v>
      </c>
      <c r="P6">
        <v>5.95</v>
      </c>
      <c r="Q6" s="32">
        <f>96.111*EXP(2.0374*P6)</f>
        <v>17681576.389933925</v>
      </c>
      <c r="R6" s="32">
        <f>Q6*1.3</f>
        <v>22986049.306914102</v>
      </c>
      <c r="S6" s="32">
        <f>Q6-N6</f>
        <v>17646194.203176726</v>
      </c>
      <c r="T6">
        <v>30.5</v>
      </c>
      <c r="V6">
        <v>3.9</v>
      </c>
      <c r="W6" s="32">
        <f>(300*V6)/7.3</f>
        <v>160.27397260273972</v>
      </c>
      <c r="X6" s="126" t="s">
        <v>583</v>
      </c>
      <c r="Y6" s="126" t="s">
        <v>757</v>
      </c>
    </row>
    <row r="7" spans="1:25">
      <c r="A7">
        <v>0.5</v>
      </c>
      <c r="B7" s="32">
        <f t="shared" ref="B7:B22" si="0">(400*A7)/10.9</f>
        <v>18.348623853211009</v>
      </c>
      <c r="C7">
        <v>5.7</v>
      </c>
      <c r="D7" s="141">
        <f t="shared" ref="D7:D20" si="1">107.75*EXP(2.0171*C7)</f>
        <v>10609747.680157378</v>
      </c>
      <c r="E7" s="221">
        <f t="shared" ref="E7:E17" si="2">D7*1.3</f>
        <v>13792671.984204592</v>
      </c>
      <c r="F7">
        <v>6.3</v>
      </c>
      <c r="G7" s="141">
        <f t="shared" ref="G7:G20" si="3">107.75*EXP(2.0171*F7)</f>
        <v>35588877.918284237</v>
      </c>
      <c r="H7" s="142">
        <f t="shared" ref="H7:H20" si="4">G7-D7</f>
        <v>24979130.238126859</v>
      </c>
      <c r="I7" s="296">
        <v>0</v>
      </c>
      <c r="K7">
        <v>0.2</v>
      </c>
      <c r="L7" s="32">
        <f>(300*K7)/7.3</f>
        <v>8.2191780821917817</v>
      </c>
      <c r="M7">
        <v>2.2000000000000002</v>
      </c>
      <c r="N7" s="32">
        <f>96.111*EXP(2.0374*M7)</f>
        <v>8499.6798199318309</v>
      </c>
      <c r="O7" s="32">
        <f>N7*1.3</f>
        <v>11049.58376591138</v>
      </c>
      <c r="P7">
        <v>5.9</v>
      </c>
      <c r="Q7" s="32">
        <f>96.111*EXP(2.0374*P7)</f>
        <v>15969061.843307937</v>
      </c>
      <c r="R7" s="32">
        <f>Q7*1.3</f>
        <v>20759780.39630032</v>
      </c>
      <c r="S7" s="32">
        <f>Q7-N7</f>
        <v>15960562.163488004</v>
      </c>
      <c r="T7">
        <v>0</v>
      </c>
      <c r="V7">
        <v>4.75</v>
      </c>
      <c r="W7" s="32">
        <f>(300*V7)/7.3</f>
        <v>195.20547945205479</v>
      </c>
      <c r="X7" s="126" t="s">
        <v>583</v>
      </c>
      <c r="Y7" s="126" t="s">
        <v>757</v>
      </c>
    </row>
    <row r="8" spans="1:25">
      <c r="A8">
        <v>1</v>
      </c>
      <c r="B8" s="32">
        <f t="shared" si="0"/>
        <v>36.697247706422019</v>
      </c>
      <c r="C8">
        <v>5.4</v>
      </c>
      <c r="D8" s="141">
        <f t="shared" si="1"/>
        <v>5792958.7476441069</v>
      </c>
      <c r="E8" s="221">
        <f t="shared" si="2"/>
        <v>7530846.3719373392</v>
      </c>
      <c r="F8">
        <v>6.1</v>
      </c>
      <c r="G8" s="141">
        <f t="shared" si="3"/>
        <v>23774490.330995761</v>
      </c>
      <c r="H8" s="142">
        <f t="shared" si="4"/>
        <v>17981531.583351653</v>
      </c>
      <c r="I8" s="296">
        <v>0</v>
      </c>
      <c r="K8">
        <v>0.4</v>
      </c>
      <c r="L8" s="32">
        <f>(300*K8)/7.3</f>
        <v>16.438356164383563</v>
      </c>
      <c r="M8">
        <v>1.7</v>
      </c>
      <c r="N8" s="32">
        <f>96.111*EXP(2.0374*M8)</f>
        <v>3068.9285511538874</v>
      </c>
      <c r="O8" s="32">
        <f>N8*1.3</f>
        <v>3989.6071165000535</v>
      </c>
      <c r="P8">
        <v>5.6</v>
      </c>
      <c r="Q8" s="32">
        <f>96.111*EXP(2.0374*P8)</f>
        <v>8666224.385088237</v>
      </c>
      <c r="R8" s="32">
        <f>Q8*1.3</f>
        <v>11266091.700614709</v>
      </c>
      <c r="S8" s="32">
        <f>Q8-N8</f>
        <v>8663155.4565370828</v>
      </c>
      <c r="T8">
        <v>0</v>
      </c>
      <c r="V8">
        <v>6.6</v>
      </c>
      <c r="W8" s="32">
        <f>(300*V8)/7.3</f>
        <v>271.23287671232879</v>
      </c>
      <c r="X8" s="126" t="s">
        <v>583</v>
      </c>
      <c r="Y8" s="126" t="s">
        <v>757</v>
      </c>
    </row>
    <row r="9" spans="1:25">
      <c r="A9">
        <v>1.6</v>
      </c>
      <c r="B9" s="32">
        <f t="shared" si="0"/>
        <v>58.715596330275226</v>
      </c>
      <c r="C9">
        <v>4.0999999999999996</v>
      </c>
      <c r="D9" s="141">
        <f t="shared" si="1"/>
        <v>420804.53985820379</v>
      </c>
      <c r="E9" s="221">
        <f t="shared" si="2"/>
        <v>547045.90181566495</v>
      </c>
      <c r="F9">
        <v>5.7</v>
      </c>
      <c r="G9" s="141">
        <f t="shared" si="3"/>
        <v>10609747.680157378</v>
      </c>
      <c r="H9" s="142">
        <f>G9-D9</f>
        <v>10188943.140299175</v>
      </c>
      <c r="I9" s="296">
        <v>0</v>
      </c>
      <c r="K9">
        <v>0.7</v>
      </c>
      <c r="L9" s="32">
        <f>(300*K9)/7.3</f>
        <v>28.767123287671232</v>
      </c>
      <c r="M9" s="127" t="s">
        <v>872</v>
      </c>
      <c r="N9" s="127" t="s">
        <v>872</v>
      </c>
      <c r="P9">
        <v>4.4000000000000004</v>
      </c>
      <c r="Q9" s="32">
        <f>96.111*EXP(2.0374*P9)</f>
        <v>751678.34109890042</v>
      </c>
      <c r="R9" s="32">
        <f>Q9*1.3</f>
        <v>977181.84342857054</v>
      </c>
      <c r="T9">
        <v>0</v>
      </c>
    </row>
    <row r="10" spans="1:25">
      <c r="A10">
        <v>2</v>
      </c>
      <c r="B10" s="32">
        <f t="shared" si="0"/>
        <v>73.394495412844037</v>
      </c>
      <c r="C10">
        <v>4</v>
      </c>
      <c r="D10" s="141">
        <f t="shared" si="1"/>
        <v>343936.98243696016</v>
      </c>
      <c r="E10" s="221">
        <f t="shared" si="2"/>
        <v>447118.07716804824</v>
      </c>
      <c r="F10">
        <v>5.4</v>
      </c>
      <c r="G10" s="141">
        <f t="shared" si="3"/>
        <v>5792958.7476441069</v>
      </c>
      <c r="H10" s="142">
        <f t="shared" si="4"/>
        <v>5449021.7652071463</v>
      </c>
      <c r="I10" s="296">
        <v>0</v>
      </c>
      <c r="K10">
        <v>2.9</v>
      </c>
      <c r="L10" s="32">
        <f>(300*K10)/7.3</f>
        <v>119.17808219178083</v>
      </c>
      <c r="M10" s="127" t="s">
        <v>872</v>
      </c>
      <c r="N10" s="127" t="s">
        <v>872</v>
      </c>
      <c r="P10">
        <v>4.1500000000000004</v>
      </c>
      <c r="Q10" s="32">
        <f>96.111*EXP(2.0374*P10)</f>
        <v>451673.01258175261</v>
      </c>
      <c r="R10" s="32">
        <f>Q10*1.3</f>
        <v>587174.91635627847</v>
      </c>
      <c r="T10">
        <v>0</v>
      </c>
    </row>
    <row r="11" spans="1:25">
      <c r="A11">
        <v>2.5</v>
      </c>
      <c r="B11" s="32">
        <f t="shared" si="0"/>
        <v>91.743119266055047</v>
      </c>
      <c r="C11">
        <v>2.75</v>
      </c>
      <c r="D11" s="141">
        <f t="shared" si="1"/>
        <v>27635.010078942163</v>
      </c>
      <c r="E11" s="221">
        <f t="shared" si="2"/>
        <v>35925.513102624813</v>
      </c>
      <c r="F11">
        <v>5.7</v>
      </c>
      <c r="G11" s="141">
        <f t="shared" si="3"/>
        <v>10609747.680157378</v>
      </c>
      <c r="H11" s="142">
        <f t="shared" si="4"/>
        <v>10582112.670078436</v>
      </c>
      <c r="I11" s="296">
        <v>0</v>
      </c>
    </row>
    <row r="12" spans="1:25">
      <c r="A12">
        <v>3</v>
      </c>
      <c r="B12" s="32">
        <f t="shared" si="0"/>
        <v>110.09174311926606</v>
      </c>
      <c r="D12" s="141">
        <f t="shared" si="1"/>
        <v>107.75</v>
      </c>
      <c r="E12" s="221">
        <f t="shared" si="2"/>
        <v>140.07500000000002</v>
      </c>
      <c r="F12">
        <v>5.4</v>
      </c>
      <c r="G12" s="141">
        <f t="shared" si="3"/>
        <v>5792958.7476441069</v>
      </c>
      <c r="H12" s="142">
        <f t="shared" si="4"/>
        <v>5792850.9976441069</v>
      </c>
      <c r="I12" s="296">
        <v>0</v>
      </c>
    </row>
    <row r="13" spans="1:25">
      <c r="A13">
        <v>3.4</v>
      </c>
      <c r="B13" s="32">
        <f t="shared" si="0"/>
        <v>124.77064220183486</v>
      </c>
      <c r="C13">
        <v>2.85</v>
      </c>
      <c r="D13" s="141">
        <f t="shared" si="1"/>
        <v>33811.245356197061</v>
      </c>
      <c r="E13" s="221">
        <f t="shared" si="2"/>
        <v>43954.618963056178</v>
      </c>
      <c r="F13">
        <v>5.7</v>
      </c>
      <c r="G13" s="141">
        <f t="shared" si="3"/>
        <v>10609747.680157378</v>
      </c>
      <c r="H13" s="142">
        <f t="shared" si="4"/>
        <v>10575936.434801182</v>
      </c>
      <c r="I13" s="296">
        <v>0</v>
      </c>
    </row>
    <row r="14" spans="1:25">
      <c r="A14">
        <v>4</v>
      </c>
      <c r="B14" s="32">
        <f t="shared" si="0"/>
        <v>146.78899082568807</v>
      </c>
      <c r="C14">
        <v>0.1</v>
      </c>
      <c r="D14" s="141">
        <f t="shared" si="1"/>
        <v>131.83138622794704</v>
      </c>
      <c r="E14" s="221">
        <f t="shared" si="2"/>
        <v>171.38080209633117</v>
      </c>
      <c r="F14">
        <v>5.5</v>
      </c>
      <c r="G14" s="141">
        <f t="shared" si="3"/>
        <v>7087645.3091715518</v>
      </c>
      <c r="H14" s="142">
        <f t="shared" si="4"/>
        <v>7087513.4777853237</v>
      </c>
      <c r="I14" s="296">
        <v>0</v>
      </c>
    </row>
    <row r="15" spans="1:25">
      <c r="A15">
        <v>4.3</v>
      </c>
      <c r="B15" s="32">
        <f t="shared" si="0"/>
        <v>157.79816513761466</v>
      </c>
      <c r="C15">
        <v>0.85</v>
      </c>
      <c r="D15" s="141">
        <f t="shared" si="1"/>
        <v>598.45344089659875</v>
      </c>
      <c r="E15" s="221">
        <f t="shared" si="2"/>
        <v>777.98947316557837</v>
      </c>
      <c r="F15">
        <v>4.3</v>
      </c>
      <c r="G15" s="141">
        <f t="shared" si="3"/>
        <v>629917.24272417417</v>
      </c>
      <c r="H15" s="142">
        <f t="shared" si="4"/>
        <v>629318.78928327758</v>
      </c>
      <c r="I15" s="296">
        <v>0</v>
      </c>
    </row>
    <row r="16" spans="1:25">
      <c r="A16">
        <v>4.9000000000000004</v>
      </c>
      <c r="B16" s="32">
        <f t="shared" si="0"/>
        <v>179.81651376146792</v>
      </c>
      <c r="C16">
        <v>1.8</v>
      </c>
      <c r="D16" s="141">
        <f t="shared" si="1"/>
        <v>4066.7268006291151</v>
      </c>
      <c r="E16" s="221">
        <f t="shared" si="2"/>
        <v>5286.7448408178498</v>
      </c>
      <c r="F16">
        <v>4.25</v>
      </c>
      <c r="G16" s="141">
        <f t="shared" si="3"/>
        <v>569485.57310443663</v>
      </c>
      <c r="H16" s="142">
        <f t="shared" si="4"/>
        <v>565418.84630380746</v>
      </c>
      <c r="I16" s="296">
        <v>0</v>
      </c>
    </row>
    <row r="17" spans="1:12">
      <c r="A17">
        <v>5.5</v>
      </c>
      <c r="B17" s="32">
        <f t="shared" si="0"/>
        <v>201.83486238532109</v>
      </c>
      <c r="C17">
        <v>1.1000000000000001</v>
      </c>
      <c r="D17" s="141">
        <f t="shared" si="1"/>
        <v>990.91001598756134</v>
      </c>
      <c r="E17" s="221">
        <f t="shared" si="2"/>
        <v>1288.1830207838298</v>
      </c>
      <c r="F17">
        <v>4.5999999999999996</v>
      </c>
      <c r="G17" s="141">
        <f t="shared" si="3"/>
        <v>1153687.3117561736</v>
      </c>
      <c r="H17" s="142">
        <f t="shared" si="4"/>
        <v>1152696.4017401861</v>
      </c>
      <c r="I17" s="296">
        <v>0</v>
      </c>
    </row>
    <row r="18" spans="1:12">
      <c r="A18">
        <v>6.7</v>
      </c>
      <c r="B18" s="32">
        <f t="shared" si="0"/>
        <v>245.87155963302752</v>
      </c>
      <c r="C18" s="126" t="s">
        <v>757</v>
      </c>
      <c r="D18" s="141"/>
      <c r="E18" s="221"/>
      <c r="F18" s="126" t="s">
        <v>757</v>
      </c>
      <c r="G18" s="141"/>
      <c r="H18" s="142"/>
      <c r="I18" s="296"/>
    </row>
    <row r="19" spans="1:12">
      <c r="A19">
        <v>7.7</v>
      </c>
      <c r="B19" s="32">
        <f t="shared" si="0"/>
        <v>282.56880733944951</v>
      </c>
      <c r="C19" s="126" t="s">
        <v>757</v>
      </c>
      <c r="D19" s="141"/>
      <c r="E19" s="221"/>
      <c r="F19" s="126" t="s">
        <v>757</v>
      </c>
      <c r="G19" s="141"/>
      <c r="H19" s="142"/>
      <c r="I19" s="296"/>
      <c r="K19" s="139"/>
    </row>
    <row r="20" spans="1:12">
      <c r="A20">
        <v>8</v>
      </c>
      <c r="B20" s="32">
        <f t="shared" si="0"/>
        <v>293.57798165137615</v>
      </c>
      <c r="C20">
        <v>1.95</v>
      </c>
      <c r="D20" s="141">
        <f t="shared" si="1"/>
        <v>5503.6056490641249</v>
      </c>
      <c r="E20" s="221">
        <f>D20*1.3</f>
        <v>7154.6873437833628</v>
      </c>
      <c r="F20">
        <v>5</v>
      </c>
      <c r="G20" s="141">
        <f t="shared" si="3"/>
        <v>2585200.7668039883</v>
      </c>
      <c r="H20" s="142">
        <f t="shared" si="4"/>
        <v>2579697.161154924</v>
      </c>
      <c r="I20" s="296">
        <v>0</v>
      </c>
    </row>
    <row r="21" spans="1:12">
      <c r="A21">
        <v>9</v>
      </c>
      <c r="B21" s="32">
        <f t="shared" si="0"/>
        <v>330.27522935779814</v>
      </c>
      <c r="C21" s="126" t="s">
        <v>757</v>
      </c>
      <c r="D21" s="141"/>
      <c r="E21" s="221"/>
      <c r="F21" s="126" t="s">
        <v>757</v>
      </c>
      <c r="G21" s="141"/>
      <c r="H21" s="142"/>
      <c r="I21" s="296"/>
    </row>
    <row r="22" spans="1:12">
      <c r="A22">
        <v>10.15</v>
      </c>
      <c r="B22" s="32">
        <f t="shared" si="0"/>
        <v>372.47706422018348</v>
      </c>
      <c r="C22" s="126" t="s">
        <v>1029</v>
      </c>
      <c r="D22" s="141"/>
      <c r="E22" s="221"/>
      <c r="F22" s="126" t="s">
        <v>1029</v>
      </c>
      <c r="G22" s="141"/>
      <c r="H22" s="142"/>
      <c r="I22" s="296"/>
    </row>
    <row r="26" spans="1:12">
      <c r="A26" s="129"/>
    </row>
    <row r="27" spans="1:12">
      <c r="A27" s="129">
        <v>1000</v>
      </c>
      <c r="B27" s="126">
        <v>1.1000000000000001</v>
      </c>
      <c r="K27" s="129">
        <v>1000</v>
      </c>
      <c r="L27">
        <v>1.1499999999999999</v>
      </c>
    </row>
    <row r="28" spans="1:12">
      <c r="A28" s="129">
        <v>10000</v>
      </c>
      <c r="B28" s="126">
        <v>2.25</v>
      </c>
      <c r="K28" s="129">
        <v>10000</v>
      </c>
      <c r="L28">
        <v>2.2999999999999998</v>
      </c>
    </row>
    <row r="29" spans="1:12">
      <c r="A29" s="129">
        <v>100000</v>
      </c>
      <c r="B29" s="126">
        <v>3.4</v>
      </c>
      <c r="K29" s="129">
        <v>100000</v>
      </c>
      <c r="L29">
        <v>3.4</v>
      </c>
    </row>
    <row r="30" spans="1:12">
      <c r="A30" s="129">
        <v>1000000</v>
      </c>
      <c r="B30" s="126">
        <v>4.5</v>
      </c>
      <c r="K30" s="129">
        <v>1000000</v>
      </c>
      <c r="L30">
        <v>4.5</v>
      </c>
    </row>
    <row r="31" spans="1:12">
      <c r="A31" s="129">
        <v>10000000</v>
      </c>
      <c r="B31" s="126">
        <v>5.7</v>
      </c>
      <c r="K31" s="129">
        <v>10000000</v>
      </c>
      <c r="L31">
        <v>5.7</v>
      </c>
    </row>
    <row r="32" spans="1:12">
      <c r="A32" s="129">
        <v>100000000</v>
      </c>
      <c r="B32" s="126">
        <v>6.8</v>
      </c>
      <c r="K32" s="129">
        <v>100000000</v>
      </c>
      <c r="L32" s="127">
        <v>6.8</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2" ySplit="5" topLeftCell="G32" activePane="bottomRight" state="frozenSplit"/>
      <selection pane="topRight" activeCell="C1" sqref="C1"/>
      <selection pane="bottomLeft" activeCell="A6" sqref="A6"/>
      <selection pane="bottomRight" activeCell="H34" sqref="H34"/>
    </sheetView>
  </sheetViews>
  <sheetFormatPr baseColWidth="10" defaultRowHeight="13" x14ac:dyDescent="0"/>
  <cols>
    <col min="4" max="4" width="22.42578125" style="231" customWidth="1"/>
    <col min="5" max="5" width="10" style="220" customWidth="1"/>
    <col min="7" max="7" width="12.42578125" style="208" customWidth="1"/>
    <col min="8" max="8" width="12.42578125" style="30" customWidth="1"/>
    <col min="10" max="11" width="10.7109375" style="220"/>
  </cols>
  <sheetData>
    <row r="1" spans="1:15">
      <c r="A1" s="207" t="s">
        <v>1078</v>
      </c>
    </row>
    <row r="2" spans="1:15">
      <c r="A2" s="207" t="s">
        <v>1079</v>
      </c>
      <c r="B2" s="228" t="s">
        <v>1221</v>
      </c>
    </row>
    <row r="3" spans="1:15">
      <c r="B3">
        <f>2.5*0.2+0.8</f>
        <v>1.3</v>
      </c>
      <c r="L3" s="208"/>
      <c r="M3" s="208"/>
      <c r="N3" s="208" t="s">
        <v>766</v>
      </c>
      <c r="O3" s="208" t="s">
        <v>589</v>
      </c>
    </row>
    <row r="4" spans="1:15">
      <c r="A4" s="207" t="s">
        <v>1303</v>
      </c>
      <c r="L4" s="208"/>
      <c r="M4" s="217"/>
      <c r="N4" s="208">
        <v>1.6</v>
      </c>
      <c r="O4" s="217">
        <v>10000</v>
      </c>
    </row>
    <row r="5" spans="1:15" s="43" customFormat="1" ht="39">
      <c r="A5" s="43" t="s">
        <v>647</v>
      </c>
      <c r="B5" s="51" t="s">
        <v>606</v>
      </c>
      <c r="C5" s="43" t="s">
        <v>1300</v>
      </c>
      <c r="D5" s="232" t="s">
        <v>588</v>
      </c>
      <c r="E5" s="233" t="s">
        <v>666</v>
      </c>
      <c r="F5" s="43" t="s">
        <v>1301</v>
      </c>
      <c r="G5" s="233" t="s">
        <v>595</v>
      </c>
      <c r="H5" s="235" t="s">
        <v>1156</v>
      </c>
      <c r="I5" s="43" t="s">
        <v>1302</v>
      </c>
      <c r="J5" s="233" t="s">
        <v>665</v>
      </c>
      <c r="K5" s="234" t="s">
        <v>1222</v>
      </c>
      <c r="M5" s="234"/>
      <c r="N5" s="43">
        <v>3.05</v>
      </c>
      <c r="O5" s="234">
        <v>100000</v>
      </c>
    </row>
    <row r="6" spans="1:15">
      <c r="A6" s="207">
        <v>0.25</v>
      </c>
      <c r="B6" s="32">
        <f>(150*A6)/7.9</f>
        <v>4.7468354430379742</v>
      </c>
      <c r="C6">
        <v>6.35</v>
      </c>
      <c r="D6" s="231">
        <f>1010.2*EXP(1.4707*C6)</f>
        <v>11488402.543859115</v>
      </c>
      <c r="E6" s="221">
        <f>D6/2</f>
        <v>5744201.2719295574</v>
      </c>
      <c r="F6">
        <v>6.7</v>
      </c>
      <c r="G6" s="221">
        <f>1010.2*EXP(1.4707*F6)</f>
        <v>19222530.4512606</v>
      </c>
      <c r="H6" s="224">
        <f>G6*$B$3</f>
        <v>24989289.586638782</v>
      </c>
      <c r="I6">
        <v>4.2</v>
      </c>
      <c r="J6" s="221">
        <f>1010.2*EXP(1.4707*I6)</f>
        <v>486427.72578467388</v>
      </c>
      <c r="K6" s="224">
        <f>J6*$B$3</f>
        <v>632356.04352007608</v>
      </c>
      <c r="L6" s="208"/>
      <c r="M6" s="217"/>
      <c r="N6" s="208">
        <v>4.7</v>
      </c>
      <c r="O6" s="217">
        <v>1000000</v>
      </c>
    </row>
    <row r="7" spans="1:15">
      <c r="A7">
        <v>0.5</v>
      </c>
      <c r="B7" s="32">
        <f t="shared" ref="B7:B21" si="0">(150*A7)/7.9</f>
        <v>9.4936708860759484</v>
      </c>
      <c r="C7">
        <v>6.3</v>
      </c>
      <c r="D7" s="231">
        <f t="shared" ref="D7:D21" si="1">1010.2*EXP(1.4707*C7)</f>
        <v>10673916.467288541</v>
      </c>
      <c r="E7" s="221">
        <f t="shared" ref="E7:E70" si="2">D7/2</f>
        <v>5336958.2336442703</v>
      </c>
      <c r="G7" s="221"/>
      <c r="H7" s="224"/>
      <c r="I7">
        <v>4.25</v>
      </c>
      <c r="J7" s="221">
        <f>1010.2*EXP(1.4707*I7)</f>
        <v>523545.18038755289</v>
      </c>
      <c r="K7" s="224">
        <f>J7*$B$3</f>
        <v>680608.73450381879</v>
      </c>
      <c r="L7" s="208"/>
      <c r="M7" s="217"/>
      <c r="N7" s="208">
        <v>6.3</v>
      </c>
      <c r="O7" s="217">
        <v>10000000</v>
      </c>
    </row>
    <row r="8" spans="1:15">
      <c r="A8">
        <v>0.7</v>
      </c>
      <c r="B8" s="32">
        <f t="shared" si="0"/>
        <v>13.291139240506329</v>
      </c>
      <c r="C8">
        <v>5.9</v>
      </c>
      <c r="D8" s="231">
        <f t="shared" si="1"/>
        <v>5927028.8601978552</v>
      </c>
      <c r="E8" s="221">
        <f t="shared" si="2"/>
        <v>2963514.4300989276</v>
      </c>
      <c r="F8">
        <v>7.1</v>
      </c>
      <c r="G8" s="221">
        <f>1010.2*EXP(1.4707*F8)</f>
        <v>34617628.69158978</v>
      </c>
      <c r="H8" s="224">
        <f>G8*$B$3</f>
        <v>45002917.299066715</v>
      </c>
      <c r="I8">
        <v>4</v>
      </c>
      <c r="J8" s="221">
        <f>1010.2*EXP(1.4707*I8)</f>
        <v>362472.39912526682</v>
      </c>
      <c r="K8" s="224">
        <f>J8*$B$3</f>
        <v>471214.11886284687</v>
      </c>
      <c r="L8" s="208"/>
      <c r="M8" s="217"/>
      <c r="N8" s="208">
        <v>7.8</v>
      </c>
      <c r="O8" s="217">
        <v>100000000</v>
      </c>
    </row>
    <row r="9" spans="1:15">
      <c r="A9">
        <v>1</v>
      </c>
      <c r="B9" s="32">
        <f t="shared" si="0"/>
        <v>18.987341772151897</v>
      </c>
      <c r="C9">
        <v>4.0999999999999996</v>
      </c>
      <c r="D9" s="231">
        <f t="shared" si="1"/>
        <v>419900.73203820194</v>
      </c>
      <c r="E9" s="221">
        <f t="shared" si="2"/>
        <v>209950.36601910097</v>
      </c>
      <c r="G9" s="221"/>
      <c r="H9" s="224"/>
      <c r="J9" s="221"/>
    </row>
    <row r="10" spans="1:15">
      <c r="A10">
        <v>1.2</v>
      </c>
      <c r="B10" s="32">
        <f t="shared" si="0"/>
        <v>22.784810126582279</v>
      </c>
      <c r="C10">
        <v>3.6</v>
      </c>
      <c r="D10" s="231">
        <f t="shared" si="1"/>
        <v>201274.23492816195</v>
      </c>
      <c r="E10" s="221">
        <f t="shared" si="2"/>
        <v>100637.11746408098</v>
      </c>
      <c r="G10" s="221"/>
      <c r="H10" s="224"/>
      <c r="J10" s="221"/>
    </row>
    <row r="11" spans="1:15">
      <c r="A11">
        <v>1.6</v>
      </c>
      <c r="B11" s="32">
        <f t="shared" si="0"/>
        <v>30.379746835443036</v>
      </c>
      <c r="C11">
        <v>3</v>
      </c>
      <c r="D11" s="231">
        <f t="shared" si="1"/>
        <v>83283.323500046637</v>
      </c>
      <c r="E11" s="221">
        <f t="shared" si="2"/>
        <v>41641.661750023319</v>
      </c>
      <c r="G11" s="221"/>
      <c r="H11" s="224"/>
      <c r="J11" s="221"/>
    </row>
    <row r="12" spans="1:15">
      <c r="A12">
        <v>2</v>
      </c>
      <c r="B12" s="32">
        <f t="shared" si="0"/>
        <v>37.974683544303794</v>
      </c>
      <c r="C12">
        <v>4.8</v>
      </c>
      <c r="D12" s="231">
        <f t="shared" si="1"/>
        <v>1175569.9009190125</v>
      </c>
      <c r="E12" s="221">
        <f t="shared" si="2"/>
        <v>587784.95045950625</v>
      </c>
      <c r="G12" s="221"/>
      <c r="H12" s="224"/>
      <c r="J12" s="221"/>
    </row>
    <row r="13" spans="1:15">
      <c r="A13">
        <v>2.5</v>
      </c>
      <c r="B13" s="32">
        <f t="shared" si="0"/>
        <v>47.468354430379748</v>
      </c>
      <c r="C13">
        <v>4</v>
      </c>
      <c r="D13" s="231">
        <f t="shared" si="1"/>
        <v>362472.39912526682</v>
      </c>
      <c r="E13" s="221">
        <f t="shared" si="2"/>
        <v>181236.19956263341</v>
      </c>
      <c r="G13" s="221"/>
      <c r="H13" s="224"/>
      <c r="J13" s="221"/>
    </row>
    <row r="14" spans="1:15">
      <c r="A14">
        <v>3</v>
      </c>
      <c r="B14" s="32">
        <f t="shared" si="0"/>
        <v>56.962025316455694</v>
      </c>
      <c r="C14">
        <v>3.1</v>
      </c>
      <c r="D14" s="231">
        <f t="shared" si="1"/>
        <v>96478.321076685534</v>
      </c>
      <c r="E14" s="221">
        <f t="shared" si="2"/>
        <v>48239.160538342767</v>
      </c>
      <c r="G14" s="221"/>
      <c r="H14" s="224"/>
      <c r="J14" s="221"/>
    </row>
    <row r="15" spans="1:15">
      <c r="A15">
        <v>3.5</v>
      </c>
      <c r="B15" s="32">
        <f t="shared" si="0"/>
        <v>66.455696202531641</v>
      </c>
      <c r="C15">
        <v>3.6</v>
      </c>
      <c r="D15" s="231">
        <f t="shared" si="1"/>
        <v>201274.23492816195</v>
      </c>
      <c r="E15" s="221">
        <f t="shared" si="2"/>
        <v>100637.11746408098</v>
      </c>
      <c r="G15" s="221"/>
      <c r="H15" s="224"/>
      <c r="J15" s="221"/>
    </row>
    <row r="16" spans="1:15">
      <c r="A16">
        <v>4</v>
      </c>
      <c r="B16" s="32">
        <f t="shared" si="0"/>
        <v>75.949367088607588</v>
      </c>
      <c r="C16">
        <v>2.85</v>
      </c>
      <c r="D16" s="231">
        <f t="shared" si="1"/>
        <v>66796.008853251245</v>
      </c>
      <c r="E16" s="221">
        <f t="shared" si="2"/>
        <v>33398.004426625623</v>
      </c>
      <c r="F16">
        <v>4.0999999999999996</v>
      </c>
      <c r="G16" s="221">
        <f>1010.2*EXP(1.4707*F16)</f>
        <v>419900.73203820194</v>
      </c>
      <c r="H16" s="224">
        <f>G16*$B$3</f>
        <v>545870.95164966257</v>
      </c>
      <c r="J16" s="221"/>
    </row>
    <row r="17" spans="1:14">
      <c r="A17">
        <v>4.45</v>
      </c>
      <c r="B17" s="32">
        <f t="shared" si="0"/>
        <v>84.493670886075947</v>
      </c>
      <c r="C17">
        <v>3.6</v>
      </c>
      <c r="D17" s="231">
        <f t="shared" si="1"/>
        <v>201274.23492816195</v>
      </c>
      <c r="E17" s="221">
        <f t="shared" si="2"/>
        <v>100637.11746408098</v>
      </c>
      <c r="F17">
        <v>4.55</v>
      </c>
      <c r="G17" s="221">
        <f>1010.2*EXP(1.4707*F17)</f>
        <v>813896.60011794802</v>
      </c>
      <c r="H17" s="224">
        <f>G17*$B$3</f>
        <v>1058065.5801533326</v>
      </c>
      <c r="J17" s="221"/>
    </row>
    <row r="18" spans="1:14">
      <c r="A18">
        <v>5.3</v>
      </c>
      <c r="B18" s="32">
        <f t="shared" si="0"/>
        <v>100.63291139240506</v>
      </c>
      <c r="C18">
        <v>3.1</v>
      </c>
      <c r="D18" s="231">
        <f t="shared" si="1"/>
        <v>96478.321076685534</v>
      </c>
      <c r="E18" s="221">
        <f t="shared" si="2"/>
        <v>48239.160538342767</v>
      </c>
      <c r="F18">
        <v>4</v>
      </c>
      <c r="G18" s="221">
        <f>1010.2*EXP(1.4707*F18)</f>
        <v>362472.39912526682</v>
      </c>
      <c r="H18" s="224">
        <f>G18*$B$3</f>
        <v>471214.11886284687</v>
      </c>
      <c r="J18" s="221"/>
    </row>
    <row r="19" spans="1:14">
      <c r="A19">
        <v>5.8</v>
      </c>
      <c r="B19" s="32">
        <f t="shared" si="0"/>
        <v>110.12658227848101</v>
      </c>
      <c r="C19">
        <v>2.65</v>
      </c>
      <c r="D19" s="231">
        <f t="shared" si="1"/>
        <v>49774.526199084925</v>
      </c>
      <c r="E19" s="221">
        <f t="shared" si="2"/>
        <v>24887.263099542462</v>
      </c>
      <c r="F19">
        <v>3.65</v>
      </c>
      <c r="G19" s="221">
        <f>1010.2*EXP(1.4707*F19)</f>
        <v>216632.70830799217</v>
      </c>
      <c r="H19" s="224">
        <f>G19*$B$3</f>
        <v>281622.52080038982</v>
      </c>
      <c r="J19" s="221"/>
    </row>
    <row r="20" spans="1:14">
      <c r="A20">
        <v>7</v>
      </c>
      <c r="B20" s="32">
        <f t="shared" si="0"/>
        <v>132.91139240506328</v>
      </c>
      <c r="C20">
        <v>3.1</v>
      </c>
      <c r="D20" s="231">
        <f t="shared" si="1"/>
        <v>96478.321076685534</v>
      </c>
      <c r="E20" s="221">
        <f t="shared" si="2"/>
        <v>48239.160538342767</v>
      </c>
      <c r="F20">
        <v>4</v>
      </c>
      <c r="G20" s="221">
        <f>1010.2*EXP(1.4707*F20)</f>
        <v>362472.39912526682</v>
      </c>
      <c r="H20" s="224">
        <f>G20*$B$3</f>
        <v>471214.11886284687</v>
      </c>
      <c r="J20" s="221"/>
    </row>
    <row r="21" spans="1:14">
      <c r="A21">
        <v>7.9</v>
      </c>
      <c r="B21" s="32">
        <f t="shared" si="0"/>
        <v>150</v>
      </c>
      <c r="C21">
        <v>2.65</v>
      </c>
      <c r="D21" s="231">
        <f t="shared" si="1"/>
        <v>49774.526199084925</v>
      </c>
      <c r="E21" s="221">
        <f t="shared" si="2"/>
        <v>24887.263099542462</v>
      </c>
      <c r="G21" s="221"/>
      <c r="H21" s="224"/>
      <c r="J21" s="221"/>
    </row>
    <row r="22" spans="1:14">
      <c r="B22" s="32"/>
      <c r="E22" s="221"/>
      <c r="G22" s="221"/>
      <c r="H22" s="224"/>
      <c r="J22" s="221"/>
    </row>
    <row r="23" spans="1:14">
      <c r="A23" s="207" t="s">
        <v>1304</v>
      </c>
      <c r="B23" s="32"/>
      <c r="E23" s="221"/>
      <c r="G23" s="221"/>
      <c r="H23" s="224"/>
      <c r="J23" s="221"/>
    </row>
    <row r="24" spans="1:14">
      <c r="A24" s="207" t="s">
        <v>1310</v>
      </c>
      <c r="B24" s="32" t="s">
        <v>606</v>
      </c>
      <c r="C24" s="207" t="s">
        <v>1311</v>
      </c>
      <c r="D24" s="231" t="s">
        <v>588</v>
      </c>
      <c r="E24" s="221"/>
      <c r="F24" s="207" t="s">
        <v>1301</v>
      </c>
      <c r="G24" s="221"/>
      <c r="H24" s="224"/>
      <c r="I24" s="207" t="s">
        <v>1312</v>
      </c>
      <c r="J24" s="221"/>
      <c r="M24" s="208" t="s">
        <v>586</v>
      </c>
      <c r="N24" s="208" t="s">
        <v>587</v>
      </c>
    </row>
    <row r="25" spans="1:14">
      <c r="A25">
        <v>0.2</v>
      </c>
      <c r="B25" s="32">
        <f>(A25*300)/12.5</f>
        <v>4.8</v>
      </c>
      <c r="C25">
        <v>5.05</v>
      </c>
      <c r="D25" s="231">
        <f>963.98*EXP(1.8568*C25)</f>
        <v>11386176.017696146</v>
      </c>
      <c r="E25" s="221">
        <f t="shared" si="2"/>
        <v>5693088.008848073</v>
      </c>
      <c r="F25">
        <v>5.8</v>
      </c>
      <c r="G25" s="221">
        <f>963.98*EXP(1.8568*F25)</f>
        <v>45832799.887063749</v>
      </c>
      <c r="H25" s="224">
        <f>G25*$B$3</f>
        <v>59582639.853182875</v>
      </c>
      <c r="I25">
        <v>5</v>
      </c>
      <c r="J25" s="221">
        <f>963.98*EXP(1.8568*I25)</f>
        <v>10376669.714892626</v>
      </c>
      <c r="K25" s="224">
        <f>J25*$B$3</f>
        <v>13489670.629360413</v>
      </c>
      <c r="M25">
        <v>1.25</v>
      </c>
      <c r="N25" s="217">
        <v>10000</v>
      </c>
    </row>
    <row r="26" spans="1:14">
      <c r="A26">
        <v>0.4</v>
      </c>
      <c r="B26" s="32">
        <f t="shared" ref="B26:B41" si="3">(A26*300)/12.5</f>
        <v>9.6</v>
      </c>
      <c r="C26">
        <v>5.0999999999999996</v>
      </c>
      <c r="D26" s="231">
        <f t="shared" ref="D26:D41" si="4">963.98*EXP(1.8568*C26)</f>
        <v>12493893.307589039</v>
      </c>
      <c r="E26" s="221">
        <f t="shared" si="2"/>
        <v>6246946.6537945196</v>
      </c>
      <c r="F26">
        <v>6.25</v>
      </c>
      <c r="G26" s="221">
        <f>963.98*EXP(1.8568*F26)</f>
        <v>105695253.824251</v>
      </c>
      <c r="H26" s="224">
        <f>G26*$B$3</f>
        <v>137403829.97152629</v>
      </c>
      <c r="I26">
        <v>4.8</v>
      </c>
      <c r="J26" s="221">
        <f>963.98*EXP(1.8568*I26)</f>
        <v>7157780.8053484308</v>
      </c>
      <c r="K26" s="224">
        <f>J26*$B$3</f>
        <v>9305115.046952961</v>
      </c>
      <c r="M26">
        <v>2.5</v>
      </c>
      <c r="N26" s="217">
        <v>100000</v>
      </c>
    </row>
    <row r="27" spans="1:14">
      <c r="A27">
        <v>0.6</v>
      </c>
      <c r="B27" s="32">
        <f t="shared" si="3"/>
        <v>14.4</v>
      </c>
      <c r="C27">
        <v>5.75</v>
      </c>
      <c r="D27" s="231">
        <f t="shared" si="4"/>
        <v>41769231.899952553</v>
      </c>
      <c r="E27" s="221">
        <f t="shared" si="2"/>
        <v>20884615.949976277</v>
      </c>
      <c r="G27" s="221"/>
      <c r="H27" s="224"/>
      <c r="I27">
        <v>4.4000000000000004</v>
      </c>
      <c r="J27" s="221">
        <f>963.98*EXP(1.8568*I27)</f>
        <v>3405800.4391190824</v>
      </c>
      <c r="K27" s="224">
        <f>J27*$B$3</f>
        <v>4427540.5708548073</v>
      </c>
      <c r="M27">
        <v>3.75</v>
      </c>
      <c r="N27" s="217">
        <v>1000000</v>
      </c>
    </row>
    <row r="28" spans="1:14">
      <c r="A28">
        <v>0.9</v>
      </c>
      <c r="B28" s="32">
        <f t="shared" si="3"/>
        <v>21.6</v>
      </c>
      <c r="C28">
        <v>4.75</v>
      </c>
      <c r="D28" s="231">
        <f t="shared" si="4"/>
        <v>6523166.969601023</v>
      </c>
      <c r="E28" s="221">
        <f t="shared" si="2"/>
        <v>3261583.4848005115</v>
      </c>
      <c r="G28" s="221"/>
      <c r="H28" s="224"/>
      <c r="J28" s="221"/>
      <c r="M28">
        <v>5</v>
      </c>
      <c r="N28" s="217">
        <v>10000000</v>
      </c>
    </row>
    <row r="29" spans="1:14">
      <c r="A29">
        <v>1.2</v>
      </c>
      <c r="B29" s="32">
        <f t="shared" si="3"/>
        <v>28.8</v>
      </c>
      <c r="C29">
        <v>4.55</v>
      </c>
      <c r="D29" s="231">
        <f t="shared" si="4"/>
        <v>4499651.6809320301</v>
      </c>
      <c r="E29" s="221">
        <f t="shared" si="2"/>
        <v>2249825.840466015</v>
      </c>
      <c r="G29" s="221"/>
      <c r="H29" s="224"/>
      <c r="J29" s="221"/>
      <c r="M29">
        <v>6.2</v>
      </c>
      <c r="N29" s="217">
        <v>100000000</v>
      </c>
    </row>
    <row r="30" spans="1:14">
      <c r="A30">
        <v>1.6</v>
      </c>
      <c r="B30" s="32">
        <f t="shared" si="3"/>
        <v>38.4</v>
      </c>
      <c r="C30">
        <v>4.55</v>
      </c>
      <c r="D30" s="231">
        <f t="shared" si="4"/>
        <v>4499651.6809320301</v>
      </c>
      <c r="E30" s="221">
        <f t="shared" si="2"/>
        <v>2249825.840466015</v>
      </c>
      <c r="G30" s="221"/>
      <c r="H30" s="224"/>
      <c r="J30" s="221"/>
    </row>
    <row r="31" spans="1:14">
      <c r="A31">
        <v>2.5</v>
      </c>
      <c r="B31" s="32">
        <f t="shared" si="3"/>
        <v>60</v>
      </c>
      <c r="C31">
        <v>4.1500000000000004</v>
      </c>
      <c r="D31" s="231">
        <f t="shared" si="4"/>
        <v>2141014.9440941447</v>
      </c>
      <c r="E31" s="221">
        <f t="shared" si="2"/>
        <v>1070507.4720470724</v>
      </c>
      <c r="G31" s="221"/>
      <c r="H31" s="224"/>
      <c r="J31" s="221"/>
    </row>
    <row r="32" spans="1:14">
      <c r="A32">
        <v>2.6</v>
      </c>
      <c r="B32" s="32">
        <f t="shared" si="3"/>
        <v>62.4</v>
      </c>
      <c r="C32">
        <v>3.65</v>
      </c>
      <c r="D32" s="231">
        <f t="shared" si="4"/>
        <v>846098.06462864543</v>
      </c>
      <c r="E32" s="221">
        <f t="shared" si="2"/>
        <v>423049.03231432271</v>
      </c>
      <c r="G32" s="221"/>
      <c r="H32" s="224"/>
      <c r="J32" s="221"/>
    </row>
    <row r="33" spans="1:13">
      <c r="A33">
        <v>3.4</v>
      </c>
      <c r="B33" s="32">
        <f t="shared" si="3"/>
        <v>81.599999999999994</v>
      </c>
      <c r="C33">
        <v>3.6</v>
      </c>
      <c r="D33" s="231">
        <f t="shared" si="4"/>
        <v>771082.42042070441</v>
      </c>
      <c r="E33" s="221">
        <f t="shared" si="2"/>
        <v>385541.2102103522</v>
      </c>
      <c r="G33" s="221"/>
      <c r="H33" s="224"/>
      <c r="J33" s="221"/>
    </row>
    <row r="34" spans="1:13">
      <c r="A34">
        <v>3.9</v>
      </c>
      <c r="B34" s="32">
        <f t="shared" si="3"/>
        <v>93.6</v>
      </c>
      <c r="C34">
        <v>3.5</v>
      </c>
      <c r="D34" s="231">
        <f t="shared" si="4"/>
        <v>640414.27301171876</v>
      </c>
      <c r="E34" s="221">
        <f t="shared" si="2"/>
        <v>320207.13650585938</v>
      </c>
      <c r="F34">
        <v>6</v>
      </c>
      <c r="G34" s="221">
        <f>963.98*EXP(1.8568*F34)</f>
        <v>66444033.349199131</v>
      </c>
      <c r="H34" s="224">
        <f>G34*$B$3</f>
        <v>86377243.353958875</v>
      </c>
      <c r="I34">
        <v>3.8</v>
      </c>
      <c r="J34" s="221">
        <f>963.98*EXP(1.8568*I34)</f>
        <v>1117841.9425315342</v>
      </c>
      <c r="K34" s="224">
        <f>J34*$B$3</f>
        <v>1453194.5252909947</v>
      </c>
    </row>
    <row r="35" spans="1:13">
      <c r="A35">
        <v>5.0999999999999996</v>
      </c>
      <c r="B35" s="32">
        <f t="shared" si="3"/>
        <v>122.4</v>
      </c>
      <c r="C35">
        <v>3.2</v>
      </c>
      <c r="D35" s="231">
        <f t="shared" si="4"/>
        <v>366894.84038174606</v>
      </c>
      <c r="E35" s="221">
        <f t="shared" si="2"/>
        <v>183447.42019087303</v>
      </c>
      <c r="G35" s="221"/>
      <c r="H35" s="224"/>
      <c r="J35" s="221"/>
    </row>
    <row r="36" spans="1:13">
      <c r="A36">
        <v>5.9</v>
      </c>
      <c r="B36" s="32">
        <f t="shared" si="3"/>
        <v>141.6</v>
      </c>
      <c r="C36">
        <v>3.6</v>
      </c>
      <c r="D36" s="231">
        <f t="shared" si="4"/>
        <v>771082.42042070441</v>
      </c>
      <c r="E36" s="221">
        <f t="shared" si="2"/>
        <v>385541.2102103522</v>
      </c>
      <c r="G36" s="221"/>
      <c r="H36" s="224"/>
      <c r="I36">
        <v>5.7</v>
      </c>
      <c r="J36" s="221">
        <f>963.98*EXP(1.8568*I36)</f>
        <v>38065942.683210187</v>
      </c>
      <c r="K36" s="224">
        <f>J36*$B$3</f>
        <v>49485725.488173246</v>
      </c>
    </row>
    <row r="37" spans="1:13">
      <c r="A37">
        <v>6.7</v>
      </c>
      <c r="B37" s="32">
        <f t="shared" si="3"/>
        <v>160.80000000000001</v>
      </c>
      <c r="C37">
        <v>3.2</v>
      </c>
      <c r="D37" s="231">
        <f t="shared" si="4"/>
        <v>366894.84038174606</v>
      </c>
      <c r="E37" s="221">
        <f t="shared" si="2"/>
        <v>183447.42019087303</v>
      </c>
      <c r="G37" s="221"/>
      <c r="H37" s="224"/>
      <c r="J37" s="221"/>
    </row>
    <row r="38" spans="1:13">
      <c r="A38">
        <v>8.4</v>
      </c>
      <c r="B38" s="32">
        <f t="shared" si="3"/>
        <v>201.6</v>
      </c>
      <c r="C38">
        <v>3.25</v>
      </c>
      <c r="D38" s="231">
        <f t="shared" si="4"/>
        <v>402588.62885223125</v>
      </c>
      <c r="E38" s="221">
        <f t="shared" si="2"/>
        <v>201294.31442611563</v>
      </c>
      <c r="G38" s="221"/>
      <c r="H38" s="224"/>
      <c r="J38" s="221"/>
    </row>
    <row r="39" spans="1:13">
      <c r="A39">
        <v>9.5</v>
      </c>
      <c r="B39" s="32">
        <f t="shared" si="3"/>
        <v>228</v>
      </c>
      <c r="C39">
        <v>2.85</v>
      </c>
      <c r="D39" s="231">
        <f>963.98*EXP(1.8568*C39)</f>
        <v>191558.88762404356</v>
      </c>
      <c r="E39" s="221">
        <f t="shared" si="2"/>
        <v>95779.443812021782</v>
      </c>
      <c r="G39" s="221"/>
      <c r="H39" s="224"/>
      <c r="J39" s="221"/>
    </row>
    <row r="40" spans="1:13">
      <c r="A40">
        <v>10.7</v>
      </c>
      <c r="B40" s="32">
        <f t="shared" si="3"/>
        <v>256.8</v>
      </c>
      <c r="C40">
        <v>2.75</v>
      </c>
      <c r="D40" s="231">
        <f t="shared" si="4"/>
        <v>159097.18923400238</v>
      </c>
      <c r="E40" s="221">
        <f t="shared" si="2"/>
        <v>79548.594617001188</v>
      </c>
      <c r="G40" s="221"/>
      <c r="H40" s="224"/>
      <c r="J40" s="221"/>
    </row>
    <row r="41" spans="1:13">
      <c r="A41">
        <v>11.9</v>
      </c>
      <c r="B41" s="32">
        <f t="shared" si="3"/>
        <v>285.60000000000002</v>
      </c>
      <c r="C41">
        <v>2.5</v>
      </c>
      <c r="D41" s="231">
        <f t="shared" si="4"/>
        <v>100014.50930621113</v>
      </c>
      <c r="E41" s="221">
        <f t="shared" si="2"/>
        <v>50007.254653105563</v>
      </c>
      <c r="G41" s="221"/>
      <c r="H41" s="224"/>
      <c r="J41" s="221"/>
    </row>
    <row r="42" spans="1:13">
      <c r="B42" s="32"/>
      <c r="E42" s="221"/>
      <c r="G42" s="221"/>
      <c r="H42" s="224"/>
      <c r="J42" s="221"/>
    </row>
    <row r="43" spans="1:13">
      <c r="A43" s="228" t="s">
        <v>1157</v>
      </c>
      <c r="B43" s="32"/>
      <c r="E43" s="221"/>
      <c r="G43" s="221"/>
      <c r="H43" s="224"/>
      <c r="J43" s="221"/>
    </row>
    <row r="44" spans="1:13">
      <c r="A44" s="207" t="s">
        <v>1310</v>
      </c>
      <c r="B44" s="32" t="s">
        <v>606</v>
      </c>
      <c r="C44" s="207" t="s">
        <v>1007</v>
      </c>
      <c r="D44" s="231" t="s">
        <v>588</v>
      </c>
      <c r="E44" s="221"/>
      <c r="F44" s="207" t="s">
        <v>1008</v>
      </c>
      <c r="G44" s="221" t="s">
        <v>595</v>
      </c>
      <c r="H44" s="224"/>
      <c r="I44" s="207" t="s">
        <v>1312</v>
      </c>
      <c r="J44" s="221" t="s">
        <v>665</v>
      </c>
      <c r="L44" s="208" t="s">
        <v>614</v>
      </c>
      <c r="M44" s="208" t="s">
        <v>615</v>
      </c>
    </row>
    <row r="45" spans="1:13">
      <c r="A45">
        <v>0</v>
      </c>
      <c r="B45" s="32">
        <f>(A45*200)/5.95</f>
        <v>0</v>
      </c>
      <c r="E45" s="221"/>
      <c r="F45">
        <v>8</v>
      </c>
      <c r="G45" s="221">
        <f>974.81*EXP(1.2863*F45)</f>
        <v>28706742.407029379</v>
      </c>
      <c r="H45" s="224">
        <f t="shared" ref="H45:H56" si="5">G45*$B$3</f>
        <v>37318765.129138194</v>
      </c>
      <c r="I45">
        <v>6.6</v>
      </c>
      <c r="J45" s="221">
        <f>974.81*EXP(1.2863*I45)</f>
        <v>4741303.1413076501</v>
      </c>
      <c r="K45" s="224">
        <f>J45*$B$3</f>
        <v>6163694.0836999454</v>
      </c>
      <c r="L45">
        <v>1.8</v>
      </c>
      <c r="M45" s="217">
        <v>10000</v>
      </c>
    </row>
    <row r="46" spans="1:13">
      <c r="A46">
        <v>0.3</v>
      </c>
      <c r="B46" s="32">
        <f t="shared" ref="B46:B56" si="6">(A46*200)/5.95</f>
        <v>10.084033613445378</v>
      </c>
      <c r="C46">
        <v>6.05</v>
      </c>
      <c r="D46" s="231">
        <f>974.81*EXP(1.2863*C46)</f>
        <v>2336950.8456761567</v>
      </c>
      <c r="E46" s="221">
        <f t="shared" si="2"/>
        <v>1168475.4228380783</v>
      </c>
      <c r="F46">
        <v>5.8</v>
      </c>
      <c r="G46" s="221">
        <f t="shared" ref="G46:G56" si="7">974.81*EXP(1.2863*F46)</f>
        <v>1694303.9749456458</v>
      </c>
      <c r="H46" s="224">
        <f t="shared" si="5"/>
        <v>2202595.1674293396</v>
      </c>
      <c r="I46">
        <v>3.9</v>
      </c>
      <c r="J46" s="221">
        <f t="shared" ref="J46:J51" si="8">974.81*EXP(1.2863*I46)</f>
        <v>147091.86171514555</v>
      </c>
      <c r="K46" s="224">
        <f t="shared" ref="K46:K51" si="9">J46*$B$3</f>
        <v>191219.42022968922</v>
      </c>
      <c r="L46">
        <v>3.6</v>
      </c>
      <c r="M46" s="217">
        <v>100000</v>
      </c>
    </row>
    <row r="47" spans="1:13">
      <c r="A47">
        <v>0.4</v>
      </c>
      <c r="B47" s="32">
        <f t="shared" si="6"/>
        <v>13.445378151260504</v>
      </c>
      <c r="C47">
        <v>5.5</v>
      </c>
      <c r="D47" s="231">
        <f t="shared" ref="D47:D52" si="10">974.81*EXP(1.2863*C47)</f>
        <v>1151864.6018487373</v>
      </c>
      <c r="E47" s="221">
        <f t="shared" si="2"/>
        <v>575932.30092436867</v>
      </c>
      <c r="F47">
        <v>5.0999999999999996</v>
      </c>
      <c r="G47" s="221">
        <f t="shared" si="7"/>
        <v>688570.21891880129</v>
      </c>
      <c r="H47" s="224">
        <f t="shared" si="5"/>
        <v>895141.28459444165</v>
      </c>
      <c r="I47">
        <v>3.9</v>
      </c>
      <c r="J47" s="221">
        <f t="shared" si="8"/>
        <v>147091.86171514555</v>
      </c>
      <c r="K47" s="224">
        <f t="shared" si="9"/>
        <v>191219.42022968922</v>
      </c>
      <c r="L47">
        <v>5.4</v>
      </c>
      <c r="M47" s="217">
        <v>1000000</v>
      </c>
    </row>
    <row r="48" spans="1:13">
      <c r="A48">
        <v>0.6</v>
      </c>
      <c r="B48" s="32">
        <f t="shared" si="6"/>
        <v>20.168067226890756</v>
      </c>
      <c r="E48" s="221"/>
      <c r="F48">
        <v>6.05</v>
      </c>
      <c r="G48" s="221">
        <f t="shared" si="7"/>
        <v>2336950.8456761567</v>
      </c>
      <c r="H48" s="224">
        <f t="shared" si="5"/>
        <v>3038036.099379004</v>
      </c>
      <c r="I48">
        <v>5.25</v>
      </c>
      <c r="J48" s="221">
        <f t="shared" si="8"/>
        <v>835109.03839607083</v>
      </c>
      <c r="K48" s="224">
        <f t="shared" si="9"/>
        <v>1085641.749914892</v>
      </c>
      <c r="L48">
        <v>7.2</v>
      </c>
      <c r="M48" s="217">
        <v>10000000</v>
      </c>
    </row>
    <row r="49" spans="1:13">
      <c r="A49">
        <v>0.7</v>
      </c>
      <c r="B49" s="32">
        <f t="shared" si="6"/>
        <v>23.52941176470588</v>
      </c>
      <c r="E49" s="221"/>
      <c r="F49">
        <v>5.8</v>
      </c>
      <c r="G49" s="221">
        <f t="shared" si="7"/>
        <v>1694303.9749456458</v>
      </c>
      <c r="H49" s="224">
        <f t="shared" si="5"/>
        <v>2202595.1674293396</v>
      </c>
      <c r="J49" s="221"/>
      <c r="L49">
        <v>8.9499999999999993</v>
      </c>
      <c r="M49" s="217">
        <v>100000000</v>
      </c>
    </row>
    <row r="50" spans="1:13">
      <c r="A50">
        <v>0.9</v>
      </c>
      <c r="B50" s="32">
        <f t="shared" si="6"/>
        <v>30.252100840336134</v>
      </c>
      <c r="C50">
        <v>4.8</v>
      </c>
      <c r="D50" s="231">
        <f t="shared" si="10"/>
        <v>468121.23018553865</v>
      </c>
      <c r="E50" s="221">
        <f t="shared" si="2"/>
        <v>234060.61509276932</v>
      </c>
      <c r="F50">
        <v>3.6</v>
      </c>
      <c r="G50" s="221">
        <f t="shared" si="7"/>
        <v>99999.711524693237</v>
      </c>
      <c r="H50" s="224">
        <f t="shared" si="5"/>
        <v>129999.62498210122</v>
      </c>
      <c r="I50">
        <v>5.3</v>
      </c>
      <c r="J50" s="221">
        <f t="shared" si="8"/>
        <v>890583.88771625725</v>
      </c>
      <c r="K50" s="224">
        <f t="shared" si="9"/>
        <v>1157759.0540311344</v>
      </c>
    </row>
    <row r="51" spans="1:13">
      <c r="A51">
        <v>1.3</v>
      </c>
      <c r="B51" s="32">
        <f t="shared" si="6"/>
        <v>43.69747899159664</v>
      </c>
      <c r="C51">
        <v>5.05</v>
      </c>
      <c r="D51" s="231">
        <f t="shared" si="10"/>
        <v>645678.88698729617</v>
      </c>
      <c r="E51" s="221">
        <f t="shared" si="2"/>
        <v>322839.44349364808</v>
      </c>
      <c r="F51">
        <v>5.6</v>
      </c>
      <c r="G51" s="221">
        <f t="shared" si="7"/>
        <v>1309980.1995463634</v>
      </c>
      <c r="H51" s="224">
        <f t="shared" si="5"/>
        <v>1702974.2594102726</v>
      </c>
      <c r="I51">
        <v>4.25</v>
      </c>
      <c r="J51" s="221">
        <f t="shared" si="8"/>
        <v>230733.25458353609</v>
      </c>
      <c r="K51" s="224">
        <f t="shared" si="9"/>
        <v>299953.23095859692</v>
      </c>
    </row>
    <row r="52" spans="1:13">
      <c r="A52">
        <v>1.5</v>
      </c>
      <c r="B52" s="32">
        <f t="shared" si="6"/>
        <v>50.420168067226889</v>
      </c>
      <c r="C52">
        <v>3.9</v>
      </c>
      <c r="D52" s="231">
        <f t="shared" si="10"/>
        <v>147091.86171514555</v>
      </c>
      <c r="E52" s="221">
        <f t="shared" si="2"/>
        <v>73545.930857572777</v>
      </c>
      <c r="F52">
        <v>1.5</v>
      </c>
      <c r="G52" s="221">
        <f t="shared" si="7"/>
        <v>6712.2707142859063</v>
      </c>
      <c r="H52" s="224">
        <f t="shared" si="5"/>
        <v>8725.9519285716779</v>
      </c>
      <c r="J52" s="221"/>
    </row>
    <row r="53" spans="1:13">
      <c r="A53">
        <v>1.6</v>
      </c>
      <c r="B53" s="32">
        <f t="shared" si="6"/>
        <v>53.781512605042018</v>
      </c>
      <c r="E53" s="221"/>
      <c r="F53">
        <v>2.7</v>
      </c>
      <c r="G53" s="221">
        <f t="shared" si="7"/>
        <v>31421.654884814146</v>
      </c>
      <c r="H53" s="224">
        <f t="shared" si="5"/>
        <v>40848.151350258391</v>
      </c>
      <c r="J53" s="221"/>
    </row>
    <row r="54" spans="1:13">
      <c r="A54">
        <v>2</v>
      </c>
      <c r="B54" s="32">
        <f t="shared" si="6"/>
        <v>67.226890756302524</v>
      </c>
      <c r="E54" s="221"/>
      <c r="F54">
        <v>2.9</v>
      </c>
      <c r="G54" s="221">
        <f t="shared" si="7"/>
        <v>40640.182797531372</v>
      </c>
      <c r="H54" s="224">
        <f t="shared" si="5"/>
        <v>52832.237636790785</v>
      </c>
      <c r="J54" s="221"/>
    </row>
    <row r="55" spans="1:13">
      <c r="A55">
        <v>3.8</v>
      </c>
      <c r="B55" s="32">
        <f t="shared" si="6"/>
        <v>127.73109243697479</v>
      </c>
      <c r="E55" s="221"/>
      <c r="F55">
        <v>3.5</v>
      </c>
      <c r="G55" s="221">
        <f t="shared" si="7"/>
        <v>87929.670952482644</v>
      </c>
      <c r="H55" s="224">
        <f t="shared" si="5"/>
        <v>114308.57223822744</v>
      </c>
      <c r="J55" s="221"/>
    </row>
    <row r="56" spans="1:13">
      <c r="A56">
        <v>4.7</v>
      </c>
      <c r="B56" s="32">
        <f t="shared" si="6"/>
        <v>157.98319327731093</v>
      </c>
      <c r="E56" s="221"/>
      <c r="F56">
        <v>2.8</v>
      </c>
      <c r="G56" s="221">
        <f t="shared" si="7"/>
        <v>35734.882094667533</v>
      </c>
      <c r="H56" s="224">
        <f t="shared" si="5"/>
        <v>46455.346723067792</v>
      </c>
      <c r="J56" s="221"/>
    </row>
    <row r="57" spans="1:13">
      <c r="B57" s="32"/>
      <c r="E57" s="221"/>
      <c r="G57" s="221"/>
      <c r="H57" s="224"/>
      <c r="J57" s="221"/>
    </row>
    <row r="58" spans="1:13">
      <c r="B58" s="32"/>
      <c r="E58" s="221"/>
      <c r="G58" s="221"/>
      <c r="H58" s="224"/>
      <c r="J58" s="221"/>
    </row>
    <row r="59" spans="1:13">
      <c r="A59" s="228" t="s">
        <v>1159</v>
      </c>
      <c r="B59" s="32"/>
      <c r="E59" s="221"/>
      <c r="G59" s="221"/>
      <c r="H59" s="224"/>
      <c r="J59" s="221"/>
    </row>
    <row r="60" spans="1:13">
      <c r="A60" s="208" t="s">
        <v>644</v>
      </c>
      <c r="B60" s="32" t="s">
        <v>606</v>
      </c>
      <c r="C60" s="208" t="s">
        <v>645</v>
      </c>
      <c r="D60" s="231" t="s">
        <v>588</v>
      </c>
      <c r="E60" s="221"/>
      <c r="F60" s="208" t="s">
        <v>646</v>
      </c>
      <c r="G60" s="221"/>
      <c r="H60" s="224"/>
      <c r="I60" s="208" t="s">
        <v>605</v>
      </c>
      <c r="J60" s="221"/>
      <c r="L60" s="208" t="s">
        <v>586</v>
      </c>
      <c r="M60" s="208" t="s">
        <v>667</v>
      </c>
    </row>
    <row r="61" spans="1:13">
      <c r="A61">
        <v>0</v>
      </c>
      <c r="B61" s="32">
        <f>(A61*200)/4</f>
        <v>0</v>
      </c>
      <c r="C61">
        <v>4.2</v>
      </c>
      <c r="D61" s="231">
        <f>972.75*EXP(1.8643*C61)</f>
        <v>2446544.3362498991</v>
      </c>
      <c r="E61" s="221">
        <f t="shared" si="2"/>
        <v>1223272.1681249496</v>
      </c>
      <c r="F61">
        <v>2.5</v>
      </c>
      <c r="G61" s="221">
        <f>972.75*EXP(1.8643*F61)</f>
        <v>102834.59594985202</v>
      </c>
      <c r="H61" s="224">
        <f t="shared" ref="H61:H66" si="11">G61*$B$3</f>
        <v>133684.97473480765</v>
      </c>
      <c r="I61">
        <v>1.8</v>
      </c>
      <c r="J61" s="221">
        <f>972.75*EXP(1.8643*I61)</f>
        <v>27885.639216324904</v>
      </c>
      <c r="K61" s="224">
        <f>J61*$B$3</f>
        <v>36251.330981222374</v>
      </c>
      <c r="L61" s="208">
        <v>1.25</v>
      </c>
      <c r="M61" s="217">
        <v>10000</v>
      </c>
    </row>
    <row r="62" spans="1:13">
      <c r="A62">
        <v>0.15</v>
      </c>
      <c r="B62" s="32">
        <f t="shared" ref="B62:B71" si="12">(A62*200)/4</f>
        <v>7.5</v>
      </c>
      <c r="C62">
        <v>3.1</v>
      </c>
      <c r="D62" s="231">
        <f t="shared" ref="D62:D71" si="13">972.75*EXP(1.8643*C62)</f>
        <v>314725.81552598247</v>
      </c>
      <c r="E62" s="221">
        <f t="shared" si="2"/>
        <v>157362.90776299124</v>
      </c>
      <c r="F62">
        <v>4.9000000000000004</v>
      </c>
      <c r="G62" s="221">
        <f t="shared" ref="G62:G70" si="14">972.75*EXP(1.8643*F62)</f>
        <v>9022185.0874543004</v>
      </c>
      <c r="H62" s="224">
        <f t="shared" si="11"/>
        <v>11728840.61369059</v>
      </c>
      <c r="I62">
        <v>2.1</v>
      </c>
      <c r="J62" s="221">
        <f>972.75*EXP(1.8643*I62)</f>
        <v>48783.9728095928</v>
      </c>
      <c r="K62" s="224">
        <f>J62*$B$3</f>
        <v>63419.164652470645</v>
      </c>
      <c r="L62" s="208">
        <v>2.5</v>
      </c>
      <c r="M62" s="217">
        <v>100000</v>
      </c>
    </row>
    <row r="63" spans="1:13">
      <c r="A63">
        <v>0.1</v>
      </c>
      <c r="B63" s="32">
        <f t="shared" si="12"/>
        <v>5</v>
      </c>
      <c r="C63">
        <v>4.1500000000000004</v>
      </c>
      <c r="D63" s="231">
        <f t="shared" si="13"/>
        <v>2228796.0547087407</v>
      </c>
      <c r="E63" s="221">
        <f t="shared" si="2"/>
        <v>1114398.0273543703</v>
      </c>
      <c r="F63">
        <v>4.9000000000000004</v>
      </c>
      <c r="G63" s="221">
        <f t="shared" si="14"/>
        <v>9022185.0874543004</v>
      </c>
      <c r="H63" s="224">
        <f t="shared" si="11"/>
        <v>11728840.61369059</v>
      </c>
      <c r="I63">
        <v>2.2000000000000002</v>
      </c>
      <c r="J63" s="221">
        <f>972.75*EXP(1.8643*I63)</f>
        <v>58781.773530552608</v>
      </c>
      <c r="K63" s="224">
        <f>J63*$B$3</f>
        <v>76416.305589718395</v>
      </c>
      <c r="L63" s="208">
        <v>3.7</v>
      </c>
      <c r="M63" s="217">
        <v>1000000</v>
      </c>
    </row>
    <row r="64" spans="1:13">
      <c r="A64">
        <v>0.5</v>
      </c>
      <c r="B64" s="32">
        <f t="shared" si="12"/>
        <v>25</v>
      </c>
      <c r="C64">
        <v>3</v>
      </c>
      <c r="D64" s="231">
        <f t="shared" si="13"/>
        <v>261196.19577514473</v>
      </c>
      <c r="E64" s="221">
        <f t="shared" si="2"/>
        <v>130598.09788757237</v>
      </c>
      <c r="F64">
        <v>3.7</v>
      </c>
      <c r="G64" s="221">
        <f t="shared" si="14"/>
        <v>963219.99462902721</v>
      </c>
      <c r="H64" s="224">
        <f t="shared" si="11"/>
        <v>1252185.9930177354</v>
      </c>
      <c r="I64">
        <v>2.1</v>
      </c>
      <c r="J64" s="221">
        <f>972.75*EXP(1.8643*I64)</f>
        <v>48783.9728095928</v>
      </c>
      <c r="K64" s="224">
        <f>J64*$B$3</f>
        <v>63419.164652470645</v>
      </c>
      <c r="L64" s="208">
        <v>4.95</v>
      </c>
      <c r="M64" s="217">
        <v>10000000</v>
      </c>
    </row>
    <row r="65" spans="1:13">
      <c r="A65">
        <v>0.6</v>
      </c>
      <c r="B65" s="32">
        <f t="shared" si="12"/>
        <v>30</v>
      </c>
      <c r="C65">
        <v>3</v>
      </c>
      <c r="D65" s="231">
        <f t="shared" si="13"/>
        <v>261196.19577514473</v>
      </c>
      <c r="E65" s="221">
        <f t="shared" si="2"/>
        <v>130598.09788757237</v>
      </c>
      <c r="F65">
        <v>3.2</v>
      </c>
      <c r="G65" s="221">
        <f t="shared" si="14"/>
        <v>379225.81017897202</v>
      </c>
      <c r="H65" s="224">
        <f t="shared" si="11"/>
        <v>492993.55323266366</v>
      </c>
      <c r="I65">
        <v>1.5</v>
      </c>
      <c r="J65" s="221">
        <f>972.75*EXP(1.8643*I65)</f>
        <v>15939.843143527856</v>
      </c>
      <c r="K65" s="224">
        <f>J65*$B$3</f>
        <v>20721.796086586215</v>
      </c>
      <c r="L65" s="208">
        <v>6.2</v>
      </c>
      <c r="M65" s="217">
        <v>100000000</v>
      </c>
    </row>
    <row r="66" spans="1:13">
      <c r="A66">
        <v>0.8</v>
      </c>
      <c r="B66" s="32">
        <f t="shared" si="12"/>
        <v>40</v>
      </c>
      <c r="C66">
        <v>2.8</v>
      </c>
      <c r="D66" s="231">
        <f t="shared" si="13"/>
        <v>179901.92348777721</v>
      </c>
      <c r="E66" s="221">
        <f t="shared" si="2"/>
        <v>89950.961743888605</v>
      </c>
      <c r="F66">
        <v>3.4</v>
      </c>
      <c r="G66" s="221">
        <f t="shared" si="14"/>
        <v>550590.77211714373</v>
      </c>
      <c r="H66" s="224">
        <f t="shared" si="11"/>
        <v>715768.0037522869</v>
      </c>
      <c r="J66" s="221"/>
    </row>
    <row r="67" spans="1:13">
      <c r="A67">
        <v>1.1000000000000001</v>
      </c>
      <c r="B67" s="32">
        <f t="shared" si="12"/>
        <v>55.000000000000007</v>
      </c>
      <c r="C67">
        <v>2.75</v>
      </c>
      <c r="D67" s="231">
        <f t="shared" si="13"/>
        <v>163890.22318666679</v>
      </c>
      <c r="E67" s="221">
        <f t="shared" si="2"/>
        <v>81945.111593333393</v>
      </c>
      <c r="G67" s="221"/>
      <c r="H67" s="224"/>
      <c r="J67" s="221"/>
    </row>
    <row r="68" spans="1:13">
      <c r="A68">
        <v>1.3</v>
      </c>
      <c r="B68" s="32">
        <f t="shared" si="12"/>
        <v>65</v>
      </c>
      <c r="C68">
        <v>2.4500000000000002</v>
      </c>
      <c r="D68" s="231">
        <f t="shared" si="13"/>
        <v>93682.071624303717</v>
      </c>
      <c r="E68" s="221">
        <f t="shared" si="2"/>
        <v>46841.035812151858</v>
      </c>
      <c r="G68" s="221"/>
      <c r="H68" s="224"/>
      <c r="J68" s="221"/>
    </row>
    <row r="69" spans="1:13">
      <c r="A69">
        <v>1.5</v>
      </c>
      <c r="B69" s="32">
        <f t="shared" si="12"/>
        <v>75</v>
      </c>
      <c r="E69" s="221"/>
      <c r="F69">
        <v>3.35</v>
      </c>
      <c r="G69" s="221">
        <f t="shared" si="14"/>
        <v>501586.88010319555</v>
      </c>
      <c r="H69" s="224">
        <f>G69*$B$3</f>
        <v>652062.94413415424</v>
      </c>
      <c r="J69" s="221"/>
    </row>
    <row r="70" spans="1:13">
      <c r="A70">
        <v>1.7</v>
      </c>
      <c r="B70" s="32">
        <f t="shared" si="12"/>
        <v>85</v>
      </c>
      <c r="C70">
        <v>2.5</v>
      </c>
      <c r="D70" s="231">
        <f t="shared" si="13"/>
        <v>102834.59594985202</v>
      </c>
      <c r="E70" s="221">
        <f t="shared" si="2"/>
        <v>51417.297974926012</v>
      </c>
      <c r="F70">
        <v>3.8</v>
      </c>
      <c r="G70" s="221">
        <f t="shared" si="14"/>
        <v>1160622.5635901866</v>
      </c>
      <c r="H70" s="224">
        <f>G70*$B$3</f>
        <v>1508809.3326672427</v>
      </c>
      <c r="J70" s="221"/>
    </row>
    <row r="71" spans="1:13">
      <c r="A71">
        <v>2.7</v>
      </c>
      <c r="B71" s="32">
        <f t="shared" si="12"/>
        <v>135</v>
      </c>
      <c r="C71">
        <v>3</v>
      </c>
      <c r="D71" s="231">
        <f t="shared" si="13"/>
        <v>261196.19577514473</v>
      </c>
      <c r="E71" s="221">
        <f>D71/2</f>
        <v>130598.09788757237</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G14" sqref="G14"/>
    </sheetView>
  </sheetViews>
  <sheetFormatPr baseColWidth="10" defaultRowHeight="13" x14ac:dyDescent="0"/>
  <cols>
    <col min="1" max="1" width="21.7109375" customWidth="1"/>
  </cols>
  <sheetData>
    <row r="1" spans="1:11">
      <c r="A1" t="s">
        <v>413</v>
      </c>
    </row>
    <row r="2" spans="1:11" s="303" customFormat="1"/>
    <row r="3" spans="1:11" s="303" customFormat="1">
      <c r="A3" s="303" t="s">
        <v>356</v>
      </c>
    </row>
    <row r="4" spans="1:11" s="303" customFormat="1">
      <c r="A4" s="303">
        <f>2.5*0.1+0.9</f>
        <v>1.1499999999999999</v>
      </c>
    </row>
    <row r="5" spans="1:11" s="303" customFormat="1">
      <c r="C5" s="303" t="s">
        <v>576</v>
      </c>
    </row>
    <row r="6" spans="1:11">
      <c r="A6" t="s">
        <v>412</v>
      </c>
    </row>
    <row r="7" spans="1:11" s="43" customFormat="1" ht="130">
      <c r="B7" s="43" t="s">
        <v>415</v>
      </c>
      <c r="C7" s="43" t="s">
        <v>965</v>
      </c>
      <c r="D7" s="43" t="s">
        <v>416</v>
      </c>
      <c r="E7" s="43" t="s">
        <v>269</v>
      </c>
      <c r="F7" s="43" t="s">
        <v>864</v>
      </c>
      <c r="G7" s="43" t="s">
        <v>272</v>
      </c>
      <c r="H7" s="43" t="s">
        <v>273</v>
      </c>
      <c r="I7" s="43" t="s">
        <v>274</v>
      </c>
      <c r="J7" s="43" t="s">
        <v>439</v>
      </c>
    </row>
    <row r="8" spans="1:11">
      <c r="A8" t="s">
        <v>414</v>
      </c>
      <c r="B8">
        <v>1</v>
      </c>
      <c r="C8">
        <v>0.45854449366199801</v>
      </c>
      <c r="D8">
        <v>4.3271889400921602</v>
      </c>
      <c r="E8">
        <v>1.5207373271889399</v>
      </c>
      <c r="F8">
        <f>C8*0.01</f>
        <v>4.5854449366199805E-3</v>
      </c>
      <c r="G8" s="301">
        <f>B8*10^9*0.1/$A$4</f>
        <v>86956521.739130437</v>
      </c>
      <c r="H8" s="301">
        <f>D8*10^8*0.1/$A$4</f>
        <v>37627729.913844876</v>
      </c>
      <c r="I8" s="301">
        <f>E8*10^8*0.1/$A$4</f>
        <v>13223802.84512122</v>
      </c>
      <c r="K8" s="181"/>
    </row>
    <row r="9" spans="1:11">
      <c r="A9" s="303" t="s">
        <v>414</v>
      </c>
      <c r="B9">
        <v>0.78341013824884798</v>
      </c>
      <c r="C9">
        <v>2.6237091029781499</v>
      </c>
      <c r="D9">
        <v>3.4680629270618102</v>
      </c>
      <c r="E9">
        <v>0.855159701255362</v>
      </c>
      <c r="F9" s="303">
        <f t="shared" ref="F9:F31" si="0">C9*0.01</f>
        <v>2.6237091029781501E-2</v>
      </c>
      <c r="G9" s="301">
        <f t="shared" ref="G9:G31" si="1">B9*10^9*0.1/$A$4</f>
        <v>68122620.717291132</v>
      </c>
      <c r="H9" s="301">
        <f t="shared" ref="H9:H31" si="2">D9*10^8*0.1/$A$4</f>
        <v>30157068.930972267</v>
      </c>
      <c r="I9" s="301">
        <f t="shared" ref="I9:I31" si="3">E9*10^8*0.1/$A$4</f>
        <v>7436171.3152640192</v>
      </c>
      <c r="J9">
        <v>1.1089108910890999</v>
      </c>
      <c r="K9" s="181"/>
    </row>
    <row r="10" spans="1:11">
      <c r="A10" s="303" t="s">
        <v>414</v>
      </c>
      <c r="B10">
        <v>0.88018433179723499</v>
      </c>
      <c r="C10">
        <v>4.7615877554667598</v>
      </c>
      <c r="D10">
        <v>2.4291943429207001</v>
      </c>
      <c r="E10">
        <v>0.88086445256634305</v>
      </c>
      <c r="F10" s="303">
        <f t="shared" si="0"/>
        <v>4.7615877554667597E-2</v>
      </c>
      <c r="G10" s="301">
        <f t="shared" si="1"/>
        <v>76537767.982368261</v>
      </c>
      <c r="H10" s="301">
        <f t="shared" si="2"/>
        <v>21123429.068875656</v>
      </c>
      <c r="I10" s="301">
        <f t="shared" si="3"/>
        <v>7659690.8918812452</v>
      </c>
      <c r="K10" s="181"/>
    </row>
    <row r="11" spans="1:11">
      <c r="A11" s="303" t="s">
        <v>414</v>
      </c>
      <c r="B11">
        <v>0.65898617511520696</v>
      </c>
      <c r="C11">
        <v>6.9268481049823096</v>
      </c>
      <c r="D11">
        <v>2.1507897664071098</v>
      </c>
      <c r="E11">
        <v>0.63003337041156804</v>
      </c>
      <c r="F11" s="303">
        <f t="shared" si="0"/>
        <v>6.9268481049823097E-2</v>
      </c>
      <c r="G11" s="301">
        <f t="shared" si="1"/>
        <v>57303145.66219192</v>
      </c>
      <c r="H11" s="301">
        <f t="shared" si="2"/>
        <v>18702519.707887914</v>
      </c>
      <c r="I11" s="301">
        <f t="shared" si="3"/>
        <v>5478551.0470571145</v>
      </c>
      <c r="J11">
        <v>1.58811881188118</v>
      </c>
      <c r="K11" s="181"/>
    </row>
    <row r="12" spans="1:11">
      <c r="A12" s="303" t="s">
        <v>414</v>
      </c>
      <c r="B12">
        <v>0.69124423963133497</v>
      </c>
      <c r="C12">
        <v>9.0452914969937499</v>
      </c>
      <c r="D12">
        <v>1.7064293659621801</v>
      </c>
      <c r="E12">
        <v>0.69719370729381702</v>
      </c>
      <c r="F12" s="303">
        <f t="shared" si="0"/>
        <v>9.0452914969937501E-2</v>
      </c>
      <c r="G12" s="301">
        <f t="shared" si="1"/>
        <v>60108194.750550874</v>
      </c>
      <c r="H12" s="301">
        <f t="shared" si="2"/>
        <v>14838516.225758089</v>
      </c>
      <c r="I12" s="301">
        <f t="shared" si="3"/>
        <v>6062553.9764679745</v>
      </c>
      <c r="J12">
        <v>1.6910891089108899</v>
      </c>
      <c r="K12" s="181"/>
    </row>
    <row r="13" spans="1:11">
      <c r="A13" s="303" t="s">
        <v>414</v>
      </c>
      <c r="B13">
        <v>0.61290322580645096</v>
      </c>
      <c r="C13">
        <v>11.1660326537906</v>
      </c>
      <c r="D13">
        <v>2.00861274431908</v>
      </c>
      <c r="E13">
        <v>0.58463054187191998</v>
      </c>
      <c r="F13" s="303">
        <f t="shared" si="0"/>
        <v>0.111660326537906</v>
      </c>
      <c r="G13" s="301">
        <f t="shared" si="1"/>
        <v>53295932.678821832</v>
      </c>
      <c r="H13" s="301">
        <f t="shared" si="2"/>
        <v>17466197.776687656</v>
      </c>
      <c r="I13" s="301">
        <f t="shared" si="3"/>
        <v>5083743.8423645226</v>
      </c>
      <c r="K13" s="181"/>
    </row>
    <row r="14" spans="1:11">
      <c r="A14" s="303" t="s">
        <v>414</v>
      </c>
      <c r="B14">
        <v>0.52995391705069095</v>
      </c>
      <c r="C14">
        <v>13.307645174055599</v>
      </c>
      <c r="D14">
        <v>1.52272048307643</v>
      </c>
      <c r="E14">
        <v>0.66561576354679697</v>
      </c>
      <c r="F14" s="303">
        <f t="shared" si="0"/>
        <v>0.13307645174055599</v>
      </c>
      <c r="G14" s="301">
        <f t="shared" si="1"/>
        <v>46082949.308755741</v>
      </c>
      <c r="H14" s="301">
        <f t="shared" si="2"/>
        <v>13241047.678925481</v>
      </c>
      <c r="I14" s="301">
        <f t="shared" si="3"/>
        <v>5787963.161276496</v>
      </c>
      <c r="J14">
        <v>1.7148514851485099</v>
      </c>
      <c r="K14" s="181"/>
    </row>
    <row r="15" spans="1:11">
      <c r="A15" s="303" t="s">
        <v>414</v>
      </c>
      <c r="B15">
        <v>0.38248847926267199</v>
      </c>
      <c r="C15">
        <v>15.533700550187</v>
      </c>
      <c r="D15">
        <v>1.4654759256316501</v>
      </c>
      <c r="E15">
        <v>0.62215795328142398</v>
      </c>
      <c r="F15" s="303">
        <f t="shared" si="0"/>
        <v>0.15533700550186999</v>
      </c>
      <c r="G15" s="301">
        <f t="shared" si="1"/>
        <v>33259867.761971481</v>
      </c>
      <c r="H15" s="301">
        <f t="shared" si="2"/>
        <v>12743268.918536089</v>
      </c>
      <c r="I15" s="301">
        <f t="shared" si="3"/>
        <v>5410069.158968905</v>
      </c>
      <c r="K15" s="181"/>
    </row>
    <row r="16" spans="1:11">
      <c r="A16" t="s">
        <v>270</v>
      </c>
      <c r="B16">
        <v>1.13824884792626</v>
      </c>
      <c r="C16">
        <v>0.5</v>
      </c>
      <c r="D16">
        <v>6.1524249422632797</v>
      </c>
      <c r="E16">
        <v>2.1616884072342</v>
      </c>
      <c r="F16" s="303">
        <f t="shared" si="0"/>
        <v>5.0000000000000001E-3</v>
      </c>
      <c r="G16" s="301">
        <f t="shared" si="1"/>
        <v>98978160.689240009</v>
      </c>
      <c r="H16" s="301">
        <f t="shared" si="2"/>
        <v>53499347.324028529</v>
      </c>
      <c r="I16" s="301">
        <f t="shared" si="3"/>
        <v>18797290.4976887</v>
      </c>
      <c r="K16" s="181"/>
    </row>
    <row r="17" spans="1:11">
      <c r="A17" s="303" t="s">
        <v>270</v>
      </c>
      <c r="B17">
        <v>0.93614219881500904</v>
      </c>
      <c r="C17">
        <v>2.6428571428571401</v>
      </c>
      <c r="D17">
        <v>3.2490963643458901</v>
      </c>
      <c r="E17">
        <v>2.3068330849001599</v>
      </c>
      <c r="F17" s="303">
        <f t="shared" si="0"/>
        <v>2.6428571428571402E-2</v>
      </c>
      <c r="G17" s="301">
        <f t="shared" si="1"/>
        <v>81403669.462174699</v>
      </c>
      <c r="H17" s="301">
        <f t="shared" si="2"/>
        <v>28253011.863877308</v>
      </c>
      <c r="I17" s="301">
        <f t="shared" si="3"/>
        <v>20059418.12956661</v>
      </c>
      <c r="J17">
        <v>1.23694779116465</v>
      </c>
      <c r="K17" s="181"/>
    </row>
    <row r="18" spans="1:11">
      <c r="A18" s="303" t="s">
        <v>270</v>
      </c>
      <c r="B18">
        <v>0.79393699227263603</v>
      </c>
      <c r="C18">
        <v>4.7649098474341196</v>
      </c>
      <c r="D18">
        <v>2.7476665408507199</v>
      </c>
      <c r="E18">
        <v>2.1933428441652301</v>
      </c>
      <c r="F18" s="303">
        <f t="shared" si="0"/>
        <v>4.7649098474341199E-2</v>
      </c>
      <c r="G18" s="301">
        <f t="shared" si="1"/>
        <v>69037999.328055322</v>
      </c>
      <c r="H18" s="301">
        <f t="shared" si="2"/>
        <v>23892752.529136695</v>
      </c>
      <c r="I18" s="301">
        <f t="shared" si="3"/>
        <v>19072546.471002001</v>
      </c>
      <c r="K18" s="181"/>
    </row>
    <row r="19" spans="1:11">
      <c r="A19" s="303" t="s">
        <v>270</v>
      </c>
      <c r="B19">
        <v>0.978946291952421</v>
      </c>
      <c r="C19">
        <v>6.9701803051317501</v>
      </c>
      <c r="D19">
        <v>3.07756872429036</v>
      </c>
      <c r="E19">
        <v>2.1537811954219999</v>
      </c>
      <c r="F19" s="303">
        <f t="shared" si="0"/>
        <v>6.9701803051317499E-2</v>
      </c>
      <c r="G19" s="301">
        <f t="shared" si="1"/>
        <v>85125764.517601833</v>
      </c>
      <c r="H19" s="301">
        <f t="shared" si="2"/>
        <v>26761467.167742267</v>
      </c>
      <c r="I19" s="301">
        <f t="shared" si="3"/>
        <v>18728532.134104349</v>
      </c>
      <c r="J19">
        <v>1.09236947791164</v>
      </c>
      <c r="K19" s="181"/>
    </row>
    <row r="20" spans="1:11">
      <c r="A20" s="303" t="s">
        <v>270</v>
      </c>
      <c r="B20">
        <v>0.76761666144691398</v>
      </c>
      <c r="C20">
        <v>9.0922330097087301</v>
      </c>
      <c r="D20">
        <v>2.7978223180413599</v>
      </c>
      <c r="E20">
        <v>2.0587155258999501</v>
      </c>
      <c r="F20" s="303">
        <f t="shared" si="0"/>
        <v>9.0922330097087306E-2</v>
      </c>
      <c r="G20" s="301">
        <f t="shared" si="1"/>
        <v>66749274.908427306</v>
      </c>
      <c r="H20" s="301">
        <f t="shared" si="2"/>
        <v>24328889.722098786</v>
      </c>
      <c r="I20" s="301">
        <f t="shared" si="3"/>
        <v>17901874.138260435</v>
      </c>
      <c r="J20">
        <v>1.2289156626505999</v>
      </c>
      <c r="K20" s="181"/>
    </row>
    <row r="21" spans="1:11">
      <c r="A21" s="303" t="s">
        <v>270</v>
      </c>
      <c r="B21">
        <v>0.64385102616054302</v>
      </c>
      <c r="C21">
        <v>11.2350901525658</v>
      </c>
      <c r="D21">
        <v>2.7212579887789201</v>
      </c>
      <c r="E21">
        <v>1.22472219201217</v>
      </c>
      <c r="F21" s="303">
        <f t="shared" si="0"/>
        <v>0.11235090152565799</v>
      </c>
      <c r="G21" s="301">
        <f t="shared" si="1"/>
        <v>55987045.753090695</v>
      </c>
      <c r="H21" s="301">
        <f t="shared" si="2"/>
        <v>23663112.945903659</v>
      </c>
      <c r="I21" s="301">
        <f t="shared" si="3"/>
        <v>10649758.191410175</v>
      </c>
      <c r="K21" s="181"/>
    </row>
    <row r="22" spans="1:11">
      <c r="A22" s="303" t="s">
        <v>270</v>
      </c>
      <c r="B22">
        <v>0.56616834018292495</v>
      </c>
      <c r="C22">
        <v>13.377947295423001</v>
      </c>
      <c r="D22">
        <v>1.9610652984716499</v>
      </c>
      <c r="E22">
        <v>1.8502875640541601</v>
      </c>
      <c r="F22" s="303">
        <f t="shared" si="0"/>
        <v>0.13377947295423001</v>
      </c>
      <c r="G22" s="301">
        <f t="shared" si="1"/>
        <v>49232029.581123918</v>
      </c>
      <c r="H22" s="301">
        <f t="shared" si="2"/>
        <v>17052741.725840438</v>
      </c>
      <c r="I22" s="301">
        <f t="shared" si="3"/>
        <v>16089457.078731829</v>
      </c>
      <c r="J22">
        <v>1.15261044176706</v>
      </c>
      <c r="K22" s="181"/>
    </row>
    <row r="23" spans="1:11">
      <c r="A23" s="303" t="s">
        <v>270</v>
      </c>
      <c r="B23">
        <v>0.82949308755760298</v>
      </c>
      <c r="C23">
        <v>15.5</v>
      </c>
      <c r="D23">
        <v>3.5474208799012099</v>
      </c>
      <c r="E23">
        <v>1.0161406920729501</v>
      </c>
      <c r="F23" s="303">
        <f t="shared" si="0"/>
        <v>0.155</v>
      </c>
      <c r="G23" s="301">
        <f t="shared" si="1"/>
        <v>72129833.700661153</v>
      </c>
      <c r="H23" s="301">
        <f t="shared" si="2"/>
        <v>30847138.086097483</v>
      </c>
      <c r="I23" s="301">
        <f t="shared" si="3"/>
        <v>8836006.0180256553</v>
      </c>
      <c r="K23" s="181"/>
    </row>
    <row r="24" spans="1:11">
      <c r="A24" t="s">
        <v>271</v>
      </c>
      <c r="B24">
        <v>1.65650969529085</v>
      </c>
      <c r="C24">
        <v>0.46169403910568702</v>
      </c>
      <c r="D24">
        <v>6.2222365311681003</v>
      </c>
      <c r="E24">
        <v>1.7407261933124201</v>
      </c>
      <c r="F24" s="303">
        <f t="shared" si="0"/>
        <v>4.61694039105687E-3</v>
      </c>
      <c r="G24" s="301">
        <f t="shared" si="1"/>
        <v>144044321.32963914</v>
      </c>
      <c r="H24" s="301">
        <f t="shared" si="2"/>
        <v>54106404.618853055</v>
      </c>
      <c r="I24" s="301">
        <f t="shared" si="3"/>
        <v>15136749.507064523</v>
      </c>
      <c r="K24" s="181"/>
    </row>
    <row r="25" spans="1:11">
      <c r="A25" s="303" t="s">
        <v>271</v>
      </c>
      <c r="B25">
        <v>1.5180055401662</v>
      </c>
      <c r="C25">
        <v>2.6388750449124299</v>
      </c>
      <c r="D25">
        <v>4.1508534928494596</v>
      </c>
      <c r="E25">
        <v>1.70639330856454</v>
      </c>
      <c r="F25" s="303">
        <f t="shared" si="0"/>
        <v>2.6388750449124299E-2</v>
      </c>
      <c r="G25" s="301">
        <f t="shared" si="1"/>
        <v>132000481.75358263</v>
      </c>
      <c r="H25" s="301">
        <f t="shared" si="2"/>
        <v>36094378.198690958</v>
      </c>
      <c r="I25" s="301">
        <f t="shared" si="3"/>
        <v>14838202.683169914</v>
      </c>
      <c r="J25">
        <v>0.64413518886680199</v>
      </c>
      <c r="K25" s="181"/>
    </row>
    <row r="26" spans="1:11">
      <c r="A26" s="303" t="s">
        <v>271</v>
      </c>
      <c r="B26">
        <v>0.980609418282548</v>
      </c>
      <c r="C26">
        <v>4.7993080587396602</v>
      </c>
      <c r="D26">
        <v>2.13494909950226</v>
      </c>
      <c r="E26">
        <v>0.85716309408060198</v>
      </c>
      <c r="F26" s="303">
        <f t="shared" si="0"/>
        <v>4.7993080587396604E-2</v>
      </c>
      <c r="G26" s="301">
        <f t="shared" si="1"/>
        <v>85270384.198482439</v>
      </c>
      <c r="H26" s="301">
        <f t="shared" si="2"/>
        <v>18564774.778280526</v>
      </c>
      <c r="I26" s="301">
        <f t="shared" si="3"/>
        <v>7453592.1224400178</v>
      </c>
      <c r="K26" s="181"/>
    </row>
    <row r="27" spans="1:11">
      <c r="A27" s="303" t="s">
        <v>271</v>
      </c>
      <c r="B27">
        <v>0.83102493074792205</v>
      </c>
      <c r="C27">
        <v>6.9138434613289403</v>
      </c>
      <c r="D27">
        <v>2.7116797486204298</v>
      </c>
      <c r="E27">
        <v>0.87833461040674898</v>
      </c>
      <c r="F27" s="303">
        <f t="shared" si="0"/>
        <v>6.9138434613289404E-2</v>
      </c>
      <c r="G27" s="301">
        <f t="shared" si="1"/>
        <v>72263037.456341058</v>
      </c>
      <c r="H27" s="301">
        <f t="shared" si="2"/>
        <v>23579823.901047215</v>
      </c>
      <c r="I27" s="301">
        <f t="shared" si="3"/>
        <v>7637692.2644065134</v>
      </c>
      <c r="J27">
        <v>4.3896620278330003</v>
      </c>
      <c r="K27" s="181"/>
    </row>
    <row r="28" spans="1:11">
      <c r="A28" s="303" t="s">
        <v>271</v>
      </c>
      <c r="B28">
        <v>0.86426592797783797</v>
      </c>
      <c r="C28">
        <v>9.0892279697261102</v>
      </c>
      <c r="D28">
        <v>3.1772470589750301</v>
      </c>
      <c r="E28">
        <v>0.64021944199403302</v>
      </c>
      <c r="F28" s="303">
        <f t="shared" si="0"/>
        <v>9.0892279697261102E-2</v>
      </c>
      <c r="G28" s="301">
        <f t="shared" si="1"/>
        <v>75153558.954594612</v>
      </c>
      <c r="H28" s="301">
        <f t="shared" si="2"/>
        <v>27628235.295435049</v>
      </c>
      <c r="I28" s="301">
        <f t="shared" si="3"/>
        <v>5567125.5825568093</v>
      </c>
      <c r="J28">
        <v>0.77534791252485102</v>
      </c>
      <c r="K28" s="181"/>
    </row>
    <row r="29" spans="1:11">
      <c r="A29" s="303" t="s">
        <v>271</v>
      </c>
      <c r="B29">
        <v>0.90304709141274198</v>
      </c>
      <c r="C29">
        <v>11.1808725182257</v>
      </c>
      <c r="D29">
        <v>2.8279943079013199</v>
      </c>
      <c r="E29">
        <v>0.95761189416816594</v>
      </c>
      <c r="F29" s="303">
        <f t="shared" si="0"/>
        <v>0.111808725182257</v>
      </c>
      <c r="G29" s="301">
        <f t="shared" si="1"/>
        <v>78525834.035890624</v>
      </c>
      <c r="H29" s="301">
        <f t="shared" si="2"/>
        <v>24591254.851315826</v>
      </c>
      <c r="I29" s="301">
        <f t="shared" si="3"/>
        <v>8327059.9492883999</v>
      </c>
      <c r="K29" s="181"/>
    </row>
    <row r="30" spans="1:11">
      <c r="A30" s="303" t="s">
        <v>271</v>
      </c>
      <c r="B30">
        <v>0.66481994459833804</v>
      </c>
      <c r="C30">
        <v>13.3800171536526</v>
      </c>
      <c r="D30">
        <v>2.21953214039651</v>
      </c>
      <c r="E30">
        <v>0.81211567065670798</v>
      </c>
      <c r="F30" s="303">
        <f t="shared" si="0"/>
        <v>0.13380017153652601</v>
      </c>
      <c r="G30" s="301">
        <f t="shared" si="1"/>
        <v>57810429.965072878</v>
      </c>
      <c r="H30" s="301">
        <f t="shared" si="2"/>
        <v>19300279.481708784</v>
      </c>
      <c r="I30" s="301">
        <f t="shared" si="3"/>
        <v>7061875.3970148535</v>
      </c>
      <c r="K30" s="181"/>
    </row>
    <row r="31" spans="1:11">
      <c r="A31" s="303" t="s">
        <v>271</v>
      </c>
      <c r="B31">
        <v>0.40997229916897499</v>
      </c>
      <c r="C31">
        <v>15.5165741373914</v>
      </c>
      <c r="D31">
        <v>1.3704049503229001</v>
      </c>
      <c r="E31">
        <v>0.46296594399334301</v>
      </c>
      <c r="F31" s="303">
        <f t="shared" si="0"/>
        <v>0.15516574137391401</v>
      </c>
      <c r="G31" s="301">
        <f t="shared" si="1"/>
        <v>35649765.145128265</v>
      </c>
      <c r="H31" s="301">
        <f t="shared" si="2"/>
        <v>11916564.785416525</v>
      </c>
      <c r="I31" s="301">
        <f t="shared" si="3"/>
        <v>4025790.8173334179</v>
      </c>
      <c r="J31">
        <v>1.65805168986083</v>
      </c>
      <c r="K31" s="181"/>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B1" workbookViewId="0">
      <selection activeCell="H9" sqref="H9"/>
    </sheetView>
  </sheetViews>
  <sheetFormatPr baseColWidth="10" defaultRowHeight="13" x14ac:dyDescent="0"/>
  <cols>
    <col min="1" max="1" width="32.5703125" style="303" customWidth="1"/>
    <col min="2" max="6" width="10.7109375" style="303"/>
    <col min="8" max="8" width="11" style="303" bestFit="1" customWidth="1"/>
    <col min="9" max="16384" width="10.7109375" style="303"/>
  </cols>
  <sheetData>
    <row r="1" spans="1:11">
      <c r="A1" s="303" t="s">
        <v>87</v>
      </c>
      <c r="G1" s="303"/>
    </row>
    <row r="2" spans="1:11">
      <c r="A2" s="303" t="s">
        <v>390</v>
      </c>
      <c r="G2" s="303"/>
    </row>
    <row r="3" spans="1:11">
      <c r="A3" s="303" t="s">
        <v>440</v>
      </c>
      <c r="G3" s="303"/>
    </row>
    <row r="5" spans="1:11" s="43" customFormat="1" ht="39">
      <c r="B5" s="43" t="s">
        <v>524</v>
      </c>
      <c r="C5" s="43" t="s">
        <v>965</v>
      </c>
      <c r="D5" s="43" t="s">
        <v>82</v>
      </c>
      <c r="E5" s="43" t="s">
        <v>84</v>
      </c>
      <c r="F5" s="43" t="s">
        <v>83</v>
      </c>
      <c r="G5" s="43" t="s">
        <v>864</v>
      </c>
      <c r="H5" s="43" t="s">
        <v>85</v>
      </c>
      <c r="I5" s="43" t="s">
        <v>233</v>
      </c>
      <c r="J5" s="43" t="s">
        <v>86</v>
      </c>
      <c r="K5" s="43" t="s">
        <v>439</v>
      </c>
    </row>
    <row r="6" spans="1:11">
      <c r="A6" s="303" t="s">
        <v>391</v>
      </c>
      <c r="B6" s="303" t="s">
        <v>81</v>
      </c>
      <c r="C6" s="303" t="s">
        <v>78</v>
      </c>
      <c r="D6" s="303">
        <v>1</v>
      </c>
      <c r="E6" s="303">
        <v>0.67</v>
      </c>
      <c r="F6" s="303">
        <v>0.03</v>
      </c>
      <c r="G6">
        <v>0</v>
      </c>
      <c r="H6" s="301">
        <f>D6*10^9</f>
        <v>1000000000</v>
      </c>
      <c r="I6" s="301">
        <f>E6*10^9</f>
        <v>670000000</v>
      </c>
      <c r="J6" s="301">
        <f>F6*10^9</f>
        <v>30000000</v>
      </c>
      <c r="K6" s="303">
        <v>29.543424958059099</v>
      </c>
    </row>
    <row r="7" spans="1:11">
      <c r="A7" s="303" t="s">
        <v>391</v>
      </c>
      <c r="B7" s="303" t="s">
        <v>80</v>
      </c>
      <c r="C7" s="303" t="s">
        <v>298</v>
      </c>
      <c r="D7" s="303">
        <v>0.9</v>
      </c>
      <c r="E7" s="303">
        <v>0.47</v>
      </c>
      <c r="F7" s="303">
        <v>0.14000000000000001</v>
      </c>
      <c r="G7">
        <v>0.01</v>
      </c>
      <c r="H7" s="301">
        <f t="shared" ref="H7:H24" si="0">D7*10^9</f>
        <v>900000000</v>
      </c>
      <c r="I7" s="301">
        <f t="shared" ref="I7:I24" si="1">E7*10^9</f>
        <v>470000000</v>
      </c>
      <c r="J7" s="301">
        <f t="shared" ref="J7:J24" si="2">F7*10^9</f>
        <v>140000000</v>
      </c>
      <c r="K7" s="303">
        <v>20.117176409859301</v>
      </c>
    </row>
    <row r="8" spans="1:11">
      <c r="A8" s="303" t="s">
        <v>391</v>
      </c>
      <c r="C8" s="303" t="s">
        <v>334</v>
      </c>
      <c r="D8" s="303">
        <v>2.1</v>
      </c>
      <c r="E8" s="303">
        <v>0.49</v>
      </c>
      <c r="F8" s="303">
        <v>0.18</v>
      </c>
      <c r="G8">
        <v>0.03</v>
      </c>
      <c r="H8" s="301">
        <f t="shared" si="0"/>
        <v>2100000000</v>
      </c>
      <c r="I8" s="301">
        <f t="shared" si="1"/>
        <v>490000000</v>
      </c>
      <c r="J8" s="301">
        <f t="shared" si="2"/>
        <v>180000000</v>
      </c>
      <c r="K8" s="303">
        <v>17.1779584462511</v>
      </c>
    </row>
    <row r="9" spans="1:11">
      <c r="A9" s="303" t="s">
        <v>391</v>
      </c>
      <c r="C9" s="303" t="s">
        <v>333</v>
      </c>
      <c r="D9" s="303">
        <v>1.97</v>
      </c>
      <c r="E9" s="303">
        <v>0.28999999999999998</v>
      </c>
      <c r="F9" s="303">
        <v>0.18</v>
      </c>
      <c r="G9">
        <v>0.05</v>
      </c>
      <c r="H9" s="301">
        <f t="shared" si="0"/>
        <v>1970000000</v>
      </c>
      <c r="I9" s="301">
        <f t="shared" si="1"/>
        <v>290000000</v>
      </c>
      <c r="J9" s="301">
        <f t="shared" si="2"/>
        <v>180000000</v>
      </c>
      <c r="K9" s="303">
        <v>16.997031875080602</v>
      </c>
    </row>
    <row r="10" spans="1:11">
      <c r="A10" s="303" t="s">
        <v>391</v>
      </c>
      <c r="C10" s="303" t="s">
        <v>297</v>
      </c>
      <c r="D10" s="303">
        <v>0.61</v>
      </c>
      <c r="E10" s="303">
        <v>0.15</v>
      </c>
      <c r="F10" s="303">
        <v>0.19</v>
      </c>
      <c r="G10">
        <v>7.0000000000000007E-2</v>
      </c>
      <c r="H10" s="301">
        <f t="shared" si="0"/>
        <v>610000000</v>
      </c>
      <c r="I10" s="301">
        <f t="shared" si="1"/>
        <v>150000000</v>
      </c>
      <c r="J10" s="301">
        <f t="shared" si="2"/>
        <v>190000000</v>
      </c>
      <c r="K10" s="303">
        <v>18.151245321977001</v>
      </c>
    </row>
    <row r="11" spans="1:11">
      <c r="A11" s="303" t="s">
        <v>391</v>
      </c>
      <c r="C11" s="303" t="s">
        <v>332</v>
      </c>
      <c r="D11" s="303">
        <v>1.1000000000000001</v>
      </c>
      <c r="E11" s="303">
        <v>0.41</v>
      </c>
      <c r="F11" s="303">
        <v>0.2</v>
      </c>
      <c r="G11">
        <v>0.09</v>
      </c>
      <c r="H11" s="301">
        <f t="shared" si="0"/>
        <v>1100000000</v>
      </c>
      <c r="I11" s="301">
        <f t="shared" si="1"/>
        <v>410000000</v>
      </c>
      <c r="J11" s="301">
        <f t="shared" si="2"/>
        <v>200000000</v>
      </c>
      <c r="K11" s="303">
        <v>18.064266356949201</v>
      </c>
    </row>
    <row r="12" spans="1:11">
      <c r="A12" s="303" t="s">
        <v>391</v>
      </c>
      <c r="C12" s="303" t="s">
        <v>190</v>
      </c>
      <c r="D12" s="303">
        <v>0.42</v>
      </c>
      <c r="E12" s="303">
        <v>0.13</v>
      </c>
      <c r="F12" s="303">
        <v>7.0000000000000007E-2</v>
      </c>
      <c r="G12">
        <v>0.11</v>
      </c>
      <c r="H12" s="301">
        <f t="shared" si="0"/>
        <v>420000000</v>
      </c>
      <c r="I12" s="301">
        <f t="shared" si="1"/>
        <v>130000000</v>
      </c>
      <c r="J12" s="301">
        <f t="shared" si="2"/>
        <v>70000000</v>
      </c>
      <c r="K12" s="303">
        <v>18.075106465350299</v>
      </c>
    </row>
    <row r="13" spans="1:11">
      <c r="A13" s="303" t="s">
        <v>391</v>
      </c>
      <c r="C13" s="303" t="s">
        <v>296</v>
      </c>
      <c r="D13" s="303">
        <v>0.2</v>
      </c>
      <c r="E13" s="303">
        <v>0.12</v>
      </c>
      <c r="F13" s="303">
        <v>0.02</v>
      </c>
      <c r="G13">
        <v>0.13</v>
      </c>
      <c r="H13" s="301">
        <f t="shared" si="0"/>
        <v>200000000</v>
      </c>
      <c r="I13" s="301">
        <f t="shared" si="1"/>
        <v>120000000</v>
      </c>
      <c r="J13" s="301">
        <f t="shared" si="2"/>
        <v>20000000</v>
      </c>
      <c r="K13" s="303">
        <v>18.464576074332101</v>
      </c>
    </row>
    <row r="14" spans="1:11">
      <c r="A14" s="303" t="s">
        <v>391</v>
      </c>
      <c r="C14" s="303" t="s">
        <v>236</v>
      </c>
      <c r="D14" s="303">
        <v>0.2</v>
      </c>
      <c r="E14" s="303">
        <v>0.02</v>
      </c>
      <c r="F14" s="303">
        <v>0.03</v>
      </c>
      <c r="G14">
        <v>0.15</v>
      </c>
      <c r="H14" s="301">
        <f t="shared" si="0"/>
        <v>200000000</v>
      </c>
      <c r="I14" s="301">
        <f t="shared" si="1"/>
        <v>20000000</v>
      </c>
      <c r="J14" s="301">
        <f t="shared" si="2"/>
        <v>30000000</v>
      </c>
      <c r="K14" s="303">
        <v>18.096528584333399</v>
      </c>
    </row>
    <row r="15" spans="1:11">
      <c r="A15" s="303" t="s">
        <v>252</v>
      </c>
      <c r="B15" s="303" t="s">
        <v>79</v>
      </c>
      <c r="C15" s="303" t="s">
        <v>78</v>
      </c>
      <c r="D15" s="303">
        <v>0.8</v>
      </c>
      <c r="E15" s="303">
        <v>0.54</v>
      </c>
      <c r="F15" s="303">
        <v>0.02</v>
      </c>
      <c r="G15" s="303">
        <v>0</v>
      </c>
      <c r="H15" s="301">
        <f t="shared" si="0"/>
        <v>800000000</v>
      </c>
      <c r="I15" s="301">
        <f t="shared" si="1"/>
        <v>540000000</v>
      </c>
      <c r="J15" s="301">
        <f t="shared" si="2"/>
        <v>20000000</v>
      </c>
    </row>
    <row r="16" spans="1:11">
      <c r="A16" s="303" t="s">
        <v>252</v>
      </c>
      <c r="B16" s="303" t="s">
        <v>237</v>
      </c>
      <c r="C16" s="303" t="s">
        <v>298</v>
      </c>
      <c r="D16" s="303">
        <v>1.28</v>
      </c>
      <c r="E16" s="303">
        <v>0.78</v>
      </c>
      <c r="F16" s="303">
        <v>0.03</v>
      </c>
      <c r="G16" s="303">
        <v>0.01</v>
      </c>
      <c r="H16" s="301">
        <f t="shared" si="0"/>
        <v>1280000000</v>
      </c>
      <c r="I16" s="301">
        <f t="shared" si="1"/>
        <v>780000000</v>
      </c>
      <c r="J16" s="301">
        <f t="shared" si="2"/>
        <v>30000000</v>
      </c>
      <c r="K16" s="303">
        <v>29.2161569234739</v>
      </c>
    </row>
    <row r="17" spans="1:11">
      <c r="A17" s="303" t="s">
        <v>252</v>
      </c>
      <c r="C17" s="303" t="s">
        <v>334</v>
      </c>
      <c r="D17" s="303">
        <v>4.75</v>
      </c>
      <c r="E17" s="303">
        <v>1.0900000000000001</v>
      </c>
      <c r="F17" s="303">
        <v>0.95</v>
      </c>
      <c r="G17" s="303">
        <v>0.03</v>
      </c>
      <c r="H17" s="301">
        <f t="shared" si="0"/>
        <v>4750000000</v>
      </c>
      <c r="I17" s="301">
        <f t="shared" si="1"/>
        <v>1090000000</v>
      </c>
      <c r="J17" s="301">
        <f t="shared" si="2"/>
        <v>950000000</v>
      </c>
      <c r="K17" s="303">
        <v>24.3698541747322</v>
      </c>
    </row>
    <row r="18" spans="1:11">
      <c r="A18" s="303" t="s">
        <v>252</v>
      </c>
      <c r="C18" s="303" t="s">
        <v>333</v>
      </c>
      <c r="D18" s="303">
        <v>0.76</v>
      </c>
      <c r="E18" s="303">
        <v>0.27</v>
      </c>
      <c r="F18" s="303">
        <v>0.19</v>
      </c>
      <c r="G18" s="303">
        <v>0.05</v>
      </c>
      <c r="H18" s="301">
        <f t="shared" si="0"/>
        <v>760000000</v>
      </c>
      <c r="I18" s="301">
        <f t="shared" si="1"/>
        <v>270000000</v>
      </c>
      <c r="J18" s="301">
        <f t="shared" si="2"/>
        <v>190000000</v>
      </c>
      <c r="K18" s="303">
        <v>16.572202864885799</v>
      </c>
    </row>
    <row r="19" spans="1:11">
      <c r="A19" s="303" t="s">
        <v>252</v>
      </c>
      <c r="C19" s="303" t="s">
        <v>297</v>
      </c>
      <c r="D19" s="303">
        <v>1.1499999999999999</v>
      </c>
      <c r="E19" s="303">
        <v>0.3</v>
      </c>
      <c r="F19" s="303">
        <v>0.25</v>
      </c>
      <c r="G19" s="303">
        <v>7.0000000000000007E-2</v>
      </c>
      <c r="H19" s="301">
        <f t="shared" si="0"/>
        <v>1150000000</v>
      </c>
      <c r="I19" s="301">
        <f t="shared" si="1"/>
        <v>300000000</v>
      </c>
      <c r="J19" s="301">
        <f t="shared" si="2"/>
        <v>250000000</v>
      </c>
      <c r="K19" s="303">
        <v>10.2002839076009</v>
      </c>
    </row>
    <row r="20" spans="1:11">
      <c r="A20" s="303" t="s">
        <v>252</v>
      </c>
      <c r="C20" s="303" t="s">
        <v>332</v>
      </c>
      <c r="D20" s="303">
        <v>1.0900000000000001</v>
      </c>
      <c r="E20" s="303">
        <v>0.38</v>
      </c>
      <c r="F20" s="303">
        <v>0.16</v>
      </c>
      <c r="G20" s="303">
        <v>0.09</v>
      </c>
      <c r="H20" s="301">
        <f t="shared" si="0"/>
        <v>1090000000</v>
      </c>
      <c r="I20" s="301">
        <f t="shared" si="1"/>
        <v>380000000</v>
      </c>
      <c r="J20" s="301">
        <f t="shared" si="2"/>
        <v>160000000</v>
      </c>
      <c r="K20" s="303">
        <v>6.7830687830687904</v>
      </c>
    </row>
    <row r="21" spans="1:11">
      <c r="A21" s="303" t="s">
        <v>252</v>
      </c>
      <c r="C21" s="303" t="s">
        <v>190</v>
      </c>
      <c r="D21" s="303">
        <v>0.91</v>
      </c>
      <c r="E21" s="303">
        <v>0.16</v>
      </c>
      <c r="F21" s="303">
        <v>0.24</v>
      </c>
      <c r="G21" s="303">
        <v>0.11</v>
      </c>
      <c r="H21" s="301">
        <f t="shared" si="0"/>
        <v>910000000</v>
      </c>
      <c r="I21" s="301">
        <f t="shared" si="1"/>
        <v>160000000</v>
      </c>
      <c r="J21" s="301">
        <f t="shared" si="2"/>
        <v>240000000</v>
      </c>
      <c r="K21" s="303">
        <v>3.8433346238223698</v>
      </c>
    </row>
    <row r="22" spans="1:11">
      <c r="A22" s="303" t="s">
        <v>252</v>
      </c>
      <c r="C22" s="303" t="s">
        <v>296</v>
      </c>
      <c r="D22" s="303">
        <v>1.6</v>
      </c>
      <c r="E22" s="303">
        <v>0.65</v>
      </c>
      <c r="F22" s="303">
        <v>0.24</v>
      </c>
      <c r="G22" s="303">
        <v>0.13</v>
      </c>
      <c r="H22" s="301">
        <f t="shared" si="0"/>
        <v>1600000000</v>
      </c>
      <c r="I22" s="301">
        <f t="shared" si="1"/>
        <v>650000000</v>
      </c>
      <c r="J22" s="301">
        <f t="shared" si="2"/>
        <v>240000000</v>
      </c>
      <c r="K22" s="303">
        <v>4.0431023357852496</v>
      </c>
    </row>
    <row r="23" spans="1:11">
      <c r="A23" s="303" t="s">
        <v>252</v>
      </c>
      <c r="C23" s="303" t="s">
        <v>236</v>
      </c>
      <c r="D23" s="303">
        <v>0.97</v>
      </c>
      <c r="E23" s="303">
        <v>0.39</v>
      </c>
      <c r="F23" s="303">
        <v>0.15</v>
      </c>
      <c r="G23" s="303">
        <v>0.15</v>
      </c>
      <c r="H23" s="301">
        <f t="shared" si="0"/>
        <v>970000000</v>
      </c>
      <c r="I23" s="301">
        <f t="shared" si="1"/>
        <v>390000000</v>
      </c>
      <c r="J23" s="301">
        <f t="shared" si="2"/>
        <v>150000000</v>
      </c>
      <c r="K23" s="303">
        <v>3.2912633888243699</v>
      </c>
    </row>
    <row r="24" spans="1:11">
      <c r="A24" s="303" t="s">
        <v>252</v>
      </c>
      <c r="C24" s="303" t="s">
        <v>235</v>
      </c>
      <c r="D24" s="303">
        <v>0.62</v>
      </c>
      <c r="E24" s="303">
        <v>0.15</v>
      </c>
      <c r="F24" s="303">
        <v>0.09</v>
      </c>
      <c r="G24">
        <v>0.17</v>
      </c>
      <c r="H24" s="301">
        <f t="shared" si="0"/>
        <v>620000000</v>
      </c>
      <c r="I24" s="301">
        <f t="shared" si="1"/>
        <v>150000000</v>
      </c>
      <c r="J24" s="301">
        <f t="shared" si="2"/>
        <v>90000000</v>
      </c>
      <c r="K24" s="303">
        <v>3.3965672990062701</v>
      </c>
    </row>
  </sheetData>
  <sortState ref="K6:L14">
    <sortCondition ref="L6:L14"/>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B1" workbookViewId="0">
      <selection activeCell="B14" sqref="B14"/>
    </sheetView>
  </sheetViews>
  <sheetFormatPr baseColWidth="10" defaultRowHeight="13" x14ac:dyDescent="0"/>
  <cols>
    <col min="1" max="1" width="23.42578125" style="303" customWidth="1"/>
    <col min="2" max="7" width="10.7109375" style="303"/>
    <col min="8" max="8" width="11" style="303" bestFit="1" customWidth="1"/>
    <col min="9" max="16384" width="10.7109375" style="303"/>
  </cols>
  <sheetData>
    <row r="1" spans="1:11">
      <c r="A1" s="303" t="s">
        <v>220</v>
      </c>
    </row>
    <row r="2" spans="1:11">
      <c r="A2" s="303" t="s">
        <v>219</v>
      </c>
    </row>
    <row r="6" spans="1:11" s="43" customFormat="1" ht="26">
      <c r="A6" s="43" t="s">
        <v>218</v>
      </c>
      <c r="C6" s="43" t="s">
        <v>217</v>
      </c>
      <c r="D6" s="43" t="s">
        <v>216</v>
      </c>
      <c r="E6" s="43" t="s">
        <v>215</v>
      </c>
      <c r="F6" s="43" t="s">
        <v>214</v>
      </c>
      <c r="G6" s="43" t="s">
        <v>343</v>
      </c>
      <c r="H6" s="43" t="s">
        <v>213</v>
      </c>
      <c r="I6" s="43" t="s">
        <v>212</v>
      </c>
      <c r="J6" s="43" t="s">
        <v>211</v>
      </c>
      <c r="K6" s="43" t="s">
        <v>210</v>
      </c>
    </row>
    <row r="7" spans="1:11">
      <c r="A7" s="303" t="s">
        <v>207</v>
      </c>
      <c r="B7" s="303" t="s">
        <v>209</v>
      </c>
      <c r="C7" s="303" t="s">
        <v>298</v>
      </c>
      <c r="D7" s="303">
        <v>8.0299999999999994</v>
      </c>
      <c r="E7" s="303">
        <v>0.99</v>
      </c>
      <c r="F7" s="303">
        <v>0.05</v>
      </c>
      <c r="G7" s="303">
        <v>0.01</v>
      </c>
      <c r="H7" s="301">
        <f t="shared" ref="H7:H27" si="0">D7*10^9</f>
        <v>8029999999.999999</v>
      </c>
      <c r="I7" s="301">
        <f t="shared" ref="I7:I27" si="1">E7*10^9</f>
        <v>990000000</v>
      </c>
      <c r="J7" s="301">
        <f t="shared" ref="J7:J27" si="2">F7*10^9</f>
        <v>50000000</v>
      </c>
      <c r="K7" s="303">
        <v>19.5348837209302</v>
      </c>
    </row>
    <row r="8" spans="1:11">
      <c r="A8" s="303" t="s">
        <v>207</v>
      </c>
      <c r="B8" s="303" t="s">
        <v>208</v>
      </c>
      <c r="C8" s="303" t="s">
        <v>334</v>
      </c>
      <c r="D8" s="303">
        <v>7.4</v>
      </c>
      <c r="E8" s="303">
        <v>0.95</v>
      </c>
      <c r="F8" s="303">
        <v>0.06</v>
      </c>
      <c r="G8" s="303">
        <v>0.03</v>
      </c>
      <c r="H8" s="301">
        <f t="shared" si="0"/>
        <v>7400000000</v>
      </c>
      <c r="I8" s="301">
        <f t="shared" si="1"/>
        <v>950000000</v>
      </c>
      <c r="J8" s="301">
        <f t="shared" si="2"/>
        <v>60000000</v>
      </c>
      <c r="K8" s="303">
        <v>19.036544850498299</v>
      </c>
    </row>
    <row r="9" spans="1:11">
      <c r="A9" s="303" t="s">
        <v>207</v>
      </c>
      <c r="C9" s="303" t="s">
        <v>190</v>
      </c>
      <c r="D9" s="303">
        <v>0.3</v>
      </c>
      <c r="E9" s="303">
        <v>0.11</v>
      </c>
      <c r="F9" s="303">
        <v>0.01</v>
      </c>
      <c r="G9" s="303">
        <v>0.11</v>
      </c>
      <c r="H9" s="301">
        <f t="shared" si="0"/>
        <v>300000000</v>
      </c>
      <c r="I9" s="301">
        <f t="shared" si="1"/>
        <v>110000000</v>
      </c>
      <c r="J9" s="301">
        <f t="shared" si="2"/>
        <v>10000000</v>
      </c>
      <c r="K9" s="303">
        <v>17.940199335548101</v>
      </c>
    </row>
    <row r="10" spans="1:11">
      <c r="A10" s="303" t="s">
        <v>204</v>
      </c>
      <c r="B10" s="303" t="s">
        <v>206</v>
      </c>
      <c r="C10" s="303" t="s">
        <v>298</v>
      </c>
      <c r="D10" s="303">
        <v>4.87</v>
      </c>
      <c r="E10" s="303">
        <v>1.65</v>
      </c>
      <c r="F10" s="303">
        <v>0.26</v>
      </c>
      <c r="G10" s="303">
        <v>0.01</v>
      </c>
      <c r="H10" s="301">
        <f t="shared" si="0"/>
        <v>4870000000</v>
      </c>
      <c r="I10" s="301">
        <f t="shared" si="1"/>
        <v>1650000000</v>
      </c>
      <c r="J10" s="301">
        <f t="shared" si="2"/>
        <v>260000000</v>
      </c>
      <c r="K10" s="303">
        <v>11.6256442870838</v>
      </c>
    </row>
    <row r="11" spans="1:11">
      <c r="A11" s="303" t="s">
        <v>204</v>
      </c>
      <c r="B11" s="303" t="s">
        <v>205</v>
      </c>
      <c r="C11" s="303" t="s">
        <v>334</v>
      </c>
      <c r="D11" s="303">
        <v>7.44</v>
      </c>
      <c r="E11" s="303">
        <v>0.73</v>
      </c>
      <c r="F11" s="303">
        <v>0.05</v>
      </c>
      <c r="G11" s="303">
        <v>0.03</v>
      </c>
      <c r="H11" s="301">
        <f t="shared" si="0"/>
        <v>7440000000</v>
      </c>
      <c r="I11" s="301">
        <f t="shared" si="1"/>
        <v>730000000</v>
      </c>
      <c r="J11" s="301">
        <f t="shared" si="2"/>
        <v>50000000</v>
      </c>
      <c r="K11" s="303">
        <v>13.4094296101529</v>
      </c>
    </row>
    <row r="12" spans="1:11">
      <c r="A12" s="303" t="s">
        <v>204</v>
      </c>
      <c r="C12" s="303" t="s">
        <v>190</v>
      </c>
      <c r="D12" s="303">
        <v>3.96</v>
      </c>
      <c r="E12" s="303">
        <v>0.86</v>
      </c>
      <c r="F12" s="303">
        <v>0.11</v>
      </c>
      <c r="G12" s="303">
        <v>0.11</v>
      </c>
      <c r="H12" s="301">
        <f t="shared" si="0"/>
        <v>3960000000</v>
      </c>
      <c r="I12" s="301">
        <f t="shared" si="1"/>
        <v>860000000</v>
      </c>
      <c r="J12" s="301">
        <f t="shared" si="2"/>
        <v>110000000</v>
      </c>
      <c r="K12" s="303">
        <v>9.9754150490275109</v>
      </c>
    </row>
    <row r="13" spans="1:11">
      <c r="A13" s="303" t="s">
        <v>201</v>
      </c>
      <c r="B13" s="303" t="s">
        <v>203</v>
      </c>
      <c r="C13" s="303" t="s">
        <v>298</v>
      </c>
      <c r="D13" s="303">
        <v>0.67</v>
      </c>
      <c r="E13" s="303">
        <v>0.32</v>
      </c>
      <c r="F13" s="303">
        <v>0.11</v>
      </c>
      <c r="G13" s="303">
        <v>0.01</v>
      </c>
      <c r="H13" s="301">
        <f t="shared" si="0"/>
        <v>670000000</v>
      </c>
      <c r="I13" s="301">
        <f t="shared" si="1"/>
        <v>320000000</v>
      </c>
      <c r="J13" s="301">
        <f t="shared" si="2"/>
        <v>110000000</v>
      </c>
    </row>
    <row r="14" spans="1:11">
      <c r="A14" s="303" t="s">
        <v>201</v>
      </c>
      <c r="B14" s="303" t="s">
        <v>202</v>
      </c>
      <c r="C14" s="303" t="s">
        <v>334</v>
      </c>
      <c r="D14" s="303">
        <v>0.88</v>
      </c>
      <c r="E14" s="303">
        <v>0.22</v>
      </c>
      <c r="F14" s="303">
        <v>0.02</v>
      </c>
      <c r="G14" s="303">
        <v>0.03</v>
      </c>
      <c r="H14" s="301">
        <f t="shared" si="0"/>
        <v>880000000</v>
      </c>
      <c r="I14" s="301">
        <f t="shared" si="1"/>
        <v>220000000</v>
      </c>
      <c r="J14" s="301">
        <f t="shared" si="2"/>
        <v>20000000</v>
      </c>
    </row>
    <row r="15" spans="1:11">
      <c r="A15" s="303" t="s">
        <v>201</v>
      </c>
      <c r="C15" s="303" t="s">
        <v>190</v>
      </c>
      <c r="D15" s="303">
        <v>0.41</v>
      </c>
      <c r="E15" s="303">
        <v>0.08</v>
      </c>
      <c r="F15" s="303">
        <v>0.01</v>
      </c>
      <c r="G15" s="303">
        <v>0.11</v>
      </c>
      <c r="H15" s="301">
        <f t="shared" si="0"/>
        <v>410000000</v>
      </c>
      <c r="I15" s="301">
        <f t="shared" si="1"/>
        <v>80000000</v>
      </c>
      <c r="J15" s="301">
        <f t="shared" si="2"/>
        <v>10000000</v>
      </c>
    </row>
    <row r="16" spans="1:11">
      <c r="A16" s="303" t="s">
        <v>198</v>
      </c>
      <c r="B16" s="303" t="s">
        <v>200</v>
      </c>
      <c r="C16" s="303" t="s">
        <v>298</v>
      </c>
      <c r="D16" s="303">
        <v>3.52</v>
      </c>
      <c r="E16" s="303">
        <v>2.08</v>
      </c>
      <c r="F16" s="303">
        <v>0.11</v>
      </c>
      <c r="G16" s="303">
        <v>0.01</v>
      </c>
      <c r="H16" s="301">
        <f t="shared" si="0"/>
        <v>3520000000</v>
      </c>
      <c r="I16" s="301">
        <f t="shared" si="1"/>
        <v>2080000000</v>
      </c>
      <c r="J16" s="301">
        <f t="shared" si="2"/>
        <v>110000000</v>
      </c>
    </row>
    <row r="17" spans="1:11">
      <c r="A17" s="303" t="s">
        <v>198</v>
      </c>
      <c r="B17" s="303" t="s">
        <v>199</v>
      </c>
      <c r="C17" s="303" t="s">
        <v>334</v>
      </c>
      <c r="D17" s="303">
        <v>3.62</v>
      </c>
      <c r="E17" s="303">
        <v>2.44</v>
      </c>
      <c r="F17" s="303">
        <v>0.04</v>
      </c>
      <c r="G17" s="303">
        <v>0.03</v>
      </c>
      <c r="H17" s="301">
        <f t="shared" si="0"/>
        <v>3620000000</v>
      </c>
      <c r="I17" s="301">
        <f t="shared" si="1"/>
        <v>2440000000</v>
      </c>
      <c r="J17" s="301">
        <f t="shared" si="2"/>
        <v>40000000</v>
      </c>
      <c r="K17" s="303">
        <v>21.892156204757399</v>
      </c>
    </row>
    <row r="18" spans="1:11">
      <c r="A18" s="303" t="s">
        <v>198</v>
      </c>
      <c r="C18" s="303" t="s">
        <v>190</v>
      </c>
      <c r="D18" s="303">
        <v>2.7</v>
      </c>
      <c r="E18" s="303">
        <v>0.16</v>
      </c>
      <c r="F18" s="303">
        <v>0.09</v>
      </c>
      <c r="G18" s="303">
        <v>0.11</v>
      </c>
      <c r="H18" s="301">
        <f t="shared" si="0"/>
        <v>2700000000</v>
      </c>
      <c r="I18" s="301">
        <f t="shared" si="1"/>
        <v>160000000</v>
      </c>
      <c r="J18" s="301">
        <f t="shared" si="2"/>
        <v>90000000</v>
      </c>
      <c r="K18" s="303">
        <v>12.1715452688904</v>
      </c>
    </row>
    <row r="19" spans="1:11">
      <c r="A19" s="303" t="s">
        <v>194</v>
      </c>
      <c r="B19" s="303" t="s">
        <v>196</v>
      </c>
      <c r="C19" s="303" t="s">
        <v>298</v>
      </c>
      <c r="D19" s="303">
        <v>0.9</v>
      </c>
      <c r="E19" s="303">
        <v>0.47</v>
      </c>
      <c r="F19" s="303">
        <v>0.06</v>
      </c>
      <c r="G19" s="303">
        <v>0.01</v>
      </c>
      <c r="H19" s="301">
        <f t="shared" si="0"/>
        <v>900000000</v>
      </c>
      <c r="I19" s="301">
        <f t="shared" si="1"/>
        <v>470000000</v>
      </c>
      <c r="J19" s="301">
        <f t="shared" si="2"/>
        <v>60000000</v>
      </c>
      <c r="K19" s="303">
        <v>26.466233766233699</v>
      </c>
    </row>
    <row r="20" spans="1:11">
      <c r="A20" s="303" t="s">
        <v>194</v>
      </c>
      <c r="B20" s="303" t="s">
        <v>197</v>
      </c>
      <c r="C20" s="303" t="s">
        <v>334</v>
      </c>
      <c r="D20" s="303">
        <v>2.1</v>
      </c>
      <c r="E20" s="303">
        <v>0.49</v>
      </c>
      <c r="F20" s="303">
        <v>7.0000000000000007E-2</v>
      </c>
      <c r="G20" s="303">
        <v>0.03</v>
      </c>
      <c r="H20" s="301">
        <f t="shared" si="0"/>
        <v>2100000000</v>
      </c>
      <c r="I20" s="301">
        <f t="shared" si="1"/>
        <v>490000000</v>
      </c>
      <c r="J20" s="301">
        <f t="shared" si="2"/>
        <v>70000000</v>
      </c>
      <c r="K20" s="303">
        <v>15.9896103896103</v>
      </c>
    </row>
    <row r="21" spans="1:11">
      <c r="A21" s="303" t="s">
        <v>194</v>
      </c>
      <c r="C21" s="303" t="s">
        <v>190</v>
      </c>
      <c r="D21" s="303">
        <v>0.42</v>
      </c>
      <c r="E21" s="303">
        <v>0.13</v>
      </c>
      <c r="F21" s="303">
        <v>7.0000000000000007E-2</v>
      </c>
      <c r="G21" s="303">
        <v>0.11</v>
      </c>
      <c r="H21" s="301">
        <f t="shared" si="0"/>
        <v>420000000</v>
      </c>
      <c r="I21" s="301">
        <f t="shared" si="1"/>
        <v>130000000</v>
      </c>
      <c r="J21" s="301">
        <f t="shared" si="2"/>
        <v>70000000</v>
      </c>
      <c r="K21" s="303">
        <v>4.5688311688311503</v>
      </c>
    </row>
    <row r="22" spans="1:11">
      <c r="A22" s="303" t="s">
        <v>194</v>
      </c>
      <c r="B22" s="303" t="s">
        <v>196</v>
      </c>
      <c r="C22" s="303" t="s">
        <v>298</v>
      </c>
      <c r="D22" s="303">
        <v>1.28</v>
      </c>
      <c r="E22" s="303">
        <v>0.77</v>
      </c>
      <c r="F22" s="303">
        <v>0.02</v>
      </c>
      <c r="G22" s="303">
        <v>0.01</v>
      </c>
      <c r="H22" s="301">
        <f t="shared" si="0"/>
        <v>1280000000</v>
      </c>
      <c r="I22" s="301">
        <f t="shared" si="1"/>
        <v>770000000</v>
      </c>
      <c r="J22" s="301">
        <f t="shared" si="2"/>
        <v>20000000</v>
      </c>
      <c r="K22" s="303">
        <v>18.788311688311602</v>
      </c>
    </row>
    <row r="23" spans="1:11">
      <c r="A23" s="303" t="s">
        <v>194</v>
      </c>
      <c r="B23" s="303" t="s">
        <v>195</v>
      </c>
      <c r="C23" s="303" t="s">
        <v>334</v>
      </c>
      <c r="D23" s="303">
        <v>4.76</v>
      </c>
      <c r="E23" s="303">
        <v>1.0900000000000001</v>
      </c>
      <c r="F23" s="303">
        <v>0.27</v>
      </c>
      <c r="G23" s="303">
        <v>0.03</v>
      </c>
      <c r="H23" s="301">
        <f t="shared" si="0"/>
        <v>4760000000</v>
      </c>
      <c r="I23" s="301">
        <f t="shared" si="1"/>
        <v>1090000000</v>
      </c>
      <c r="J23" s="301">
        <f t="shared" si="2"/>
        <v>270000000</v>
      </c>
      <c r="K23" s="303">
        <v>16.899999999999999</v>
      </c>
    </row>
    <row r="24" spans="1:11">
      <c r="A24" s="303" t="s">
        <v>194</v>
      </c>
      <c r="C24" s="303" t="s">
        <v>190</v>
      </c>
      <c r="D24" s="303">
        <v>4.59</v>
      </c>
      <c r="E24" s="303">
        <v>0.16</v>
      </c>
      <c r="F24" s="303">
        <v>0.34</v>
      </c>
      <c r="G24" s="303">
        <v>0.11</v>
      </c>
      <c r="H24" s="301">
        <f t="shared" si="0"/>
        <v>4590000000</v>
      </c>
      <c r="I24" s="301">
        <f t="shared" si="1"/>
        <v>160000000</v>
      </c>
      <c r="J24" s="301">
        <f t="shared" si="2"/>
        <v>340000000</v>
      </c>
      <c r="K24" s="303">
        <v>17.1753246753246</v>
      </c>
    </row>
    <row r="25" spans="1:11">
      <c r="A25" s="303" t="s">
        <v>191</v>
      </c>
      <c r="B25" s="303" t="s">
        <v>193</v>
      </c>
      <c r="C25" s="303" t="s">
        <v>298</v>
      </c>
      <c r="D25" s="303">
        <v>20.45</v>
      </c>
      <c r="E25" s="303">
        <v>5.96</v>
      </c>
      <c r="F25" s="303">
        <v>3.27</v>
      </c>
      <c r="G25" s="303">
        <v>0.01</v>
      </c>
      <c r="H25" s="301">
        <f t="shared" si="0"/>
        <v>20450000000</v>
      </c>
      <c r="I25" s="301">
        <f t="shared" si="1"/>
        <v>5960000000</v>
      </c>
      <c r="J25" s="301">
        <f t="shared" si="2"/>
        <v>3270000000</v>
      </c>
      <c r="K25" s="303">
        <v>18.242857142857101</v>
      </c>
    </row>
    <row r="26" spans="1:11">
      <c r="A26" s="303" t="s">
        <v>191</v>
      </c>
      <c r="B26" s="303" t="s">
        <v>192</v>
      </c>
      <c r="C26" s="303" t="s">
        <v>334</v>
      </c>
      <c r="D26" s="303">
        <v>1.8</v>
      </c>
      <c r="E26" s="303">
        <v>0.76</v>
      </c>
      <c r="F26" s="303">
        <v>0.32</v>
      </c>
      <c r="G26" s="303">
        <v>0.03</v>
      </c>
      <c r="H26" s="301">
        <f t="shared" si="0"/>
        <v>1800000000</v>
      </c>
      <c r="I26" s="301">
        <f t="shared" si="1"/>
        <v>760000000</v>
      </c>
      <c r="J26" s="301">
        <f t="shared" si="2"/>
        <v>320000000</v>
      </c>
      <c r="K26" s="303">
        <v>18.637662337662299</v>
      </c>
    </row>
    <row r="27" spans="1:11">
      <c r="A27" s="303" t="s">
        <v>191</v>
      </c>
      <c r="C27" s="303" t="s">
        <v>190</v>
      </c>
      <c r="D27" s="303">
        <v>1.99</v>
      </c>
      <c r="E27" s="303">
        <v>0.54</v>
      </c>
      <c r="F27" s="303">
        <v>0.66</v>
      </c>
      <c r="G27" s="303">
        <v>0.11</v>
      </c>
      <c r="H27" s="301">
        <f t="shared" si="0"/>
        <v>1990000000</v>
      </c>
      <c r="I27" s="301">
        <f t="shared" si="1"/>
        <v>540000000</v>
      </c>
      <c r="J27" s="301">
        <f t="shared" si="2"/>
        <v>660000000</v>
      </c>
      <c r="K27" s="303">
        <v>17.637662337662299</v>
      </c>
    </row>
    <row r="28" spans="1:11">
      <c r="H28" s="301"/>
      <c r="I28" s="301"/>
      <c r="J28" s="301"/>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D42" sqref="D42"/>
    </sheetView>
  </sheetViews>
  <sheetFormatPr baseColWidth="10" defaultRowHeight="13" x14ac:dyDescent="0"/>
  <cols>
    <col min="3" max="3" width="11" style="180" bestFit="1" customWidth="1"/>
    <col min="4" max="4" width="11" style="180" customWidth="1"/>
    <col min="6" max="6" width="10.7109375" style="180"/>
  </cols>
  <sheetData>
    <row r="1" spans="1:10" ht="25">
      <c r="A1" s="174" t="s">
        <v>597</v>
      </c>
      <c r="C1" s="187" t="s">
        <v>604</v>
      </c>
      <c r="D1" s="187"/>
      <c r="E1" s="188"/>
      <c r="F1" s="187"/>
      <c r="G1" s="42"/>
      <c r="H1" s="42"/>
      <c r="I1" s="42"/>
      <c r="J1" s="42"/>
    </row>
    <row r="3" spans="1:10">
      <c r="B3" s="174" t="s">
        <v>626</v>
      </c>
      <c r="C3" s="180" t="s">
        <v>783</v>
      </c>
      <c r="E3" s="174" t="s">
        <v>627</v>
      </c>
    </row>
    <row r="4" spans="1:10">
      <c r="A4" s="32" t="s">
        <v>598</v>
      </c>
      <c r="B4" s="174" t="s">
        <v>625</v>
      </c>
      <c r="C4" s="180" t="s">
        <v>784</v>
      </c>
      <c r="D4" s="185" t="s">
        <v>1253</v>
      </c>
      <c r="E4" s="174" t="s">
        <v>628</v>
      </c>
      <c r="F4" s="180" t="s">
        <v>785</v>
      </c>
      <c r="G4" s="185" t="s">
        <v>1253</v>
      </c>
    </row>
    <row r="5" spans="1:10">
      <c r="A5" s="186">
        <v>39630</v>
      </c>
      <c r="B5">
        <v>8</v>
      </c>
      <c r="C5" s="180">
        <f>(B5*4000000000)/10</f>
        <v>3200000000</v>
      </c>
      <c r="D5" s="185">
        <f>C5/2</f>
        <v>1600000000</v>
      </c>
      <c r="E5">
        <v>5.4</v>
      </c>
      <c r="F5" s="180">
        <f>(E5*700000000)/10</f>
        <v>378000000.00000006</v>
      </c>
      <c r="G5" s="185">
        <f>F5/2</f>
        <v>189000000.00000003</v>
      </c>
    </row>
    <row r="6" spans="1:10">
      <c r="A6" s="186">
        <v>39753</v>
      </c>
      <c r="B6">
        <v>4.5</v>
      </c>
      <c r="C6" s="180">
        <f t="shared" ref="C6:C11" si="0">(B6*4000000000)/10</f>
        <v>1800000000</v>
      </c>
      <c r="D6" s="185">
        <f t="shared" ref="D6:D11" si="1">C6/2</f>
        <v>900000000</v>
      </c>
      <c r="E6">
        <v>2.95</v>
      </c>
      <c r="F6" s="180">
        <f t="shared" ref="F6:F11" si="2">(E6*700000000)/10</f>
        <v>206500000.00000003</v>
      </c>
      <c r="G6" s="185">
        <f t="shared" ref="G6:G11" si="3">F6/2</f>
        <v>103250000.00000001</v>
      </c>
    </row>
    <row r="7" spans="1:10">
      <c r="A7" s="186">
        <v>39509</v>
      </c>
      <c r="B7">
        <v>3.1</v>
      </c>
      <c r="C7" s="180">
        <f t="shared" si="0"/>
        <v>1240000000</v>
      </c>
      <c r="D7" s="185">
        <f t="shared" si="1"/>
        <v>620000000</v>
      </c>
      <c r="E7">
        <v>2.4</v>
      </c>
      <c r="F7" s="180">
        <f t="shared" si="2"/>
        <v>168000000</v>
      </c>
      <c r="G7" s="185">
        <f t="shared" si="3"/>
        <v>84000000</v>
      </c>
    </row>
    <row r="8" spans="1:10">
      <c r="A8" s="186">
        <v>39631</v>
      </c>
      <c r="B8">
        <v>2.4</v>
      </c>
      <c r="C8" s="180">
        <f t="shared" si="0"/>
        <v>960000000</v>
      </c>
      <c r="D8" s="185">
        <f t="shared" si="1"/>
        <v>480000000</v>
      </c>
      <c r="E8">
        <v>6.85</v>
      </c>
      <c r="F8" s="180">
        <f t="shared" si="2"/>
        <v>479500000</v>
      </c>
      <c r="G8" s="185">
        <f t="shared" si="3"/>
        <v>239750000</v>
      </c>
    </row>
    <row r="9" spans="1:10">
      <c r="A9" s="186">
        <v>39754</v>
      </c>
      <c r="B9">
        <v>1.6</v>
      </c>
      <c r="C9" s="180">
        <f t="shared" si="0"/>
        <v>640000000</v>
      </c>
      <c r="D9" s="185">
        <f t="shared" si="1"/>
        <v>320000000</v>
      </c>
      <c r="E9">
        <v>2.4</v>
      </c>
      <c r="F9" s="180">
        <f t="shared" si="2"/>
        <v>168000000</v>
      </c>
      <c r="G9" s="185">
        <f t="shared" si="3"/>
        <v>84000000</v>
      </c>
    </row>
    <row r="10" spans="1:10">
      <c r="A10" s="186">
        <v>39510</v>
      </c>
      <c r="B10">
        <v>0.5</v>
      </c>
      <c r="C10" s="180">
        <f t="shared" si="0"/>
        <v>200000000</v>
      </c>
      <c r="D10" s="185">
        <f t="shared" si="1"/>
        <v>100000000</v>
      </c>
      <c r="E10">
        <v>1</v>
      </c>
      <c r="F10" s="180">
        <f t="shared" si="2"/>
        <v>70000000</v>
      </c>
      <c r="G10" s="185">
        <f t="shared" si="3"/>
        <v>35000000</v>
      </c>
    </row>
    <row r="11" spans="1:10">
      <c r="A11" s="186">
        <v>39632</v>
      </c>
      <c r="B11">
        <v>1.2</v>
      </c>
      <c r="C11" s="180">
        <f t="shared" si="0"/>
        <v>480000000</v>
      </c>
      <c r="D11" s="185">
        <f t="shared" si="1"/>
        <v>240000000</v>
      </c>
      <c r="E11">
        <v>2.65</v>
      </c>
      <c r="F11" s="180">
        <f t="shared" si="2"/>
        <v>185500000</v>
      </c>
      <c r="G11" s="185">
        <f t="shared" si="3"/>
        <v>92750000</v>
      </c>
    </row>
    <row r="15" spans="1:10">
      <c r="B15" s="174" t="s">
        <v>636</v>
      </c>
      <c r="C15" s="180" t="s">
        <v>637</v>
      </c>
    </row>
    <row r="16" spans="1:10">
      <c r="B16">
        <v>1.4</v>
      </c>
      <c r="C16" s="182">
        <f>1*(10^9)</f>
        <v>1000000000</v>
      </c>
      <c r="D16" s="181"/>
    </row>
    <row r="17" spans="2:4">
      <c r="B17">
        <v>2.8</v>
      </c>
      <c r="C17" s="182">
        <f>1.5*(10^9)</f>
        <v>1500000000</v>
      </c>
      <c r="D17" s="181"/>
    </row>
    <row r="18" spans="2:4">
      <c r="B18">
        <v>4.3499999999999996</v>
      </c>
      <c r="C18" s="182">
        <f>2*(10^9)</f>
        <v>2000000000</v>
      </c>
      <c r="D18" s="181"/>
    </row>
    <row r="19" spans="2:4">
      <c r="B19">
        <v>5.7</v>
      </c>
      <c r="C19" s="182">
        <f>2.5*(10^9)</f>
        <v>2500000000</v>
      </c>
      <c r="D19" s="181"/>
    </row>
    <row r="20" spans="2:4">
      <c r="B20">
        <v>7.15</v>
      </c>
      <c r="C20" s="182">
        <f>3*(10^9)</f>
        <v>3000000000</v>
      </c>
      <c r="D20" s="181"/>
    </row>
    <row r="21" spans="2:4">
      <c r="B21">
        <v>8.5500000000000007</v>
      </c>
      <c r="C21" s="182">
        <f>3.5*(10^9)</f>
        <v>3500000000</v>
      </c>
      <c r="D21" s="181"/>
    </row>
    <row r="22" spans="2:4">
      <c r="B22">
        <v>10</v>
      </c>
      <c r="C22" s="182">
        <f>4*(10^9)</f>
        <v>4000000000</v>
      </c>
      <c r="D22" s="181"/>
    </row>
    <row r="27" spans="2:4">
      <c r="B27" s="174"/>
    </row>
    <row r="28" spans="2:4">
      <c r="B28" s="174"/>
      <c r="C28" s="181"/>
    </row>
    <row r="29" spans="2:4">
      <c r="B29" s="174"/>
      <c r="C29" s="181"/>
    </row>
    <row r="30" spans="2:4">
      <c r="B30" s="174"/>
      <c r="C30" s="181"/>
    </row>
    <row r="31" spans="2:4">
      <c r="B31" s="174"/>
      <c r="C31" s="181"/>
    </row>
    <row r="32" spans="2:4">
      <c r="B32" s="174"/>
      <c r="C32" s="181"/>
    </row>
    <row r="33" spans="2:5">
      <c r="B33" s="174"/>
      <c r="C33" s="181"/>
    </row>
    <row r="34" spans="2:5">
      <c r="B34" s="174"/>
      <c r="C34" s="183">
        <f>2*10^9</f>
        <v>2000000000</v>
      </c>
      <c r="E34" s="184">
        <f>7*(10^8)</f>
        <v>700000000</v>
      </c>
    </row>
    <row r="35" spans="2:5">
      <c r="C35" s="180">
        <v>2000000000</v>
      </c>
      <c r="E35" s="168">
        <v>700000000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J9" sqref="J9"/>
    </sheetView>
  </sheetViews>
  <sheetFormatPr baseColWidth="10" defaultRowHeight="13" x14ac:dyDescent="0"/>
  <cols>
    <col min="5" max="5" width="12" bestFit="1" customWidth="1"/>
    <col min="6" max="6" width="12" style="237" bestFit="1" customWidth="1"/>
    <col min="8" max="8" width="11" bestFit="1" customWidth="1"/>
  </cols>
  <sheetData>
    <row r="1" spans="1:10">
      <c r="A1" s="207" t="s">
        <v>1236</v>
      </c>
    </row>
    <row r="2" spans="1:10">
      <c r="A2" s="207" t="s">
        <v>1139</v>
      </c>
    </row>
    <row r="3" spans="1:10">
      <c r="G3" s="207" t="s">
        <v>1238</v>
      </c>
      <c r="H3" s="21" t="s">
        <v>996</v>
      </c>
      <c r="I3" s="207" t="s">
        <v>994</v>
      </c>
      <c r="J3" s="21" t="s">
        <v>994</v>
      </c>
    </row>
    <row r="4" spans="1:10">
      <c r="B4" s="207" t="s">
        <v>649</v>
      </c>
      <c r="C4" s="21" t="s">
        <v>647</v>
      </c>
      <c r="D4" s="207" t="s">
        <v>534</v>
      </c>
      <c r="E4" s="207" t="s">
        <v>1142</v>
      </c>
      <c r="F4" s="238" t="s">
        <v>1237</v>
      </c>
      <c r="G4" s="207" t="s">
        <v>1239</v>
      </c>
      <c r="H4" s="21" t="s">
        <v>995</v>
      </c>
      <c r="I4" s="207" t="s">
        <v>1242</v>
      </c>
      <c r="J4" s="21" t="s">
        <v>995</v>
      </c>
    </row>
    <row r="5" spans="1:10">
      <c r="A5" s="207" t="s">
        <v>1085</v>
      </c>
      <c r="B5" s="207" t="s">
        <v>1094</v>
      </c>
      <c r="C5" s="21" t="s">
        <v>1140</v>
      </c>
      <c r="D5" s="207" t="s">
        <v>1141</v>
      </c>
      <c r="E5" s="207" t="s">
        <v>992</v>
      </c>
      <c r="F5" s="238" t="s">
        <v>1086</v>
      </c>
      <c r="G5" s="207" t="s">
        <v>1240</v>
      </c>
      <c r="H5" s="21" t="s">
        <v>1086</v>
      </c>
      <c r="I5" s="207" t="s">
        <v>993</v>
      </c>
      <c r="J5" s="21" t="s">
        <v>1087</v>
      </c>
    </row>
    <row r="6" spans="1:10">
      <c r="A6" s="228" t="s">
        <v>1223</v>
      </c>
      <c r="B6">
        <v>1</v>
      </c>
      <c r="C6" s="21">
        <f>B6/100</f>
        <v>0.01</v>
      </c>
      <c r="D6">
        <v>5.4</v>
      </c>
      <c r="E6" s="236">
        <f>D6*(10^9)</f>
        <v>5400000000</v>
      </c>
      <c r="F6" s="238">
        <f>E6</f>
        <v>5400000000</v>
      </c>
      <c r="G6">
        <v>64.5</v>
      </c>
      <c r="H6" s="238">
        <f>(G6*F6)/100</f>
        <v>3483000000</v>
      </c>
      <c r="I6">
        <v>5.6</v>
      </c>
      <c r="J6" s="238">
        <f>(I6*F6)/100</f>
        <v>302399999.99999994</v>
      </c>
    </row>
    <row r="7" spans="1:10">
      <c r="A7" s="207" t="s">
        <v>1095</v>
      </c>
      <c r="B7">
        <v>3</v>
      </c>
      <c r="C7" s="21">
        <f t="shared" ref="C7:C17" si="0">B7/100</f>
        <v>0.03</v>
      </c>
      <c r="D7">
        <v>4.8</v>
      </c>
      <c r="E7" s="236">
        <f t="shared" ref="E7:E15" si="1">D7*(10^9)</f>
        <v>4800000000</v>
      </c>
      <c r="F7" s="238">
        <f t="shared" ref="F7:F15" si="2">E7</f>
        <v>4800000000</v>
      </c>
      <c r="G7">
        <v>55.3</v>
      </c>
      <c r="H7" s="238">
        <f t="shared" ref="H7:H15" si="3">(G7*F7)/100</f>
        <v>2654400000</v>
      </c>
      <c r="I7">
        <v>16.899999999999999</v>
      </c>
      <c r="J7" s="238">
        <f t="shared" ref="J7:J15" si="4">(I7*F7)/100</f>
        <v>811200000</v>
      </c>
    </row>
    <row r="8" spans="1:10">
      <c r="B8">
        <v>5</v>
      </c>
      <c r="C8" s="21">
        <f t="shared" si="0"/>
        <v>0.05</v>
      </c>
      <c r="D8">
        <v>5.5</v>
      </c>
      <c r="E8" s="236">
        <f t="shared" si="1"/>
        <v>5500000000</v>
      </c>
      <c r="F8" s="238">
        <f t="shared" si="2"/>
        <v>5500000000</v>
      </c>
      <c r="G8">
        <v>28.9</v>
      </c>
      <c r="H8" s="238">
        <f t="shared" si="3"/>
        <v>1589500000</v>
      </c>
      <c r="I8">
        <v>41</v>
      </c>
      <c r="J8" s="238">
        <f t="shared" si="4"/>
        <v>2255000000</v>
      </c>
    </row>
    <row r="9" spans="1:10">
      <c r="B9">
        <v>7</v>
      </c>
      <c r="C9" s="21">
        <f t="shared" si="0"/>
        <v>7.0000000000000007E-2</v>
      </c>
      <c r="D9">
        <v>5.4</v>
      </c>
      <c r="E9" s="236">
        <f t="shared" si="1"/>
        <v>5400000000</v>
      </c>
      <c r="F9" s="238">
        <f t="shared" si="2"/>
        <v>5400000000</v>
      </c>
      <c r="G9">
        <v>22.8</v>
      </c>
      <c r="H9" s="238">
        <f t="shared" si="3"/>
        <v>1231200000</v>
      </c>
      <c r="I9">
        <v>37.6</v>
      </c>
      <c r="J9" s="238">
        <f t="shared" si="4"/>
        <v>2030400000</v>
      </c>
    </row>
    <row r="10" spans="1:10">
      <c r="B10">
        <v>9</v>
      </c>
      <c r="C10" s="21">
        <f t="shared" si="0"/>
        <v>0.09</v>
      </c>
      <c r="D10">
        <v>6.8</v>
      </c>
      <c r="E10" s="236">
        <f t="shared" si="1"/>
        <v>6800000000</v>
      </c>
      <c r="F10" s="238">
        <f t="shared" si="2"/>
        <v>6800000000</v>
      </c>
      <c r="G10">
        <v>11.7</v>
      </c>
      <c r="H10" s="238">
        <f t="shared" si="3"/>
        <v>795600000</v>
      </c>
      <c r="I10">
        <v>48.3</v>
      </c>
      <c r="J10" s="238">
        <f t="shared" si="4"/>
        <v>3284400000</v>
      </c>
    </row>
    <row r="11" spans="1:10">
      <c r="B11">
        <v>11</v>
      </c>
      <c r="C11" s="21">
        <f t="shared" si="0"/>
        <v>0.11</v>
      </c>
      <c r="D11" s="207" t="s">
        <v>814</v>
      </c>
      <c r="E11" s="236"/>
      <c r="F11" s="238"/>
      <c r="G11" s="207" t="s">
        <v>1241</v>
      </c>
      <c r="H11" s="238"/>
      <c r="I11" s="207" t="s">
        <v>814</v>
      </c>
      <c r="J11" s="238"/>
    </row>
    <row r="12" spans="1:10">
      <c r="A12" s="207" t="s">
        <v>1176</v>
      </c>
      <c r="B12">
        <v>1</v>
      </c>
      <c r="C12" s="21">
        <f t="shared" si="0"/>
        <v>0.01</v>
      </c>
      <c r="D12">
        <v>3.7</v>
      </c>
      <c r="E12" s="236">
        <f t="shared" si="1"/>
        <v>3700000000</v>
      </c>
      <c r="F12" s="238">
        <f t="shared" si="2"/>
        <v>3700000000</v>
      </c>
      <c r="G12">
        <v>78.5</v>
      </c>
      <c r="H12" s="238">
        <f t="shared" si="3"/>
        <v>2904500000</v>
      </c>
      <c r="I12">
        <v>4.4000000000000004</v>
      </c>
      <c r="J12" s="238">
        <f t="shared" si="4"/>
        <v>162800000.00000003</v>
      </c>
    </row>
    <row r="13" spans="1:10">
      <c r="A13" s="207" t="s">
        <v>1096</v>
      </c>
      <c r="B13">
        <v>3</v>
      </c>
      <c r="C13" s="21">
        <f t="shared" si="0"/>
        <v>0.03</v>
      </c>
      <c r="D13">
        <v>2.5</v>
      </c>
      <c r="E13" s="236">
        <f t="shared" si="1"/>
        <v>2500000000</v>
      </c>
      <c r="F13" s="238">
        <f t="shared" si="2"/>
        <v>2500000000</v>
      </c>
      <c r="G13">
        <v>79.5</v>
      </c>
      <c r="H13" s="238">
        <f t="shared" si="3"/>
        <v>1987500000</v>
      </c>
      <c r="I13">
        <v>4.0999999999999996</v>
      </c>
      <c r="J13" s="238">
        <f t="shared" si="4"/>
        <v>102500000</v>
      </c>
    </row>
    <row r="14" spans="1:10">
      <c r="B14">
        <v>5</v>
      </c>
      <c r="C14" s="21">
        <f t="shared" si="0"/>
        <v>0.05</v>
      </c>
      <c r="D14">
        <v>2.2000000000000002</v>
      </c>
      <c r="E14" s="236">
        <f t="shared" si="1"/>
        <v>2200000000</v>
      </c>
      <c r="F14" s="238">
        <f t="shared" si="2"/>
        <v>2200000000</v>
      </c>
      <c r="G14">
        <v>79</v>
      </c>
      <c r="H14" s="238">
        <f t="shared" si="3"/>
        <v>1738000000</v>
      </c>
      <c r="I14">
        <v>12</v>
      </c>
      <c r="J14" s="238">
        <f t="shared" si="4"/>
        <v>264000000</v>
      </c>
    </row>
    <row r="15" spans="1:10">
      <c r="B15">
        <v>7</v>
      </c>
      <c r="C15" s="21">
        <f t="shared" si="0"/>
        <v>7.0000000000000007E-2</v>
      </c>
      <c r="D15">
        <v>2.2000000000000002</v>
      </c>
      <c r="E15" s="236">
        <f t="shared" si="1"/>
        <v>2200000000</v>
      </c>
      <c r="F15" s="238">
        <f t="shared" si="2"/>
        <v>2200000000</v>
      </c>
      <c r="G15">
        <v>74</v>
      </c>
      <c r="H15" s="238">
        <f t="shared" si="3"/>
        <v>1628000000</v>
      </c>
      <c r="I15">
        <v>24.5</v>
      </c>
      <c r="J15" s="238">
        <f t="shared" si="4"/>
        <v>539000000</v>
      </c>
    </row>
    <row r="16" spans="1:10">
      <c r="B16">
        <v>9</v>
      </c>
      <c r="C16" s="21">
        <f t="shared" si="0"/>
        <v>0.09</v>
      </c>
      <c r="D16" s="207" t="s">
        <v>814</v>
      </c>
      <c r="F16" s="238"/>
      <c r="G16" s="207" t="s">
        <v>814</v>
      </c>
      <c r="H16" s="21"/>
      <c r="I16" s="207" t="s">
        <v>1241</v>
      </c>
      <c r="J16" s="21"/>
    </row>
    <row r="17" spans="2:10">
      <c r="B17">
        <v>11</v>
      </c>
      <c r="C17" s="21">
        <f t="shared" si="0"/>
        <v>0.11</v>
      </c>
      <c r="D17" s="207" t="s">
        <v>814</v>
      </c>
      <c r="F17" s="238"/>
      <c r="G17" s="207" t="s">
        <v>814</v>
      </c>
      <c r="H17" s="21"/>
      <c r="I17" s="207" t="s">
        <v>1241</v>
      </c>
      <c r="J17" s="21"/>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F5" sqref="F5"/>
    </sheetView>
  </sheetViews>
  <sheetFormatPr baseColWidth="10" defaultRowHeight="13" x14ac:dyDescent="0"/>
  <cols>
    <col min="1" max="6" width="10.7109375" style="303"/>
    <col min="7" max="7" width="11" style="303" bestFit="1" customWidth="1"/>
    <col min="8" max="16384" width="10.7109375" style="303"/>
  </cols>
  <sheetData>
    <row r="1" spans="1:9">
      <c r="A1" s="303" t="s">
        <v>348</v>
      </c>
    </row>
    <row r="2" spans="1:9">
      <c r="A2" s="303" t="s">
        <v>347</v>
      </c>
    </row>
    <row r="4" spans="1:9" s="43" customFormat="1" ht="52">
      <c r="B4" s="43" t="s">
        <v>150</v>
      </c>
      <c r="C4" s="43" t="s">
        <v>346</v>
      </c>
      <c r="D4" s="43" t="s">
        <v>345</v>
      </c>
      <c r="E4" s="43" t="s">
        <v>344</v>
      </c>
      <c r="F4" s="43" t="s">
        <v>343</v>
      </c>
      <c r="G4" s="43" t="s">
        <v>449</v>
      </c>
      <c r="H4" s="43" t="s">
        <v>337</v>
      </c>
      <c r="I4" s="43" t="s">
        <v>336</v>
      </c>
    </row>
    <row r="5" spans="1:9" ht="15">
      <c r="B5" s="307" t="s">
        <v>335</v>
      </c>
      <c r="C5" s="303">
        <v>17.100000000000001</v>
      </c>
      <c r="D5" s="303">
        <v>12</v>
      </c>
      <c r="E5" s="303">
        <v>2.2000000000000002</v>
      </c>
      <c r="F5" s="303">
        <f>0.01*1</f>
        <v>0.01</v>
      </c>
      <c r="G5" s="301">
        <f t="shared" ref="G5:G21" si="0">C5*10^8</f>
        <v>1710000000.0000002</v>
      </c>
      <c r="H5" s="301">
        <f t="shared" ref="H5:H21" si="1">D5*10^8</f>
        <v>1200000000</v>
      </c>
      <c r="I5" s="301">
        <f t="shared" ref="I5:I21" si="2">E5*10^7</f>
        <v>22000000</v>
      </c>
    </row>
    <row r="6" spans="1:9" ht="15">
      <c r="B6" s="307" t="s">
        <v>334</v>
      </c>
      <c r="C6" s="303">
        <v>20.100000000000001</v>
      </c>
      <c r="D6" s="303">
        <v>14.4</v>
      </c>
      <c r="E6" s="303">
        <v>2.4</v>
      </c>
      <c r="F6" s="303">
        <v>0.03</v>
      </c>
      <c r="G6" s="301">
        <f t="shared" si="0"/>
        <v>2010000000.0000002</v>
      </c>
      <c r="H6" s="301">
        <f t="shared" si="1"/>
        <v>1440000000</v>
      </c>
      <c r="I6" s="301">
        <f t="shared" si="2"/>
        <v>24000000</v>
      </c>
    </row>
    <row r="7" spans="1:9" ht="15">
      <c r="B7" s="307" t="s">
        <v>333</v>
      </c>
      <c r="C7" s="303">
        <v>18.7</v>
      </c>
      <c r="D7" s="303">
        <v>13.8</v>
      </c>
      <c r="E7" s="303">
        <v>2.2000000000000002</v>
      </c>
      <c r="F7" s="303">
        <v>0.05</v>
      </c>
      <c r="G7" s="301">
        <f t="shared" si="0"/>
        <v>1870000000</v>
      </c>
      <c r="H7" s="301">
        <f t="shared" si="1"/>
        <v>1380000000</v>
      </c>
      <c r="I7" s="301">
        <f t="shared" si="2"/>
        <v>22000000</v>
      </c>
    </row>
    <row r="8" spans="1:9" ht="15">
      <c r="B8" s="307" t="s">
        <v>297</v>
      </c>
      <c r="C8" s="303">
        <v>11.1</v>
      </c>
      <c r="D8" s="303">
        <v>8.1999999999999993</v>
      </c>
      <c r="E8" s="303">
        <v>4.5999999999999996</v>
      </c>
      <c r="F8" s="303">
        <v>7.0000000000000007E-2</v>
      </c>
      <c r="G8" s="301">
        <f t="shared" si="0"/>
        <v>1110000000</v>
      </c>
      <c r="H8" s="301">
        <f t="shared" si="1"/>
        <v>819999999.99999988</v>
      </c>
      <c r="I8" s="301">
        <f t="shared" si="2"/>
        <v>46000000</v>
      </c>
    </row>
    <row r="9" spans="1:9" ht="15">
      <c r="B9" s="307" t="s">
        <v>332</v>
      </c>
      <c r="C9" s="303">
        <v>8.4</v>
      </c>
      <c r="D9" s="303">
        <v>6</v>
      </c>
      <c r="E9" s="303">
        <v>8.1999999999999993</v>
      </c>
      <c r="F9" s="303">
        <v>0.09</v>
      </c>
      <c r="G9" s="301">
        <f t="shared" si="0"/>
        <v>840000000</v>
      </c>
      <c r="H9" s="301">
        <f t="shared" si="1"/>
        <v>600000000</v>
      </c>
      <c r="I9" s="301">
        <f t="shared" si="2"/>
        <v>82000000</v>
      </c>
    </row>
    <row r="10" spans="1:9" ht="15">
      <c r="B10" s="307" t="s">
        <v>331</v>
      </c>
      <c r="C10" s="303">
        <v>7.9</v>
      </c>
      <c r="D10" s="303">
        <v>5.0999999999999996</v>
      </c>
      <c r="E10" s="303">
        <v>9.3000000000000007</v>
      </c>
      <c r="F10" s="303">
        <v>0.115</v>
      </c>
      <c r="G10" s="301">
        <f t="shared" si="0"/>
        <v>790000000</v>
      </c>
      <c r="H10" s="301">
        <f t="shared" si="1"/>
        <v>509999999.99999994</v>
      </c>
      <c r="I10" s="301">
        <f t="shared" si="2"/>
        <v>93000000</v>
      </c>
    </row>
    <row r="11" spans="1:9" ht="15">
      <c r="B11" s="307" t="s">
        <v>330</v>
      </c>
      <c r="C11" s="303">
        <v>12.8</v>
      </c>
      <c r="D11" s="303">
        <v>10.9</v>
      </c>
      <c r="E11" s="303">
        <v>8.4</v>
      </c>
      <c r="F11" s="303">
        <v>0.14000000000000001</v>
      </c>
      <c r="G11" s="301">
        <f t="shared" si="0"/>
        <v>1280000000</v>
      </c>
      <c r="H11" s="301">
        <f t="shared" si="1"/>
        <v>1090000000</v>
      </c>
      <c r="I11" s="301">
        <f t="shared" si="2"/>
        <v>84000000</v>
      </c>
    </row>
    <row r="12" spans="1:9" ht="15">
      <c r="B12" s="307" t="s">
        <v>329</v>
      </c>
      <c r="C12" s="303">
        <v>10.6</v>
      </c>
      <c r="D12" s="303">
        <v>7.4</v>
      </c>
      <c r="E12" s="303">
        <v>4.3</v>
      </c>
      <c r="F12" s="303">
        <v>0.16500000000000001</v>
      </c>
      <c r="G12" s="301">
        <f t="shared" si="0"/>
        <v>1060000000</v>
      </c>
      <c r="H12" s="301">
        <f t="shared" si="1"/>
        <v>740000000</v>
      </c>
      <c r="I12" s="301">
        <f t="shared" si="2"/>
        <v>43000000</v>
      </c>
    </row>
    <row r="13" spans="1:9" ht="15">
      <c r="B13" s="307" t="s">
        <v>328</v>
      </c>
      <c r="C13" s="303">
        <v>10.8</v>
      </c>
      <c r="D13" s="303">
        <v>8.8000000000000007</v>
      </c>
      <c r="E13" s="303">
        <v>3.1</v>
      </c>
      <c r="F13" s="303">
        <v>0.19500000000000001</v>
      </c>
      <c r="G13" s="301">
        <f t="shared" si="0"/>
        <v>1080000000</v>
      </c>
      <c r="H13" s="301">
        <f t="shared" si="1"/>
        <v>880000000.00000012</v>
      </c>
      <c r="I13" s="301">
        <f t="shared" si="2"/>
        <v>31000000</v>
      </c>
    </row>
    <row r="14" spans="1:9" ht="15">
      <c r="B14" s="307" t="s">
        <v>327</v>
      </c>
      <c r="C14" s="303">
        <v>17.3</v>
      </c>
      <c r="D14" s="303">
        <v>13.8</v>
      </c>
      <c r="E14" s="303">
        <v>4</v>
      </c>
      <c r="F14" s="303">
        <v>0.22500000000000001</v>
      </c>
      <c r="G14" s="301">
        <f t="shared" si="0"/>
        <v>1730000000</v>
      </c>
      <c r="H14" s="301">
        <f t="shared" si="1"/>
        <v>1380000000</v>
      </c>
      <c r="I14" s="301">
        <f t="shared" si="2"/>
        <v>40000000</v>
      </c>
    </row>
    <row r="15" spans="1:9" ht="15">
      <c r="B15" s="307" t="s">
        <v>326</v>
      </c>
      <c r="C15" s="303">
        <v>15.4</v>
      </c>
      <c r="D15" s="303">
        <v>12</v>
      </c>
      <c r="E15" s="303">
        <v>5.3</v>
      </c>
      <c r="F15" s="303">
        <v>0.255</v>
      </c>
      <c r="G15" s="301">
        <f t="shared" si="0"/>
        <v>1540000000</v>
      </c>
      <c r="H15" s="301">
        <f t="shared" si="1"/>
        <v>1200000000</v>
      </c>
      <c r="I15" s="301">
        <f t="shared" si="2"/>
        <v>53000000</v>
      </c>
    </row>
    <row r="16" spans="1:9" ht="15">
      <c r="B16" s="307" t="s">
        <v>303</v>
      </c>
      <c r="C16" s="303">
        <v>15.2</v>
      </c>
      <c r="D16" s="303">
        <v>12.3</v>
      </c>
      <c r="E16" s="303">
        <v>1.5</v>
      </c>
      <c r="F16" s="303">
        <v>0.28499999999999998</v>
      </c>
      <c r="G16" s="301">
        <f t="shared" si="0"/>
        <v>1520000000</v>
      </c>
      <c r="H16" s="301">
        <f t="shared" si="1"/>
        <v>1230000000</v>
      </c>
      <c r="I16" s="301">
        <f t="shared" si="2"/>
        <v>15000000</v>
      </c>
    </row>
    <row r="17" spans="2:9" ht="15">
      <c r="B17" s="307" t="s">
        <v>325</v>
      </c>
      <c r="C17" s="303">
        <v>9.1</v>
      </c>
      <c r="D17" s="303">
        <v>6.5</v>
      </c>
      <c r="E17" s="303">
        <v>11.1</v>
      </c>
      <c r="F17" s="303">
        <v>0.315</v>
      </c>
      <c r="G17" s="301">
        <f t="shared" si="0"/>
        <v>910000000</v>
      </c>
      <c r="H17" s="301">
        <f t="shared" si="1"/>
        <v>650000000</v>
      </c>
      <c r="I17" s="301">
        <f t="shared" si="2"/>
        <v>111000000</v>
      </c>
    </row>
    <row r="18" spans="2:9" ht="15">
      <c r="B18" s="307" t="s">
        <v>324</v>
      </c>
      <c r="C18" s="303">
        <v>11.6</v>
      </c>
      <c r="D18" s="303">
        <v>9.3000000000000007</v>
      </c>
      <c r="E18" s="303">
        <v>11.8</v>
      </c>
      <c r="F18" s="303">
        <v>0.34499999999999997</v>
      </c>
      <c r="G18" s="301">
        <f t="shared" si="0"/>
        <v>1160000000</v>
      </c>
      <c r="H18" s="301">
        <f t="shared" si="1"/>
        <v>930000000.00000012</v>
      </c>
      <c r="I18" s="301">
        <f t="shared" si="2"/>
        <v>118000000</v>
      </c>
    </row>
    <row r="19" spans="2:9" ht="15">
      <c r="B19" s="307" t="s">
        <v>323</v>
      </c>
      <c r="C19" s="303">
        <v>11.1</v>
      </c>
      <c r="D19" s="303">
        <v>6.9</v>
      </c>
      <c r="E19" s="303">
        <v>7.7</v>
      </c>
      <c r="F19" s="303">
        <v>0.375</v>
      </c>
      <c r="G19" s="301">
        <f t="shared" si="0"/>
        <v>1110000000</v>
      </c>
      <c r="H19" s="301">
        <f t="shared" si="1"/>
        <v>690000000</v>
      </c>
      <c r="I19" s="301">
        <f t="shared" si="2"/>
        <v>77000000</v>
      </c>
    </row>
    <row r="20" spans="2:9" ht="15">
      <c r="B20" s="307" t="s">
        <v>322</v>
      </c>
      <c r="C20" s="303">
        <v>9.1</v>
      </c>
      <c r="D20" s="303">
        <v>6.2</v>
      </c>
      <c r="E20" s="303">
        <v>6.8</v>
      </c>
      <c r="F20" s="303">
        <v>0.40500000000000003</v>
      </c>
      <c r="G20" s="301">
        <f t="shared" si="0"/>
        <v>910000000</v>
      </c>
      <c r="H20" s="301">
        <f t="shared" si="1"/>
        <v>620000000</v>
      </c>
      <c r="I20" s="301">
        <f t="shared" si="2"/>
        <v>68000000</v>
      </c>
    </row>
    <row r="21" spans="2:9" ht="15">
      <c r="B21" s="307" t="s">
        <v>321</v>
      </c>
      <c r="C21" s="303">
        <v>8</v>
      </c>
      <c r="D21" s="303">
        <v>7.7</v>
      </c>
      <c r="E21" s="303">
        <v>6.5</v>
      </c>
      <c r="F21" s="303">
        <v>0.43</v>
      </c>
      <c r="G21" s="301">
        <f t="shared" si="0"/>
        <v>800000000</v>
      </c>
      <c r="H21" s="301">
        <f t="shared" si="1"/>
        <v>770000000</v>
      </c>
      <c r="I21" s="301">
        <f t="shared" si="2"/>
        <v>65000000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3" sqref="A3"/>
    </sheetView>
  </sheetViews>
  <sheetFormatPr baseColWidth="10" defaultRowHeight="13" x14ac:dyDescent="0"/>
  <cols>
    <col min="4" max="4" width="10.7109375" style="304"/>
  </cols>
  <sheetData>
    <row r="1" spans="1:6">
      <c r="A1" s="304" t="s">
        <v>64</v>
      </c>
    </row>
    <row r="2" spans="1:6">
      <c r="A2" s="304" t="s">
        <v>12</v>
      </c>
    </row>
    <row r="3" spans="1:6">
      <c r="A3" s="304" t="s">
        <v>66</v>
      </c>
      <c r="B3" s="304" t="s">
        <v>65</v>
      </c>
      <c r="C3" s="304" t="s">
        <v>68</v>
      </c>
      <c r="D3" s="304" t="s">
        <v>74</v>
      </c>
      <c r="E3" s="304" t="s">
        <v>69</v>
      </c>
      <c r="F3" s="304" t="s">
        <v>70</v>
      </c>
    </row>
    <row r="4" spans="1:6">
      <c r="A4">
        <v>0.54154620409037402</v>
      </c>
      <c r="B4">
        <v>86.725024092515199</v>
      </c>
      <c r="C4">
        <v>71.370061034371901</v>
      </c>
      <c r="D4" s="304">
        <f>A4*0.01</f>
        <v>5.4154620409037407E-3</v>
      </c>
      <c r="E4">
        <f>B4/100</f>
        <v>0.86725024092515202</v>
      </c>
      <c r="F4" s="304">
        <f>C4/100</f>
        <v>0.71370061034371901</v>
      </c>
    </row>
    <row r="5" spans="1:6">
      <c r="A5">
        <v>1.64150337295213</v>
      </c>
      <c r="B5">
        <v>90.218438805011203</v>
      </c>
      <c r="C5">
        <v>47.2092836492129</v>
      </c>
      <c r="D5" s="304">
        <f t="shared" ref="D5:D13" si="0">A5*0.01</f>
        <v>1.64150337295213E-2</v>
      </c>
      <c r="E5" s="304">
        <f t="shared" ref="E5:E13" si="1">B5/100</f>
        <v>0.90218438805011203</v>
      </c>
      <c r="F5" s="304">
        <f t="shared" ref="F5:F13" si="2">C5/100</f>
        <v>0.47209283649212902</v>
      </c>
    </row>
    <row r="6" spans="1:6">
      <c r="A6">
        <v>2.6899293286219002</v>
      </c>
      <c r="B6">
        <v>99.851429489238598</v>
      </c>
      <c r="C6">
        <v>49.674751044009</v>
      </c>
      <c r="D6" s="304">
        <f t="shared" si="0"/>
        <v>2.6899293286219001E-2</v>
      </c>
      <c r="E6" s="304">
        <f t="shared" si="1"/>
        <v>0.99851429489238597</v>
      </c>
      <c r="F6" s="304">
        <f t="shared" si="2"/>
        <v>0.49674751044009002</v>
      </c>
    </row>
    <row r="7" spans="1:6">
      <c r="A7">
        <v>3.5652104079666</v>
      </c>
      <c r="B7">
        <v>94.113395438483707</v>
      </c>
      <c r="C7">
        <v>58.275778991326597</v>
      </c>
      <c r="D7" s="304">
        <f t="shared" si="0"/>
        <v>3.5652104079666E-2</v>
      </c>
      <c r="E7" s="304">
        <f t="shared" si="1"/>
        <v>0.94113395438483705</v>
      </c>
      <c r="F7" s="304">
        <f t="shared" si="2"/>
        <v>0.58275778991326599</v>
      </c>
    </row>
    <row r="8" spans="1:6">
      <c r="A8">
        <v>4.6080147767427002</v>
      </c>
      <c r="B8">
        <v>93.507067137809102</v>
      </c>
      <c r="C8">
        <v>40.254577577899099</v>
      </c>
      <c r="D8" s="304">
        <f t="shared" si="0"/>
        <v>4.6080147767427006E-2</v>
      </c>
      <c r="E8" s="304">
        <f t="shared" si="1"/>
        <v>0.93507067137809097</v>
      </c>
      <c r="F8" s="304">
        <f t="shared" si="2"/>
        <v>0.40254577577899098</v>
      </c>
    </row>
    <row r="9" spans="1:6">
      <c r="A9">
        <v>6.0913641717528604</v>
      </c>
      <c r="B9">
        <v>95.322036620623194</v>
      </c>
      <c r="C9">
        <v>35.588660456151601</v>
      </c>
      <c r="D9" s="304">
        <f t="shared" si="0"/>
        <v>6.0913641717528604E-2</v>
      </c>
      <c r="E9" s="304">
        <f t="shared" si="1"/>
        <v>0.95322036620623196</v>
      </c>
      <c r="F9" s="304">
        <f t="shared" si="2"/>
        <v>0.355886604561516</v>
      </c>
    </row>
    <row r="10" spans="1:6">
      <c r="A10">
        <v>7.9899614519755797</v>
      </c>
      <c r="B10">
        <v>53.481368454866598</v>
      </c>
      <c r="C10">
        <v>38.809026662383502</v>
      </c>
      <c r="D10" s="304">
        <f t="shared" si="0"/>
        <v>7.9899614519755802E-2</v>
      </c>
      <c r="E10" s="304">
        <f t="shared" si="1"/>
        <v>0.53481368454866596</v>
      </c>
      <c r="F10" s="304">
        <f t="shared" si="2"/>
        <v>0.388090266623835</v>
      </c>
    </row>
    <row r="11" spans="1:6">
      <c r="A11">
        <v>10.0800674590427</v>
      </c>
      <c r="B11">
        <v>60.460167041439099</v>
      </c>
      <c r="C11">
        <v>31.448763250883399</v>
      </c>
      <c r="D11" s="304">
        <f t="shared" si="0"/>
        <v>0.10080067459042701</v>
      </c>
      <c r="E11" s="304">
        <f t="shared" si="1"/>
        <v>0.60460167041439095</v>
      </c>
      <c r="F11" s="304">
        <f t="shared" si="2"/>
        <v>0.31448763250883399</v>
      </c>
    </row>
    <row r="12" spans="1:6">
      <c r="A12">
        <v>12.058866045615099</v>
      </c>
      <c r="B12">
        <v>64.700449726951504</v>
      </c>
      <c r="C12">
        <v>30.2320912303244</v>
      </c>
      <c r="D12" s="304">
        <f t="shared" si="0"/>
        <v>0.12058866045615099</v>
      </c>
      <c r="E12" s="304">
        <f t="shared" si="1"/>
        <v>0.64700449726951503</v>
      </c>
      <c r="F12" s="304">
        <f t="shared" si="2"/>
        <v>0.30232091230324398</v>
      </c>
    </row>
    <row r="13" spans="1:6">
      <c r="A13">
        <v>15.028937787771699</v>
      </c>
      <c r="B13">
        <v>74.473980083520701</v>
      </c>
      <c r="C13">
        <v>26.349180854481101</v>
      </c>
      <c r="D13" s="304">
        <f t="shared" si="0"/>
        <v>0.15028937787771698</v>
      </c>
      <c r="E13" s="304">
        <f t="shared" si="1"/>
        <v>0.74473980083520697</v>
      </c>
      <c r="F13" s="304">
        <f t="shared" si="2"/>
        <v>0.26349180854481102</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J50" sqref="J50"/>
    </sheetView>
  </sheetViews>
  <sheetFormatPr baseColWidth="10" defaultRowHeight="13" x14ac:dyDescent="0"/>
  <sheetData>
    <row r="1" spans="1:9">
      <c r="A1" s="173" t="s">
        <v>1051</v>
      </c>
      <c r="C1" s="30"/>
    </row>
    <row r="4" spans="1:9">
      <c r="A4" s="173" t="s">
        <v>1052</v>
      </c>
      <c r="D4" s="173" t="s">
        <v>1056</v>
      </c>
      <c r="E4" s="173" t="s">
        <v>1126</v>
      </c>
      <c r="F4" s="174" t="s">
        <v>809</v>
      </c>
      <c r="G4" s="32" t="s">
        <v>684</v>
      </c>
      <c r="H4" s="174" t="s">
        <v>809</v>
      </c>
      <c r="I4" s="32" t="s">
        <v>684</v>
      </c>
    </row>
    <row r="5" spans="1:9" s="43" customFormat="1" ht="52">
      <c r="A5" s="43" t="s">
        <v>619</v>
      </c>
      <c r="B5" s="51" t="s">
        <v>721</v>
      </c>
      <c r="C5" s="43" t="s">
        <v>1053</v>
      </c>
      <c r="D5" s="279" t="s">
        <v>1054</v>
      </c>
      <c r="E5" s="43" t="s">
        <v>1129</v>
      </c>
      <c r="F5" s="43" t="s">
        <v>683</v>
      </c>
      <c r="G5" s="51" t="s">
        <v>584</v>
      </c>
      <c r="H5" s="43" t="s">
        <v>712</v>
      </c>
      <c r="I5" s="51" t="s">
        <v>585</v>
      </c>
    </row>
    <row r="6" spans="1:9">
      <c r="A6">
        <v>0.25</v>
      </c>
      <c r="B6" s="32">
        <f>A6/100</f>
        <v>2.5000000000000001E-3</v>
      </c>
      <c r="C6" s="168">
        <v>2900000000</v>
      </c>
      <c r="D6" s="175">
        <v>9601</v>
      </c>
      <c r="E6" s="173">
        <v>264</v>
      </c>
      <c r="F6">
        <v>57.9</v>
      </c>
      <c r="G6" s="221">
        <f t="shared" ref="G6:G20" si="0">(F6/100)*C6</f>
        <v>1679100000</v>
      </c>
      <c r="H6" s="174">
        <v>6.4</v>
      </c>
      <c r="I6" s="221">
        <f>(H6/100)*C6</f>
        <v>185600000</v>
      </c>
    </row>
    <row r="7" spans="1:9">
      <c r="A7">
        <v>0.75</v>
      </c>
      <c r="B7" s="32">
        <f t="shared" ref="B7:B25" si="1">A7/100</f>
        <v>7.4999999999999997E-3</v>
      </c>
      <c r="C7" s="168">
        <v>3500000000</v>
      </c>
      <c r="D7">
        <v>9845</v>
      </c>
      <c r="E7" s="173">
        <v>191</v>
      </c>
      <c r="F7">
        <v>55.9</v>
      </c>
      <c r="G7" s="221">
        <f t="shared" si="0"/>
        <v>1956499999.9999998</v>
      </c>
      <c r="H7" s="174">
        <v>1.8</v>
      </c>
      <c r="I7" s="221">
        <f t="shared" ref="I7:I15" si="2">(H7/100)*C7</f>
        <v>63000000.000000007</v>
      </c>
    </row>
    <row r="8" spans="1:9">
      <c r="A8">
        <v>1.25</v>
      </c>
      <c r="B8" s="32">
        <f t="shared" si="1"/>
        <v>1.2500000000000001E-2</v>
      </c>
      <c r="C8" s="168">
        <v>3100000000</v>
      </c>
      <c r="D8">
        <v>7179</v>
      </c>
      <c r="E8" s="173">
        <v>142</v>
      </c>
      <c r="F8">
        <v>56.1</v>
      </c>
      <c r="G8" s="221">
        <f t="shared" si="0"/>
        <v>1739100000.0000002</v>
      </c>
      <c r="H8" s="174">
        <v>2.9</v>
      </c>
      <c r="I8" s="221">
        <f t="shared" si="2"/>
        <v>89900000</v>
      </c>
    </row>
    <row r="9" spans="1:9">
      <c r="A9">
        <v>1.75</v>
      </c>
      <c r="B9" s="32">
        <f t="shared" si="1"/>
        <v>1.7500000000000002E-2</v>
      </c>
      <c r="C9" s="168">
        <v>4200000000</v>
      </c>
      <c r="D9">
        <v>6744</v>
      </c>
      <c r="E9" s="173">
        <v>135</v>
      </c>
      <c r="F9">
        <v>53.1</v>
      </c>
      <c r="G9" s="221">
        <f t="shared" si="0"/>
        <v>2230200000</v>
      </c>
      <c r="H9" s="174">
        <v>2.1</v>
      </c>
      <c r="I9" s="221">
        <f t="shared" si="2"/>
        <v>88200000</v>
      </c>
    </row>
    <row r="10" spans="1:9">
      <c r="A10">
        <v>2.25</v>
      </c>
      <c r="B10" s="32">
        <f t="shared" si="1"/>
        <v>2.2499999999999999E-2</v>
      </c>
      <c r="C10" s="168">
        <v>4100000000</v>
      </c>
      <c r="D10">
        <v>7028</v>
      </c>
      <c r="E10" s="173">
        <v>133</v>
      </c>
      <c r="F10">
        <v>57.5</v>
      </c>
      <c r="G10" s="221">
        <f t="shared" si="0"/>
        <v>2357500000</v>
      </c>
      <c r="H10" s="174">
        <v>1.8</v>
      </c>
      <c r="I10" s="221">
        <f t="shared" si="2"/>
        <v>73800000.000000015</v>
      </c>
    </row>
    <row r="11" spans="1:9">
      <c r="A11">
        <v>2.75</v>
      </c>
      <c r="B11" s="32">
        <f t="shared" si="1"/>
        <v>2.75E-2</v>
      </c>
      <c r="C11" s="168">
        <v>3700000000</v>
      </c>
      <c r="D11">
        <v>4944</v>
      </c>
      <c r="E11" s="173">
        <v>93</v>
      </c>
      <c r="F11">
        <v>47.9</v>
      </c>
      <c r="G11" s="221">
        <f t="shared" si="0"/>
        <v>1772300000</v>
      </c>
      <c r="H11" s="174">
        <v>1.4</v>
      </c>
      <c r="I11" s="221">
        <f t="shared" si="2"/>
        <v>51799999.999999993</v>
      </c>
    </row>
    <row r="12" spans="1:9">
      <c r="A12">
        <v>3.25</v>
      </c>
      <c r="B12" s="32">
        <f t="shared" si="1"/>
        <v>3.2500000000000001E-2</v>
      </c>
      <c r="C12" s="168">
        <v>2700000000</v>
      </c>
      <c r="D12">
        <v>4638</v>
      </c>
      <c r="E12" s="173">
        <v>86</v>
      </c>
      <c r="F12">
        <v>43.7</v>
      </c>
      <c r="G12" s="221">
        <f t="shared" si="0"/>
        <v>1179900000.0000002</v>
      </c>
      <c r="H12" s="174">
        <v>1.4</v>
      </c>
      <c r="I12" s="221">
        <f t="shared" si="2"/>
        <v>37799999.999999993</v>
      </c>
    </row>
    <row r="13" spans="1:9">
      <c r="A13">
        <v>3.75</v>
      </c>
      <c r="B13" s="32">
        <f t="shared" si="1"/>
        <v>3.7499999999999999E-2</v>
      </c>
      <c r="C13" s="168">
        <v>3100000000</v>
      </c>
      <c r="D13">
        <v>5125</v>
      </c>
      <c r="E13" s="173">
        <v>87</v>
      </c>
      <c r="F13">
        <v>42.8</v>
      </c>
      <c r="G13" s="221">
        <f t="shared" si="0"/>
        <v>1326800000</v>
      </c>
      <c r="H13" s="174">
        <v>1.4</v>
      </c>
      <c r="I13" s="221">
        <f t="shared" si="2"/>
        <v>43399999.999999993</v>
      </c>
    </row>
    <row r="14" spans="1:9">
      <c r="A14">
        <v>4.25</v>
      </c>
      <c r="B14" s="32">
        <f t="shared" si="1"/>
        <v>4.2500000000000003E-2</v>
      </c>
      <c r="C14" s="168">
        <v>3500000000</v>
      </c>
      <c r="D14">
        <v>3531</v>
      </c>
      <c r="E14" s="173">
        <v>83</v>
      </c>
      <c r="F14">
        <v>43.5</v>
      </c>
      <c r="G14" s="221">
        <f t="shared" si="0"/>
        <v>1522500000</v>
      </c>
      <c r="H14" s="174">
        <v>1.4</v>
      </c>
      <c r="I14" s="221">
        <f t="shared" si="2"/>
        <v>48999999.999999993</v>
      </c>
    </row>
    <row r="15" spans="1:9">
      <c r="A15">
        <v>4.75</v>
      </c>
      <c r="B15" s="32">
        <f t="shared" si="1"/>
        <v>4.7500000000000001E-2</v>
      </c>
      <c r="C15" s="168">
        <v>3400000000</v>
      </c>
      <c r="D15">
        <v>3526</v>
      </c>
      <c r="E15" s="173">
        <v>79</v>
      </c>
      <c r="F15">
        <v>28.4</v>
      </c>
      <c r="G15" s="221">
        <f t="shared" si="0"/>
        <v>965599999.99999988</v>
      </c>
      <c r="H15" s="174">
        <v>1.4</v>
      </c>
      <c r="I15" s="221">
        <f t="shared" si="2"/>
        <v>47599999.999999993</v>
      </c>
    </row>
    <row r="16" spans="1:9">
      <c r="A16">
        <v>5.5</v>
      </c>
      <c r="B16" s="32">
        <f t="shared" si="1"/>
        <v>5.5E-2</v>
      </c>
      <c r="C16" s="168">
        <v>3500000000</v>
      </c>
      <c r="D16">
        <v>2570</v>
      </c>
      <c r="E16" s="173">
        <v>46</v>
      </c>
      <c r="F16">
        <v>26</v>
      </c>
      <c r="G16" s="221">
        <f t="shared" si="0"/>
        <v>910000000</v>
      </c>
      <c r="H16" s="174" t="s">
        <v>681</v>
      </c>
      <c r="I16" s="32"/>
    </row>
    <row r="17" spans="1:9">
      <c r="A17">
        <v>6.5</v>
      </c>
      <c r="B17" s="32">
        <f t="shared" si="1"/>
        <v>6.5000000000000002E-2</v>
      </c>
      <c r="C17" s="168">
        <v>3700000000</v>
      </c>
      <c r="D17">
        <v>2929</v>
      </c>
      <c r="E17" s="173">
        <v>55</v>
      </c>
      <c r="F17">
        <v>24.1</v>
      </c>
      <c r="G17" s="221">
        <f t="shared" si="0"/>
        <v>891700000.00000012</v>
      </c>
      <c r="H17" s="174" t="s">
        <v>681</v>
      </c>
      <c r="I17" s="32"/>
    </row>
    <row r="18" spans="1:9">
      <c r="A18">
        <v>7.5</v>
      </c>
      <c r="B18" s="32">
        <f t="shared" si="1"/>
        <v>7.4999999999999997E-2</v>
      </c>
      <c r="C18" s="168">
        <v>4700000000</v>
      </c>
      <c r="D18">
        <v>2631</v>
      </c>
      <c r="E18" s="173">
        <v>31</v>
      </c>
      <c r="F18">
        <v>23.6</v>
      </c>
      <c r="G18" s="221">
        <f t="shared" si="0"/>
        <v>1109200000</v>
      </c>
      <c r="H18" s="174" t="s">
        <v>681</v>
      </c>
      <c r="I18" s="32"/>
    </row>
    <row r="19" spans="1:9">
      <c r="A19">
        <v>8.5</v>
      </c>
      <c r="B19" s="32">
        <f t="shared" si="1"/>
        <v>8.5000000000000006E-2</v>
      </c>
      <c r="C19" s="168">
        <v>2900000000</v>
      </c>
      <c r="D19">
        <v>2824</v>
      </c>
      <c r="E19" s="173">
        <v>45</v>
      </c>
      <c r="F19">
        <v>28.9</v>
      </c>
      <c r="G19" s="221">
        <f t="shared" si="0"/>
        <v>838099999.99999988</v>
      </c>
      <c r="H19" s="174">
        <v>1</v>
      </c>
      <c r="I19" s="221">
        <f>(H19/100)*C19</f>
        <v>29000000</v>
      </c>
    </row>
    <row r="20" spans="1:9">
      <c r="A20">
        <v>9.5</v>
      </c>
      <c r="B20" s="32">
        <f t="shared" si="1"/>
        <v>9.5000000000000001E-2</v>
      </c>
      <c r="C20" s="168">
        <v>3700000000</v>
      </c>
      <c r="D20">
        <v>2273</v>
      </c>
      <c r="E20" s="173">
        <v>35</v>
      </c>
      <c r="F20">
        <v>22</v>
      </c>
      <c r="G20" s="221">
        <f t="shared" si="0"/>
        <v>814000000</v>
      </c>
      <c r="H20" s="174">
        <v>1</v>
      </c>
      <c r="I20" s="221">
        <f>(H20/100)*C20</f>
        <v>37000000</v>
      </c>
    </row>
    <row r="21" spans="1:9">
      <c r="A21">
        <v>11</v>
      </c>
      <c r="B21" s="32">
        <f t="shared" si="1"/>
        <v>0.11</v>
      </c>
      <c r="C21" s="168">
        <v>3900000000</v>
      </c>
      <c r="G21" s="221"/>
      <c r="H21" s="174">
        <v>1.7</v>
      </c>
      <c r="I21" s="221">
        <f>(H21/100)*C21</f>
        <v>66300000.000000007</v>
      </c>
    </row>
    <row r="22" spans="1:9">
      <c r="A22">
        <v>13</v>
      </c>
      <c r="B22" s="32">
        <f t="shared" si="1"/>
        <v>0.13</v>
      </c>
      <c r="C22" s="168">
        <v>2700000000</v>
      </c>
      <c r="H22" s="174">
        <v>0.6</v>
      </c>
      <c r="I22" s="221">
        <f>(H22/100)*C22</f>
        <v>16200000</v>
      </c>
    </row>
    <row r="23" spans="1:9">
      <c r="A23">
        <v>15</v>
      </c>
      <c r="B23" s="32">
        <f t="shared" si="1"/>
        <v>0.15</v>
      </c>
      <c r="C23" s="168">
        <v>2500000000</v>
      </c>
      <c r="H23" s="174">
        <v>0.6</v>
      </c>
      <c r="I23" s="221">
        <f>(H23/100)*C23</f>
        <v>15000000</v>
      </c>
    </row>
    <row r="24" spans="1:9">
      <c r="A24">
        <v>17</v>
      </c>
      <c r="B24" s="32">
        <f t="shared" si="1"/>
        <v>0.17</v>
      </c>
      <c r="C24" s="168">
        <v>3300000000</v>
      </c>
    </row>
    <row r="25" spans="1:9">
      <c r="A25">
        <v>19</v>
      </c>
      <c r="B25" s="32">
        <f t="shared" si="1"/>
        <v>0.19</v>
      </c>
      <c r="C25" s="168">
        <v>2700000000</v>
      </c>
    </row>
    <row r="31" spans="1:9">
      <c r="A31" s="173" t="s">
        <v>1055</v>
      </c>
      <c r="B31" s="173"/>
      <c r="C31" s="173"/>
      <c r="D31" s="173" t="s">
        <v>841</v>
      </c>
      <c r="E31" s="173" t="s">
        <v>1127</v>
      </c>
      <c r="F31" s="174" t="s">
        <v>574</v>
      </c>
      <c r="G31" s="32" t="s">
        <v>966</v>
      </c>
      <c r="H31" s="174" t="s">
        <v>574</v>
      </c>
      <c r="I31" s="174" t="s">
        <v>966</v>
      </c>
    </row>
    <row r="32" spans="1:9">
      <c r="A32" s="173" t="s">
        <v>619</v>
      </c>
      <c r="B32" s="32" t="s">
        <v>721</v>
      </c>
      <c r="C32" s="173" t="s">
        <v>1053</v>
      </c>
      <c r="D32" s="30" t="s">
        <v>1054</v>
      </c>
      <c r="E32" s="173" t="s">
        <v>1128</v>
      </c>
      <c r="F32" s="174" t="s">
        <v>824</v>
      </c>
      <c r="G32" s="32" t="s">
        <v>892</v>
      </c>
      <c r="H32" s="174" t="s">
        <v>712</v>
      </c>
      <c r="I32" s="174" t="s">
        <v>579</v>
      </c>
    </row>
    <row r="33" spans="1:9">
      <c r="A33" s="173">
        <v>0.25</v>
      </c>
      <c r="B33" s="32">
        <f>A33/100</f>
        <v>2.5000000000000001E-3</v>
      </c>
      <c r="C33" s="168">
        <v>2100000000</v>
      </c>
      <c r="D33" s="173">
        <v>9.8450000000000006</v>
      </c>
      <c r="E33" s="173">
        <v>169</v>
      </c>
      <c r="F33" s="174">
        <v>72.900000000000006</v>
      </c>
      <c r="G33" s="221">
        <f>(F33/100)*C33</f>
        <v>1530900000.0000002</v>
      </c>
      <c r="H33">
        <v>3.3</v>
      </c>
      <c r="I33" s="221">
        <f>(H33/100)*C33</f>
        <v>69300000</v>
      </c>
    </row>
    <row r="34" spans="1:9">
      <c r="A34" s="173">
        <v>0.75</v>
      </c>
      <c r="B34" s="32">
        <f t="shared" ref="B34:B52" si="3">A34/100</f>
        <v>7.4999999999999997E-3</v>
      </c>
      <c r="C34" s="168">
        <v>3300000000</v>
      </c>
      <c r="D34" s="173">
        <v>13564</v>
      </c>
      <c r="E34" s="173">
        <v>282</v>
      </c>
      <c r="F34" s="174">
        <v>73.599999999999994</v>
      </c>
      <c r="G34" s="221">
        <f t="shared" ref="G34:G47" si="4">(F34/100)*C34</f>
        <v>2428800000</v>
      </c>
      <c r="H34">
        <v>1.8</v>
      </c>
      <c r="I34" s="221">
        <f t="shared" ref="I34:I41" si="5">(H34/100)*C34</f>
        <v>59400000.000000007</v>
      </c>
    </row>
    <row r="35" spans="1:9">
      <c r="A35" s="173">
        <v>1.25</v>
      </c>
      <c r="B35" s="32">
        <f t="shared" si="3"/>
        <v>1.2500000000000001E-2</v>
      </c>
      <c r="C35" s="168">
        <v>3400000000</v>
      </c>
      <c r="D35" s="173">
        <v>10391</v>
      </c>
      <c r="E35" s="173">
        <v>206</v>
      </c>
      <c r="F35" s="174">
        <v>65.400000000000006</v>
      </c>
      <c r="G35" s="221">
        <f t="shared" si="4"/>
        <v>2223600000</v>
      </c>
      <c r="H35">
        <v>1.8</v>
      </c>
      <c r="I35" s="221">
        <f t="shared" si="5"/>
        <v>61200000.000000007</v>
      </c>
    </row>
    <row r="36" spans="1:9">
      <c r="A36" s="173">
        <v>1.75</v>
      </c>
      <c r="B36" s="32">
        <f t="shared" si="3"/>
        <v>1.7500000000000002E-2</v>
      </c>
      <c r="C36" s="168">
        <v>4200000000</v>
      </c>
      <c r="D36" s="173">
        <v>8183</v>
      </c>
      <c r="E36" s="173">
        <v>142</v>
      </c>
      <c r="F36" s="174">
        <v>57.7</v>
      </c>
      <c r="G36" s="221">
        <f t="shared" si="4"/>
        <v>2423400000.0000005</v>
      </c>
      <c r="H36">
        <v>1.5</v>
      </c>
      <c r="I36" s="221">
        <f t="shared" si="5"/>
        <v>63000000</v>
      </c>
    </row>
    <row r="37" spans="1:9">
      <c r="A37" s="173">
        <v>2.25</v>
      </c>
      <c r="B37" s="32">
        <f t="shared" si="3"/>
        <v>2.2499999999999999E-2</v>
      </c>
      <c r="C37" s="168">
        <v>3500000000</v>
      </c>
      <c r="D37" s="173">
        <v>9417</v>
      </c>
      <c r="E37" s="173">
        <v>188</v>
      </c>
      <c r="F37" s="174">
        <v>48.4</v>
      </c>
      <c r="G37" s="221">
        <f t="shared" si="4"/>
        <v>1694000000</v>
      </c>
      <c r="H37">
        <v>1.5</v>
      </c>
      <c r="I37" s="221">
        <f t="shared" si="5"/>
        <v>52500000</v>
      </c>
    </row>
    <row r="38" spans="1:9">
      <c r="A38" s="173">
        <v>2.75</v>
      </c>
      <c r="B38" s="32">
        <f t="shared" si="3"/>
        <v>2.75E-2</v>
      </c>
      <c r="C38" s="168">
        <v>3300000000</v>
      </c>
      <c r="D38" s="173">
        <v>5791</v>
      </c>
      <c r="E38" s="173">
        <v>75</v>
      </c>
      <c r="F38" s="174">
        <v>51.2</v>
      </c>
      <c r="G38" s="221">
        <f t="shared" si="4"/>
        <v>1689600000</v>
      </c>
      <c r="H38">
        <v>0.8</v>
      </c>
      <c r="I38" s="221">
        <f t="shared" si="5"/>
        <v>26400000</v>
      </c>
    </row>
    <row r="39" spans="1:9">
      <c r="A39" s="173">
        <v>3.25</v>
      </c>
      <c r="B39" s="32">
        <f t="shared" si="3"/>
        <v>3.2500000000000001E-2</v>
      </c>
      <c r="C39" s="168">
        <v>3200000000</v>
      </c>
      <c r="D39" s="173">
        <v>6344</v>
      </c>
      <c r="E39" s="173">
        <v>73</v>
      </c>
      <c r="F39" s="174">
        <v>46.6</v>
      </c>
      <c r="G39" s="221">
        <f t="shared" si="4"/>
        <v>1491200000</v>
      </c>
      <c r="H39">
        <v>1.7</v>
      </c>
      <c r="I39" s="221">
        <f t="shared" si="5"/>
        <v>54400000.000000007</v>
      </c>
    </row>
    <row r="40" spans="1:9">
      <c r="A40" s="173">
        <v>3.75</v>
      </c>
      <c r="B40" s="32">
        <f t="shared" si="3"/>
        <v>3.7499999999999999E-2</v>
      </c>
      <c r="C40" s="168">
        <v>3700000000</v>
      </c>
      <c r="D40" s="173">
        <v>6613</v>
      </c>
      <c r="E40" s="173">
        <v>58</v>
      </c>
      <c r="F40" s="174">
        <v>50</v>
      </c>
      <c r="G40" s="221">
        <f t="shared" si="4"/>
        <v>1850000000</v>
      </c>
      <c r="H40">
        <v>1.7</v>
      </c>
      <c r="I40" s="221">
        <f t="shared" si="5"/>
        <v>62900000.000000007</v>
      </c>
    </row>
    <row r="41" spans="1:9">
      <c r="A41" s="173">
        <v>4.25</v>
      </c>
      <c r="B41" s="32">
        <f t="shared" si="3"/>
        <v>4.2500000000000003E-2</v>
      </c>
      <c r="C41" s="168">
        <v>3400000000</v>
      </c>
      <c r="D41" s="173">
        <v>5019</v>
      </c>
      <c r="E41" s="173">
        <v>52</v>
      </c>
      <c r="F41" s="174">
        <v>47.3</v>
      </c>
      <c r="G41" s="221">
        <f t="shared" si="4"/>
        <v>1608200000</v>
      </c>
      <c r="H41">
        <v>0.4</v>
      </c>
      <c r="I41" s="221">
        <f t="shared" si="5"/>
        <v>13600000</v>
      </c>
    </row>
    <row r="42" spans="1:9">
      <c r="A42" s="173">
        <v>4.75</v>
      </c>
      <c r="B42" s="32">
        <f t="shared" si="3"/>
        <v>4.7500000000000001E-2</v>
      </c>
      <c r="C42" s="168">
        <v>3600000000</v>
      </c>
      <c r="D42" s="173">
        <v>4373</v>
      </c>
      <c r="E42" s="173">
        <v>54</v>
      </c>
      <c r="F42" s="174">
        <v>42.4</v>
      </c>
      <c r="G42" s="221">
        <f t="shared" si="4"/>
        <v>1526400000</v>
      </c>
      <c r="H42">
        <v>1.1000000000000001</v>
      </c>
      <c r="I42" s="221">
        <f>(H42/100)*C42</f>
        <v>39600000.000000007</v>
      </c>
    </row>
    <row r="43" spans="1:9">
      <c r="A43" s="173">
        <v>5.5</v>
      </c>
      <c r="B43" s="32">
        <f t="shared" si="3"/>
        <v>5.5E-2</v>
      </c>
      <c r="C43" s="168">
        <v>4600000000</v>
      </c>
      <c r="D43" s="173">
        <v>3997</v>
      </c>
      <c r="E43" s="173">
        <v>49</v>
      </c>
      <c r="F43" s="174">
        <v>36</v>
      </c>
      <c r="G43" s="221">
        <f t="shared" si="4"/>
        <v>1656000000</v>
      </c>
      <c r="I43" s="32"/>
    </row>
    <row r="44" spans="1:9">
      <c r="A44" s="173">
        <v>6.5</v>
      </c>
      <c r="B44" s="32">
        <f t="shared" si="3"/>
        <v>6.5000000000000002E-2</v>
      </c>
      <c r="C44" s="168">
        <v>4700000000</v>
      </c>
      <c r="D44" s="173">
        <v>4448</v>
      </c>
      <c r="E44" s="173">
        <v>46</v>
      </c>
      <c r="F44" s="174">
        <v>27.4</v>
      </c>
      <c r="G44" s="221">
        <f t="shared" si="4"/>
        <v>1287799999.9999998</v>
      </c>
      <c r="I44" s="32"/>
    </row>
    <row r="45" spans="1:9">
      <c r="A45" s="173">
        <v>7.5</v>
      </c>
      <c r="B45" s="32">
        <f t="shared" si="3"/>
        <v>7.4999999999999997E-2</v>
      </c>
      <c r="C45" s="168">
        <v>3900000000</v>
      </c>
      <c r="D45" s="173">
        <v>3474</v>
      </c>
      <c r="E45" s="173">
        <v>46</v>
      </c>
      <c r="F45" s="174">
        <v>23.6</v>
      </c>
      <c r="G45" s="221">
        <f t="shared" si="4"/>
        <v>920400000.00000012</v>
      </c>
      <c r="I45" s="32"/>
    </row>
    <row r="46" spans="1:9">
      <c r="A46" s="173">
        <v>8.5</v>
      </c>
      <c r="B46" s="32">
        <f t="shared" si="3"/>
        <v>8.5000000000000006E-2</v>
      </c>
      <c r="C46" s="168">
        <v>3100000000</v>
      </c>
      <c r="D46" s="173">
        <v>3200</v>
      </c>
      <c r="E46" s="173">
        <v>46</v>
      </c>
      <c r="F46" s="174">
        <v>22.6</v>
      </c>
      <c r="G46" s="221">
        <f t="shared" si="4"/>
        <v>700600000</v>
      </c>
      <c r="H46">
        <v>1.7</v>
      </c>
      <c r="I46" s="221">
        <f>(H46/100)*C46</f>
        <v>52700000.000000007</v>
      </c>
    </row>
    <row r="47" spans="1:9">
      <c r="A47" s="173">
        <v>9.5</v>
      </c>
      <c r="B47" s="32">
        <f t="shared" si="3"/>
        <v>9.5000000000000001E-2</v>
      </c>
      <c r="C47" s="168">
        <v>3900000000</v>
      </c>
      <c r="D47" s="173">
        <v>2861</v>
      </c>
      <c r="E47" s="173">
        <v>38</v>
      </c>
      <c r="F47" s="174">
        <v>15.7</v>
      </c>
      <c r="G47" s="221">
        <f t="shared" si="4"/>
        <v>612300000</v>
      </c>
      <c r="H47">
        <v>0.9</v>
      </c>
      <c r="I47" s="221">
        <f>(H47/100)*C47</f>
        <v>35100000.000000007</v>
      </c>
    </row>
    <row r="48" spans="1:9">
      <c r="A48" s="173">
        <v>11</v>
      </c>
      <c r="B48" s="32">
        <f t="shared" si="3"/>
        <v>0.11</v>
      </c>
      <c r="C48" s="168">
        <v>3400000000</v>
      </c>
      <c r="H48">
        <v>0.7</v>
      </c>
      <c r="I48" s="221">
        <f>(H48/100)*C48</f>
        <v>23799999.999999996</v>
      </c>
    </row>
    <row r="49" spans="1:9">
      <c r="A49" s="173">
        <v>13</v>
      </c>
      <c r="B49" s="32">
        <f t="shared" si="3"/>
        <v>0.13</v>
      </c>
      <c r="C49" s="168">
        <v>3400000000</v>
      </c>
      <c r="H49">
        <v>0.8</v>
      </c>
      <c r="I49" s="221">
        <f>(H49/100)*C49</f>
        <v>27200000</v>
      </c>
    </row>
    <row r="50" spans="1:9">
      <c r="A50" s="173">
        <v>15</v>
      </c>
      <c r="B50" s="32">
        <f t="shared" si="3"/>
        <v>0.15</v>
      </c>
      <c r="C50" s="168">
        <v>3400000000</v>
      </c>
      <c r="H50">
        <v>1.2</v>
      </c>
      <c r="I50" s="221">
        <f>(H50/100)*C50</f>
        <v>40800000</v>
      </c>
    </row>
    <row r="51" spans="1:9">
      <c r="A51" s="173">
        <v>17</v>
      </c>
      <c r="B51" s="32">
        <f t="shared" si="3"/>
        <v>0.17</v>
      </c>
      <c r="C51" s="168">
        <v>2700000000</v>
      </c>
    </row>
    <row r="52" spans="1:9">
      <c r="A52" s="173">
        <v>19</v>
      </c>
      <c r="B52" s="32">
        <f t="shared" si="3"/>
        <v>0.19</v>
      </c>
      <c r="C52" s="168">
        <v>2100000000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C3" workbookViewId="0">
      <selection activeCell="M19" sqref="M19:N19"/>
    </sheetView>
  </sheetViews>
  <sheetFormatPr baseColWidth="10" defaultRowHeight="13" x14ac:dyDescent="0"/>
  <cols>
    <col min="3" max="4" width="10.7109375" style="126"/>
    <col min="6" max="7" width="14.28515625" style="134" customWidth="1"/>
    <col min="9" max="9" width="14.85546875" style="134" customWidth="1"/>
    <col min="10" max="10" width="13" customWidth="1"/>
  </cols>
  <sheetData>
    <row r="1" spans="1:14">
      <c r="A1" s="126" t="s">
        <v>577</v>
      </c>
    </row>
    <row r="3" spans="1:14">
      <c r="E3" s="126" t="s">
        <v>813</v>
      </c>
      <c r="H3" s="126" t="s">
        <v>578</v>
      </c>
      <c r="K3" s="129" t="s">
        <v>941</v>
      </c>
      <c r="L3" s="127" t="s">
        <v>1098</v>
      </c>
    </row>
    <row r="4" spans="1:14" s="43" customFormat="1" ht="39">
      <c r="B4" s="265" t="s">
        <v>618</v>
      </c>
      <c r="C4" s="265" t="s">
        <v>693</v>
      </c>
      <c r="D4" s="266" t="s">
        <v>601</v>
      </c>
      <c r="E4" s="265" t="s">
        <v>838</v>
      </c>
      <c r="F4" s="269" t="s">
        <v>881</v>
      </c>
      <c r="G4" s="268" t="s">
        <v>1282</v>
      </c>
      <c r="H4" s="265" t="s">
        <v>960</v>
      </c>
      <c r="I4" s="270" t="s">
        <v>883</v>
      </c>
      <c r="J4" s="278" t="s">
        <v>1285</v>
      </c>
      <c r="K4" s="234"/>
      <c r="M4" s="43" t="s">
        <v>439</v>
      </c>
    </row>
    <row r="5" spans="1:14">
      <c r="B5">
        <v>0.1</v>
      </c>
      <c r="C5" s="126">
        <f>(20*B5)/7.9</f>
        <v>0.25316455696202528</v>
      </c>
      <c r="D5" s="32">
        <f>C5/100</f>
        <v>2.5316455696202528E-3</v>
      </c>
      <c r="E5">
        <v>2.8</v>
      </c>
      <c r="F5" s="134">
        <f>933484*EXP(1.3829*E5)</f>
        <v>44848428.28402409</v>
      </c>
      <c r="G5" s="135">
        <f>F5*1.3</f>
        <v>58302956.769231319</v>
      </c>
      <c r="H5">
        <v>4.4000000000000004</v>
      </c>
      <c r="I5" s="134">
        <f>933484*EXP(1.3829*H5)</f>
        <v>409906278.30028439</v>
      </c>
      <c r="J5" s="135">
        <f>I5*1.3</f>
        <v>532878161.79036975</v>
      </c>
      <c r="K5" s="129">
        <v>10000000</v>
      </c>
      <c r="L5">
        <v>1.7</v>
      </c>
      <c r="M5">
        <v>24.933516086122999</v>
      </c>
      <c r="N5">
        <v>-4.5924225028699001E-2</v>
      </c>
    </row>
    <row r="6" spans="1:14">
      <c r="B6">
        <v>0.5</v>
      </c>
      <c r="C6" s="126">
        <f t="shared" ref="C6:C20" si="0">(20*B6)/7.9</f>
        <v>1.2658227848101264</v>
      </c>
      <c r="D6" s="32">
        <f t="shared" ref="D6:D20" si="1">C6/100</f>
        <v>1.2658227848101264E-2</v>
      </c>
      <c r="E6">
        <v>3.3</v>
      </c>
      <c r="F6" s="134">
        <f t="shared" ref="F6:F20" si="2">933484*EXP(1.3829*E6)</f>
        <v>89544753.916134611</v>
      </c>
      <c r="G6" s="221">
        <f t="shared" ref="G6:G20" si="3">F6*1.3</f>
        <v>116408180.090975</v>
      </c>
      <c r="H6">
        <v>4.45</v>
      </c>
      <c r="I6" s="134">
        <f t="shared" ref="I6:I20" si="4">933484*EXP(1.3829*H6)</f>
        <v>439252115.86754978</v>
      </c>
      <c r="J6" s="221">
        <f t="shared" ref="J6:J20" si="5">I6*1.3</f>
        <v>571027750.62781477</v>
      </c>
      <c r="K6" s="129">
        <v>100000000</v>
      </c>
      <c r="L6">
        <v>3.4</v>
      </c>
    </row>
    <row r="7" spans="1:14">
      <c r="B7">
        <v>1</v>
      </c>
      <c r="C7" s="126">
        <f t="shared" si="0"/>
        <v>2.5316455696202529</v>
      </c>
      <c r="D7" s="32">
        <f t="shared" si="1"/>
        <v>2.5316455696202528E-2</v>
      </c>
      <c r="E7">
        <v>2.8</v>
      </c>
      <c r="F7" s="134">
        <f t="shared" si="2"/>
        <v>44848428.28402409</v>
      </c>
      <c r="G7" s="221">
        <f t="shared" si="3"/>
        <v>58302956.769231319</v>
      </c>
      <c r="H7">
        <v>5</v>
      </c>
      <c r="I7" s="134">
        <f t="shared" si="4"/>
        <v>939801369.65383852</v>
      </c>
      <c r="J7" s="221">
        <f t="shared" si="5"/>
        <v>1221741780.5499902</v>
      </c>
      <c r="K7" s="129">
        <v>1000000000</v>
      </c>
      <c r="L7">
        <v>5.05</v>
      </c>
    </row>
    <row r="8" spans="1:14">
      <c r="B8">
        <v>1.4</v>
      </c>
      <c r="C8" s="126">
        <f t="shared" si="0"/>
        <v>3.5443037974683542</v>
      </c>
      <c r="D8" s="32">
        <f t="shared" si="1"/>
        <v>3.5443037974683539E-2</v>
      </c>
      <c r="E8">
        <v>1.95</v>
      </c>
      <c r="F8" s="134">
        <f t="shared" si="2"/>
        <v>13843607.089088243</v>
      </c>
      <c r="G8" s="221">
        <f t="shared" si="3"/>
        <v>17996689.215814717</v>
      </c>
      <c r="H8">
        <v>4.0999999999999996</v>
      </c>
      <c r="I8" s="134">
        <f t="shared" si="4"/>
        <v>270712817.25436342</v>
      </c>
      <c r="J8" s="221">
        <f t="shared" si="5"/>
        <v>351926662.43067247</v>
      </c>
      <c r="K8" s="129">
        <v>10000000000</v>
      </c>
      <c r="L8">
        <v>6.7</v>
      </c>
      <c r="M8">
        <v>15.797427636470299</v>
      </c>
      <c r="N8">
        <v>3.00803673938002</v>
      </c>
    </row>
    <row r="9" spans="1:14">
      <c r="B9">
        <v>1.8</v>
      </c>
      <c r="C9" s="126">
        <f t="shared" si="0"/>
        <v>4.5569620253164551</v>
      </c>
      <c r="D9" s="32">
        <f t="shared" si="1"/>
        <v>4.556962025316455E-2</v>
      </c>
      <c r="E9">
        <v>3.7</v>
      </c>
      <c r="F9" s="134">
        <f t="shared" si="2"/>
        <v>155694934.41658765</v>
      </c>
      <c r="G9" s="221">
        <f t="shared" si="3"/>
        <v>202403414.74156395</v>
      </c>
      <c r="H9">
        <v>4.3</v>
      </c>
      <c r="I9" s="134">
        <f t="shared" si="4"/>
        <v>356965287.82045734</v>
      </c>
      <c r="J9" s="221">
        <f t="shared" si="5"/>
        <v>464054874.16659456</v>
      </c>
    </row>
    <row r="10" spans="1:14">
      <c r="B10">
        <v>2.2000000000000002</v>
      </c>
      <c r="C10" s="126">
        <f t="shared" si="0"/>
        <v>5.5696202531645564</v>
      </c>
      <c r="D10" s="32">
        <f t="shared" si="1"/>
        <v>5.5696202531645561E-2</v>
      </c>
      <c r="E10">
        <v>2.85</v>
      </c>
      <c r="F10" s="134">
        <f t="shared" si="2"/>
        <v>48059198.065417834</v>
      </c>
      <c r="G10" s="221">
        <f t="shared" si="3"/>
        <v>62476957.485043183</v>
      </c>
      <c r="H10">
        <v>3.6</v>
      </c>
      <c r="I10" s="134">
        <f t="shared" si="4"/>
        <v>135586327.94467711</v>
      </c>
      <c r="J10" s="221">
        <f t="shared" si="5"/>
        <v>176262226.32808027</v>
      </c>
    </row>
    <row r="11" spans="1:14">
      <c r="B11">
        <v>2.6</v>
      </c>
      <c r="C11" s="126">
        <f t="shared" si="0"/>
        <v>6.5822784810126578</v>
      </c>
      <c r="D11" s="32">
        <f t="shared" si="1"/>
        <v>6.5822784810126572E-2</v>
      </c>
      <c r="E11">
        <v>3.9</v>
      </c>
      <c r="F11" s="134">
        <f t="shared" si="2"/>
        <v>205301276.97641763</v>
      </c>
      <c r="G11" s="221">
        <f t="shared" si="3"/>
        <v>266891660.06934294</v>
      </c>
      <c r="H11">
        <v>4.3499999999999996</v>
      </c>
      <c r="I11" s="134">
        <f t="shared" si="4"/>
        <v>382520996.30330539</v>
      </c>
      <c r="J11" s="221">
        <f t="shared" si="5"/>
        <v>497277295.19429702</v>
      </c>
      <c r="M11">
        <v>20.458180126139801</v>
      </c>
      <c r="N11">
        <v>7.0034443168771503</v>
      </c>
    </row>
    <row r="12" spans="1:14">
      <c r="B12">
        <v>3</v>
      </c>
      <c r="C12" s="126">
        <f t="shared" si="0"/>
        <v>7.5949367088607591</v>
      </c>
      <c r="D12" s="32">
        <f t="shared" si="1"/>
        <v>7.5949367088607597E-2</v>
      </c>
      <c r="E12" s="126" t="s">
        <v>814</v>
      </c>
      <c r="G12" s="135"/>
      <c r="H12">
        <v>4.3</v>
      </c>
      <c r="I12" s="134">
        <f t="shared" si="4"/>
        <v>356965287.82045734</v>
      </c>
      <c r="J12" s="221">
        <f t="shared" si="5"/>
        <v>464054874.16659456</v>
      </c>
    </row>
    <row r="13" spans="1:14">
      <c r="B13">
        <v>3.4</v>
      </c>
      <c r="C13" s="126">
        <f t="shared" si="0"/>
        <v>8.6075949367088604</v>
      </c>
      <c r="D13" s="32">
        <f t="shared" si="1"/>
        <v>8.6075949367088608E-2</v>
      </c>
      <c r="E13">
        <v>4.5</v>
      </c>
      <c r="F13" s="134">
        <f t="shared" si="2"/>
        <v>470698868.27343446</v>
      </c>
      <c r="G13" s="221">
        <f t="shared" si="3"/>
        <v>611908528.75546479</v>
      </c>
      <c r="H13">
        <v>3.9</v>
      </c>
      <c r="I13" s="134">
        <f t="shared" si="4"/>
        <v>205301276.97641763</v>
      </c>
      <c r="J13" s="221">
        <f t="shared" si="5"/>
        <v>266891660.06934294</v>
      </c>
    </row>
    <row r="14" spans="1:14">
      <c r="B14">
        <v>3.7</v>
      </c>
      <c r="C14" s="126">
        <f t="shared" si="0"/>
        <v>9.3670886075949369</v>
      </c>
      <c r="D14" s="32">
        <f t="shared" si="1"/>
        <v>9.3670886075949367E-2</v>
      </c>
      <c r="E14">
        <v>4.7</v>
      </c>
      <c r="F14" s="134">
        <f t="shared" si="2"/>
        <v>620669382.01937687</v>
      </c>
      <c r="G14" s="221">
        <f t="shared" si="3"/>
        <v>806870196.62519002</v>
      </c>
      <c r="H14">
        <v>3.2</v>
      </c>
      <c r="I14" s="134">
        <f t="shared" si="4"/>
        <v>77979700.596507952</v>
      </c>
      <c r="J14" s="221">
        <f t="shared" si="5"/>
        <v>101373610.77546035</v>
      </c>
    </row>
    <row r="15" spans="1:14">
      <c r="B15">
        <v>4.3</v>
      </c>
      <c r="C15" s="126">
        <f t="shared" si="0"/>
        <v>10.886075949367088</v>
      </c>
      <c r="D15" s="32">
        <f t="shared" si="1"/>
        <v>0.10886075949367088</v>
      </c>
      <c r="E15">
        <v>5.25</v>
      </c>
      <c r="F15" s="134">
        <f t="shared" si="2"/>
        <v>1327952477.0687706</v>
      </c>
      <c r="G15" s="221">
        <f t="shared" si="3"/>
        <v>1726338220.1894019</v>
      </c>
      <c r="H15">
        <v>3.1</v>
      </c>
      <c r="I15" s="134">
        <f t="shared" si="4"/>
        <v>67908318.904044107</v>
      </c>
      <c r="J15" s="221">
        <f t="shared" si="5"/>
        <v>88280814.575257346</v>
      </c>
      <c r="M15">
        <v>19.083488015699199</v>
      </c>
      <c r="N15">
        <v>10.9758897818599</v>
      </c>
    </row>
    <row r="16" spans="1:14">
      <c r="B16">
        <v>5.0999999999999996</v>
      </c>
      <c r="C16" s="126">
        <f t="shared" si="0"/>
        <v>12.911392405063291</v>
      </c>
      <c r="D16" s="32">
        <f t="shared" si="1"/>
        <v>0.12911392405063291</v>
      </c>
      <c r="E16">
        <v>5.6</v>
      </c>
      <c r="F16" s="134">
        <f t="shared" si="2"/>
        <v>2154703797.3304868</v>
      </c>
      <c r="G16" s="221">
        <f t="shared" si="3"/>
        <v>2801114936.529633</v>
      </c>
      <c r="H16">
        <v>3.5</v>
      </c>
      <c r="I16" s="134">
        <f t="shared" si="4"/>
        <v>118074826.22609305</v>
      </c>
      <c r="J16" s="221">
        <f t="shared" si="5"/>
        <v>153497274.09392098</v>
      </c>
    </row>
    <row r="17" spans="2:14">
      <c r="B17">
        <v>5.9</v>
      </c>
      <c r="C17" s="126">
        <f t="shared" si="0"/>
        <v>14.936708860759493</v>
      </c>
      <c r="D17" s="32">
        <f t="shared" si="1"/>
        <v>0.14936708860759493</v>
      </c>
      <c r="E17">
        <v>6.2</v>
      </c>
      <c r="F17" s="134">
        <f t="shared" si="2"/>
        <v>4940137995.2665014</v>
      </c>
      <c r="G17" s="221">
        <f t="shared" si="3"/>
        <v>6422179393.8464518</v>
      </c>
      <c r="H17">
        <v>3.5</v>
      </c>
      <c r="I17" s="134">
        <f t="shared" si="4"/>
        <v>118074826.22609305</v>
      </c>
      <c r="J17" s="221">
        <f t="shared" si="5"/>
        <v>153497274.09392098</v>
      </c>
      <c r="M17">
        <v>9.8237379689151698</v>
      </c>
      <c r="N17">
        <v>14.9942594718714</v>
      </c>
    </row>
    <row r="18" spans="2:14">
      <c r="B18">
        <v>6.6</v>
      </c>
      <c r="C18" s="126">
        <f t="shared" si="0"/>
        <v>16.708860759493671</v>
      </c>
      <c r="D18" s="32">
        <f t="shared" si="1"/>
        <v>0.16708860759493671</v>
      </c>
      <c r="E18">
        <v>5.0999999999999996</v>
      </c>
      <c r="F18" s="134">
        <f t="shared" si="2"/>
        <v>1079181911.8560169</v>
      </c>
      <c r="G18" s="221">
        <f t="shared" si="3"/>
        <v>1402936485.412822</v>
      </c>
      <c r="H18">
        <v>3.2</v>
      </c>
      <c r="I18" s="134">
        <f t="shared" si="4"/>
        <v>77979700.596507952</v>
      </c>
      <c r="J18" s="221">
        <f t="shared" si="5"/>
        <v>101373610.77546035</v>
      </c>
    </row>
    <row r="19" spans="2:14">
      <c r="B19">
        <v>7.4</v>
      </c>
      <c r="C19" s="126">
        <f t="shared" si="0"/>
        <v>18.734177215189874</v>
      </c>
      <c r="D19" s="32">
        <f t="shared" si="1"/>
        <v>0.18734177215189873</v>
      </c>
      <c r="E19">
        <v>4</v>
      </c>
      <c r="F19" s="134">
        <f t="shared" si="2"/>
        <v>235749203.765791</v>
      </c>
      <c r="G19" s="221">
        <f t="shared" si="3"/>
        <v>306473964.89552832</v>
      </c>
      <c r="H19">
        <v>3.25</v>
      </c>
      <c r="I19" s="134">
        <f t="shared" si="4"/>
        <v>83562390.465855867</v>
      </c>
      <c r="J19" s="221">
        <f t="shared" si="5"/>
        <v>108631107.60561264</v>
      </c>
      <c r="M19">
        <v>7.0836094013160196</v>
      </c>
      <c r="N19">
        <v>18.989667049368499</v>
      </c>
    </row>
    <row r="20" spans="2:14">
      <c r="B20">
        <v>8.1999999999999993</v>
      </c>
      <c r="C20" s="126">
        <f t="shared" si="0"/>
        <v>20.759493670886076</v>
      </c>
      <c r="D20" s="32">
        <f t="shared" si="1"/>
        <v>0.20759493670886076</v>
      </c>
      <c r="E20">
        <v>1.5</v>
      </c>
      <c r="F20" s="134">
        <f t="shared" si="2"/>
        <v>7429945.6521755513</v>
      </c>
      <c r="G20" s="221">
        <f t="shared" si="3"/>
        <v>9658929.3478282169</v>
      </c>
      <c r="H20">
        <v>0.8</v>
      </c>
      <c r="I20" s="134">
        <f t="shared" si="4"/>
        <v>2822120.4755171961</v>
      </c>
      <c r="J20" s="221">
        <f t="shared" si="5"/>
        <v>3668756.618172355</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O13" sqref="O13"/>
    </sheetView>
  </sheetViews>
  <sheetFormatPr baseColWidth="10" defaultRowHeight="13" x14ac:dyDescent="0"/>
  <cols>
    <col min="2" max="2" width="10.7109375" style="303"/>
    <col min="6" max="6" width="10.7109375" style="303"/>
  </cols>
  <sheetData>
    <row r="1" spans="1:14" s="303" customFormat="1">
      <c r="A1" s="303" t="s">
        <v>4</v>
      </c>
    </row>
    <row r="2" spans="1:14" s="303" customFormat="1">
      <c r="A2" s="303" t="s">
        <v>356</v>
      </c>
    </row>
    <row r="3" spans="1:14" s="303" customFormat="1">
      <c r="A3" s="303">
        <f>2.5*0.1+0.9</f>
        <v>1.1499999999999999</v>
      </c>
    </row>
    <row r="4" spans="1:14" s="303" customFormat="1"/>
    <row r="5" spans="1:14" s="303" customFormat="1"/>
    <row r="6" spans="1:14" s="43" customFormat="1" ht="91">
      <c r="A6" s="43" t="s">
        <v>965</v>
      </c>
      <c r="B6" t="s">
        <v>864</v>
      </c>
      <c r="C6" s="43" t="s">
        <v>376</v>
      </c>
      <c r="D6" s="43" t="s">
        <v>401</v>
      </c>
      <c r="E6" s="43" t="s">
        <v>402</v>
      </c>
      <c r="F6" s="43" t="s">
        <v>239</v>
      </c>
      <c r="G6" s="43" t="s">
        <v>240</v>
      </c>
      <c r="H6" s="43" t="s">
        <v>238</v>
      </c>
      <c r="I6" s="43" t="s">
        <v>354</v>
      </c>
      <c r="J6" s="43" t="s">
        <v>242</v>
      </c>
      <c r="K6" s="43" t="s">
        <v>241</v>
      </c>
      <c r="L6" s="43" t="s">
        <v>395</v>
      </c>
      <c r="M6" s="43" t="s">
        <v>246</v>
      </c>
      <c r="N6" s="43" t="s">
        <v>134</v>
      </c>
    </row>
    <row r="7" spans="1:14">
      <c r="A7">
        <v>3.5</v>
      </c>
      <c r="B7" s="303">
        <f>A7*0.01</f>
        <v>3.5000000000000003E-2</v>
      </c>
      <c r="C7">
        <v>1</v>
      </c>
      <c r="D7" t="s">
        <v>398</v>
      </c>
      <c r="E7">
        <v>0</v>
      </c>
      <c r="F7" s="303">
        <v>7</v>
      </c>
      <c r="G7">
        <v>1.7</v>
      </c>
      <c r="H7">
        <v>54</v>
      </c>
      <c r="I7" s="301">
        <f>H7*10^8*0.1</f>
        <v>540000000</v>
      </c>
      <c r="J7" s="301">
        <f t="shared" ref="J7:J30" si="0">I7/$A$3</f>
        <v>469565217.39130437</v>
      </c>
      <c r="K7" s="301">
        <f>(G7/100)*J7</f>
        <v>7982608.6956521748</v>
      </c>
      <c r="L7" t="s">
        <v>943</v>
      </c>
      <c r="M7">
        <v>1</v>
      </c>
    </row>
    <row r="8" spans="1:14">
      <c r="A8" s="303">
        <v>3.5</v>
      </c>
      <c r="B8" s="303">
        <f t="shared" ref="B8:B49" si="1">A8*0.01</f>
        <v>3.5000000000000003E-2</v>
      </c>
      <c r="C8">
        <v>2</v>
      </c>
      <c r="D8" t="s">
        <v>398</v>
      </c>
      <c r="E8">
        <v>200</v>
      </c>
      <c r="F8" s="303">
        <v>7</v>
      </c>
      <c r="G8">
        <v>6.7</v>
      </c>
      <c r="H8">
        <v>47.2</v>
      </c>
      <c r="I8" s="301">
        <f t="shared" ref="I8:I29" si="2">H8*10^8*0.1</f>
        <v>472000000</v>
      </c>
      <c r="J8" s="301">
        <f t="shared" si="0"/>
        <v>410434782.60869569</v>
      </c>
      <c r="K8" s="301">
        <f t="shared" ref="K8:K30" si="3">(G8/100)*J8</f>
        <v>27499130.434782613</v>
      </c>
      <c r="L8" s="303" t="s">
        <v>943</v>
      </c>
      <c r="M8">
        <v>1</v>
      </c>
    </row>
    <row r="9" spans="1:14">
      <c r="A9" s="303">
        <v>3.5</v>
      </c>
      <c r="B9" s="303">
        <f t="shared" si="1"/>
        <v>3.5000000000000003E-2</v>
      </c>
      <c r="C9">
        <v>3</v>
      </c>
      <c r="D9" t="s">
        <v>398</v>
      </c>
      <c r="E9">
        <v>600</v>
      </c>
      <c r="F9" s="303">
        <v>7</v>
      </c>
      <c r="G9">
        <v>16.100000000000001</v>
      </c>
      <c r="H9">
        <v>45.4</v>
      </c>
      <c r="I9" s="301">
        <f t="shared" si="2"/>
        <v>454000000</v>
      </c>
      <c r="J9" s="301">
        <f t="shared" si="0"/>
        <v>394782608.69565219</v>
      </c>
      <c r="K9" s="301">
        <f t="shared" si="3"/>
        <v>63560000.000000007</v>
      </c>
      <c r="L9" s="303" t="s">
        <v>943</v>
      </c>
      <c r="M9" s="303">
        <v>1</v>
      </c>
    </row>
    <row r="10" spans="1:14">
      <c r="A10" s="303">
        <v>3.5</v>
      </c>
      <c r="B10" s="303">
        <f t="shared" si="1"/>
        <v>3.5000000000000003E-2</v>
      </c>
      <c r="C10">
        <v>4</v>
      </c>
      <c r="D10" t="s">
        <v>398</v>
      </c>
      <c r="E10">
        <v>1800</v>
      </c>
      <c r="F10" s="303">
        <v>7</v>
      </c>
      <c r="G10">
        <v>30.2</v>
      </c>
      <c r="H10">
        <v>53.7</v>
      </c>
      <c r="I10" s="301">
        <f t="shared" si="2"/>
        <v>537000000</v>
      </c>
      <c r="J10" s="301">
        <f t="shared" si="0"/>
        <v>466956521.7391305</v>
      </c>
      <c r="K10" s="301">
        <f t="shared" si="3"/>
        <v>141020869.56521741</v>
      </c>
      <c r="L10" s="303" t="s">
        <v>943</v>
      </c>
      <c r="M10" s="303">
        <v>1</v>
      </c>
    </row>
    <row r="11" spans="1:14">
      <c r="A11" s="303">
        <v>3.5</v>
      </c>
      <c r="B11" s="303">
        <f t="shared" si="1"/>
        <v>3.5000000000000003E-2</v>
      </c>
      <c r="C11">
        <v>5</v>
      </c>
      <c r="D11" t="s">
        <v>399</v>
      </c>
      <c r="E11">
        <v>0</v>
      </c>
      <c r="F11" s="303">
        <v>7</v>
      </c>
      <c r="G11">
        <v>3</v>
      </c>
      <c r="H11">
        <v>46.1</v>
      </c>
      <c r="I11" s="301">
        <f t="shared" si="2"/>
        <v>461000000</v>
      </c>
      <c r="J11" s="301">
        <f t="shared" si="0"/>
        <v>400869565.21739131</v>
      </c>
      <c r="K11" s="301">
        <f t="shared" si="3"/>
        <v>12026086.956521738</v>
      </c>
      <c r="L11" s="303" t="s">
        <v>943</v>
      </c>
      <c r="M11" s="303">
        <v>1</v>
      </c>
    </row>
    <row r="12" spans="1:14">
      <c r="A12" s="303">
        <v>3.5</v>
      </c>
      <c r="B12" s="303">
        <f t="shared" si="1"/>
        <v>3.5000000000000003E-2</v>
      </c>
      <c r="C12">
        <v>6</v>
      </c>
      <c r="D12" t="s">
        <v>399</v>
      </c>
      <c r="E12">
        <v>200</v>
      </c>
      <c r="F12" s="303">
        <v>7</v>
      </c>
      <c r="G12">
        <v>15.6</v>
      </c>
      <c r="H12">
        <v>43.9</v>
      </c>
      <c r="I12" s="301">
        <f t="shared" si="2"/>
        <v>439000000</v>
      </c>
      <c r="J12" s="301">
        <f t="shared" si="0"/>
        <v>381739130.43478262</v>
      </c>
      <c r="K12" s="301">
        <f t="shared" si="3"/>
        <v>59551304.347826086</v>
      </c>
      <c r="L12" s="303" t="s">
        <v>943</v>
      </c>
      <c r="M12" s="303">
        <v>1</v>
      </c>
    </row>
    <row r="13" spans="1:14">
      <c r="A13" s="303">
        <v>3.5</v>
      </c>
      <c r="B13" s="303">
        <f t="shared" si="1"/>
        <v>3.5000000000000003E-2</v>
      </c>
      <c r="C13">
        <v>7</v>
      </c>
      <c r="D13" t="s">
        <v>399</v>
      </c>
      <c r="E13">
        <v>600</v>
      </c>
      <c r="F13" s="303">
        <v>7</v>
      </c>
      <c r="G13">
        <v>24.1</v>
      </c>
      <c r="H13">
        <v>41.9</v>
      </c>
      <c r="I13" s="301">
        <f t="shared" si="2"/>
        <v>419000000</v>
      </c>
      <c r="J13" s="301">
        <f t="shared" si="0"/>
        <v>364347826.08695656</v>
      </c>
      <c r="K13" s="301">
        <f t="shared" si="3"/>
        <v>87807826.086956546</v>
      </c>
      <c r="L13" s="303" t="s">
        <v>943</v>
      </c>
      <c r="M13" s="303">
        <v>1</v>
      </c>
    </row>
    <row r="14" spans="1:14">
      <c r="A14" s="303">
        <v>3.5</v>
      </c>
      <c r="B14" s="303">
        <f t="shared" si="1"/>
        <v>3.5000000000000003E-2</v>
      </c>
      <c r="C14">
        <v>8</v>
      </c>
      <c r="D14" t="s">
        <v>399</v>
      </c>
      <c r="E14">
        <v>1800</v>
      </c>
      <c r="F14" s="303">
        <v>7</v>
      </c>
      <c r="G14">
        <v>44</v>
      </c>
      <c r="H14">
        <v>51.4</v>
      </c>
      <c r="I14" s="301">
        <f t="shared" si="2"/>
        <v>514000000</v>
      </c>
      <c r="J14" s="301">
        <f t="shared" si="0"/>
        <v>446956521.7391305</v>
      </c>
      <c r="K14" s="301">
        <f t="shared" si="3"/>
        <v>196660869.56521741</v>
      </c>
      <c r="L14" s="303" t="s">
        <v>943</v>
      </c>
      <c r="M14" s="303">
        <v>1</v>
      </c>
    </row>
    <row r="15" spans="1:14">
      <c r="A15" s="303">
        <v>3.5</v>
      </c>
      <c r="B15" s="303">
        <f t="shared" si="1"/>
        <v>3.5000000000000003E-2</v>
      </c>
      <c r="C15">
        <v>9</v>
      </c>
      <c r="D15" t="s">
        <v>400</v>
      </c>
      <c r="E15">
        <v>0</v>
      </c>
      <c r="F15" s="303">
        <v>7</v>
      </c>
      <c r="G15">
        <v>1.5</v>
      </c>
      <c r="H15">
        <v>36.4</v>
      </c>
      <c r="I15" s="301">
        <f t="shared" si="2"/>
        <v>364000000</v>
      </c>
      <c r="J15" s="301">
        <f t="shared" si="0"/>
        <v>316521739.13043481</v>
      </c>
      <c r="K15" s="301">
        <f t="shared" si="3"/>
        <v>4747826.0869565224</v>
      </c>
      <c r="L15" s="303" t="s">
        <v>943</v>
      </c>
      <c r="M15" s="303">
        <v>1</v>
      </c>
    </row>
    <row r="16" spans="1:14">
      <c r="A16" s="303">
        <v>3.5</v>
      </c>
      <c r="B16" s="303">
        <f t="shared" si="1"/>
        <v>3.5000000000000003E-2</v>
      </c>
      <c r="C16">
        <v>10</v>
      </c>
      <c r="D16" s="303" t="s">
        <v>400</v>
      </c>
      <c r="E16">
        <v>200</v>
      </c>
      <c r="F16" s="303">
        <v>7</v>
      </c>
      <c r="G16">
        <v>25.6</v>
      </c>
      <c r="H16">
        <v>53.8</v>
      </c>
      <c r="I16" s="301">
        <f t="shared" si="2"/>
        <v>538000000</v>
      </c>
      <c r="J16" s="301">
        <f t="shared" si="0"/>
        <v>467826086.95652175</v>
      </c>
      <c r="K16" s="301">
        <f t="shared" si="3"/>
        <v>119763478.26086958</v>
      </c>
      <c r="L16" s="303" t="s">
        <v>943</v>
      </c>
      <c r="M16" s="303">
        <v>1</v>
      </c>
    </row>
    <row r="17" spans="1:14">
      <c r="A17" s="303">
        <v>3.5</v>
      </c>
      <c r="B17" s="303">
        <f t="shared" si="1"/>
        <v>3.5000000000000003E-2</v>
      </c>
      <c r="C17">
        <v>11</v>
      </c>
      <c r="D17" s="303" t="s">
        <v>400</v>
      </c>
      <c r="E17">
        <v>600</v>
      </c>
      <c r="F17" s="303">
        <v>7</v>
      </c>
      <c r="G17">
        <v>23.1</v>
      </c>
      <c r="H17">
        <v>35.799999999999997</v>
      </c>
      <c r="I17" s="301">
        <f t="shared" si="2"/>
        <v>358000000</v>
      </c>
      <c r="J17" s="301">
        <f t="shared" si="0"/>
        <v>311304347.826087</v>
      </c>
      <c r="K17" s="301">
        <f t="shared" si="3"/>
        <v>71911304.347826093</v>
      </c>
      <c r="L17" s="303" t="s">
        <v>943</v>
      </c>
      <c r="M17" s="303">
        <v>1</v>
      </c>
    </row>
    <row r="18" spans="1:14">
      <c r="A18" s="303">
        <v>3.5</v>
      </c>
      <c r="B18" s="303">
        <f t="shared" si="1"/>
        <v>3.5000000000000003E-2</v>
      </c>
      <c r="C18">
        <v>12</v>
      </c>
      <c r="D18" s="303" t="s">
        <v>400</v>
      </c>
      <c r="E18">
        <v>1800</v>
      </c>
      <c r="F18" s="303">
        <v>7</v>
      </c>
      <c r="G18">
        <v>44.7</v>
      </c>
      <c r="H18">
        <v>32.700000000000003</v>
      </c>
      <c r="I18" s="301">
        <f t="shared" si="2"/>
        <v>327000000.00000006</v>
      </c>
      <c r="J18" s="301">
        <f t="shared" si="0"/>
        <v>284347826.08695662</v>
      </c>
      <c r="K18" s="301">
        <f t="shared" si="3"/>
        <v>127103478.26086961</v>
      </c>
      <c r="L18" s="303" t="s">
        <v>943</v>
      </c>
      <c r="M18" s="303">
        <v>1</v>
      </c>
    </row>
    <row r="19" spans="1:14">
      <c r="A19" s="303">
        <v>3.5</v>
      </c>
      <c r="B19" s="303">
        <f t="shared" si="1"/>
        <v>3.5000000000000003E-2</v>
      </c>
      <c r="C19" s="303">
        <v>1</v>
      </c>
      <c r="D19" s="303" t="s">
        <v>398</v>
      </c>
      <c r="E19" s="303">
        <v>0</v>
      </c>
      <c r="F19" s="303">
        <v>13</v>
      </c>
      <c r="G19">
        <v>3.3</v>
      </c>
      <c r="H19">
        <v>46.8</v>
      </c>
      <c r="I19" s="301">
        <f t="shared" si="2"/>
        <v>468000000</v>
      </c>
      <c r="J19" s="301">
        <f t="shared" si="0"/>
        <v>406956521.73913044</v>
      </c>
      <c r="K19" s="301">
        <f t="shared" si="3"/>
        <v>13429565.217391305</v>
      </c>
      <c r="L19" s="303" t="s">
        <v>943</v>
      </c>
      <c r="M19" s="303">
        <v>1</v>
      </c>
    </row>
    <row r="20" spans="1:14">
      <c r="A20" s="303">
        <v>3.5</v>
      </c>
      <c r="B20" s="303">
        <f t="shared" si="1"/>
        <v>3.5000000000000003E-2</v>
      </c>
      <c r="C20" s="303">
        <v>2</v>
      </c>
      <c r="D20" s="303" t="s">
        <v>398</v>
      </c>
      <c r="E20" s="303">
        <v>200</v>
      </c>
      <c r="F20" s="303">
        <v>13</v>
      </c>
      <c r="G20">
        <v>11.9</v>
      </c>
      <c r="H20">
        <v>41.8</v>
      </c>
      <c r="I20" s="301">
        <f t="shared" si="2"/>
        <v>418000000</v>
      </c>
      <c r="J20" s="301">
        <f t="shared" si="0"/>
        <v>363478260.86956525</v>
      </c>
      <c r="K20" s="301">
        <f t="shared" si="3"/>
        <v>43253913.043478265</v>
      </c>
      <c r="L20" s="303" t="s">
        <v>943</v>
      </c>
      <c r="M20" s="303">
        <v>1</v>
      </c>
    </row>
    <row r="21" spans="1:14">
      <c r="A21" s="303">
        <v>3.5</v>
      </c>
      <c r="B21" s="303">
        <f t="shared" si="1"/>
        <v>3.5000000000000003E-2</v>
      </c>
      <c r="C21" s="303">
        <v>3</v>
      </c>
      <c r="D21" s="303" t="s">
        <v>398</v>
      </c>
      <c r="E21" s="303">
        <v>600</v>
      </c>
      <c r="F21" s="303">
        <v>13</v>
      </c>
      <c r="G21">
        <v>31.7</v>
      </c>
      <c r="H21">
        <v>54.8</v>
      </c>
      <c r="I21" s="301">
        <f t="shared" si="2"/>
        <v>548000000</v>
      </c>
      <c r="J21" s="301">
        <f t="shared" si="0"/>
        <v>476521739.13043481</v>
      </c>
      <c r="K21" s="301">
        <f t="shared" si="3"/>
        <v>151057391.30434784</v>
      </c>
      <c r="L21" s="303" t="s">
        <v>943</v>
      </c>
      <c r="M21" s="303">
        <v>1</v>
      </c>
    </row>
    <row r="22" spans="1:14">
      <c r="A22" s="303">
        <v>3.5</v>
      </c>
      <c r="B22" s="303">
        <f t="shared" si="1"/>
        <v>3.5000000000000003E-2</v>
      </c>
      <c r="C22" s="303">
        <v>4</v>
      </c>
      <c r="D22" s="303" t="s">
        <v>398</v>
      </c>
      <c r="E22" s="303">
        <v>1800</v>
      </c>
      <c r="F22" s="303">
        <v>13</v>
      </c>
      <c r="G22">
        <v>41</v>
      </c>
      <c r="H22">
        <v>77.599999999999994</v>
      </c>
      <c r="I22" s="301">
        <f t="shared" si="2"/>
        <v>776000000</v>
      </c>
      <c r="J22" s="301">
        <f t="shared" si="0"/>
        <v>674782608.69565225</v>
      </c>
      <c r="K22" s="301">
        <f t="shared" si="3"/>
        <v>276660869.56521738</v>
      </c>
      <c r="L22" s="303" t="s">
        <v>943</v>
      </c>
      <c r="M22" s="303">
        <v>1</v>
      </c>
    </row>
    <row r="23" spans="1:14">
      <c r="A23" s="303">
        <v>3.5</v>
      </c>
      <c r="B23" s="303">
        <f t="shared" si="1"/>
        <v>3.5000000000000003E-2</v>
      </c>
      <c r="C23" s="303">
        <v>5</v>
      </c>
      <c r="D23" s="303" t="s">
        <v>399</v>
      </c>
      <c r="E23" s="303">
        <v>0</v>
      </c>
      <c r="F23" s="303">
        <v>13</v>
      </c>
      <c r="G23">
        <v>3.2</v>
      </c>
      <c r="H23">
        <v>49.9</v>
      </c>
      <c r="I23" s="301">
        <f t="shared" si="2"/>
        <v>499000000</v>
      </c>
      <c r="J23" s="301">
        <f t="shared" si="0"/>
        <v>433913043.47826087</v>
      </c>
      <c r="K23" s="301">
        <f t="shared" si="3"/>
        <v>13885217.391304348</v>
      </c>
      <c r="L23" s="303" t="s">
        <v>943</v>
      </c>
      <c r="M23" s="303">
        <v>1</v>
      </c>
    </row>
    <row r="24" spans="1:14">
      <c r="A24" s="303">
        <v>3.5</v>
      </c>
      <c r="B24" s="303">
        <f t="shared" si="1"/>
        <v>3.5000000000000003E-2</v>
      </c>
      <c r="C24" s="303">
        <v>6</v>
      </c>
      <c r="D24" s="303" t="s">
        <v>399</v>
      </c>
      <c r="E24" s="303">
        <v>200</v>
      </c>
      <c r="F24" s="303">
        <v>13</v>
      </c>
      <c r="G24">
        <v>16.5</v>
      </c>
      <c r="H24">
        <v>39.5</v>
      </c>
      <c r="I24" s="301">
        <f t="shared" si="2"/>
        <v>395000000</v>
      </c>
      <c r="J24" s="301">
        <f t="shared" si="0"/>
        <v>343478260.86956525</v>
      </c>
      <c r="K24" s="301">
        <f t="shared" si="3"/>
        <v>56673913.043478265</v>
      </c>
      <c r="L24" s="303" t="s">
        <v>943</v>
      </c>
      <c r="M24" s="303">
        <v>1</v>
      </c>
    </row>
    <row r="25" spans="1:14">
      <c r="A25" s="303">
        <v>3.5</v>
      </c>
      <c r="B25" s="303">
        <f t="shared" si="1"/>
        <v>3.5000000000000003E-2</v>
      </c>
      <c r="C25" s="303">
        <v>7</v>
      </c>
      <c r="D25" s="303" t="s">
        <v>399</v>
      </c>
      <c r="E25" s="303">
        <v>600</v>
      </c>
      <c r="F25" s="303">
        <v>13</v>
      </c>
      <c r="G25">
        <v>20.8</v>
      </c>
      <c r="H25">
        <v>44</v>
      </c>
      <c r="I25" s="301">
        <f t="shared" si="2"/>
        <v>440000000</v>
      </c>
      <c r="J25" s="301">
        <f t="shared" si="0"/>
        <v>382608695.65217394</v>
      </c>
      <c r="K25" s="301">
        <f t="shared" si="3"/>
        <v>79582608.695652187</v>
      </c>
      <c r="L25" s="303" t="s">
        <v>943</v>
      </c>
      <c r="M25" s="303">
        <v>1</v>
      </c>
    </row>
    <row r="26" spans="1:14">
      <c r="A26" s="303">
        <v>3.5</v>
      </c>
      <c r="B26" s="303">
        <f t="shared" si="1"/>
        <v>3.5000000000000003E-2</v>
      </c>
      <c r="C26" s="303">
        <v>8</v>
      </c>
      <c r="D26" s="303" t="s">
        <v>399</v>
      </c>
      <c r="E26" s="303">
        <v>1800</v>
      </c>
      <c r="F26" s="303">
        <v>13</v>
      </c>
      <c r="G26">
        <v>45</v>
      </c>
      <c r="H26">
        <v>107.9</v>
      </c>
      <c r="I26" s="301">
        <f t="shared" si="2"/>
        <v>1079000000</v>
      </c>
      <c r="J26" s="301">
        <f t="shared" si="0"/>
        <v>938260869.56521749</v>
      </c>
      <c r="K26" s="301">
        <f t="shared" si="3"/>
        <v>422217391.30434787</v>
      </c>
      <c r="L26" s="303" t="s">
        <v>943</v>
      </c>
      <c r="M26" s="303">
        <v>1</v>
      </c>
    </row>
    <row r="27" spans="1:14">
      <c r="A27" s="303">
        <v>3.5</v>
      </c>
      <c r="B27" s="303">
        <f t="shared" si="1"/>
        <v>3.5000000000000003E-2</v>
      </c>
      <c r="C27" s="303">
        <v>9</v>
      </c>
      <c r="D27" s="303" t="s">
        <v>400</v>
      </c>
      <c r="E27" s="303">
        <v>0</v>
      </c>
      <c r="F27" s="303">
        <v>13</v>
      </c>
      <c r="G27">
        <v>3</v>
      </c>
      <c r="H27">
        <v>39.4</v>
      </c>
      <c r="I27" s="301">
        <f t="shared" si="2"/>
        <v>394000000</v>
      </c>
      <c r="J27" s="301">
        <f t="shared" si="0"/>
        <v>342608695.65217394</v>
      </c>
      <c r="K27" s="301">
        <f t="shared" si="3"/>
        <v>10278260.869565217</v>
      </c>
      <c r="L27" s="303" t="s">
        <v>943</v>
      </c>
      <c r="M27" s="303">
        <v>1</v>
      </c>
    </row>
    <row r="28" spans="1:14">
      <c r="A28" s="303">
        <v>3.5</v>
      </c>
      <c r="B28" s="303">
        <f t="shared" si="1"/>
        <v>3.5000000000000003E-2</v>
      </c>
      <c r="C28" s="303">
        <v>10</v>
      </c>
      <c r="D28" s="303" t="s">
        <v>400</v>
      </c>
      <c r="E28" s="303">
        <v>200</v>
      </c>
      <c r="F28" s="303">
        <v>13</v>
      </c>
      <c r="G28">
        <v>12</v>
      </c>
      <c r="H28">
        <v>63.5</v>
      </c>
      <c r="I28" s="301">
        <f t="shared" si="2"/>
        <v>635000000</v>
      </c>
      <c r="J28" s="301">
        <f t="shared" si="0"/>
        <v>552173913.04347825</v>
      </c>
      <c r="K28" s="301">
        <f>(G28/100)*J28</f>
        <v>66260869.565217391</v>
      </c>
      <c r="L28" s="303" t="s">
        <v>943</v>
      </c>
      <c r="M28" s="303">
        <v>1</v>
      </c>
    </row>
    <row r="29" spans="1:14">
      <c r="A29" s="303">
        <v>3.5</v>
      </c>
      <c r="B29" s="303">
        <f t="shared" si="1"/>
        <v>3.5000000000000003E-2</v>
      </c>
      <c r="C29" s="303">
        <v>11</v>
      </c>
      <c r="D29" s="303" t="s">
        <v>400</v>
      </c>
      <c r="E29" s="303">
        <v>600</v>
      </c>
      <c r="F29" s="303">
        <v>13</v>
      </c>
      <c r="G29">
        <v>13.6</v>
      </c>
      <c r="H29">
        <v>97.9</v>
      </c>
      <c r="I29" s="301">
        <f t="shared" si="2"/>
        <v>979000000</v>
      </c>
      <c r="J29" s="301">
        <f t="shared" si="0"/>
        <v>851304347.826087</v>
      </c>
      <c r="K29" s="301">
        <f t="shared" si="3"/>
        <v>115777391.30434784</v>
      </c>
      <c r="L29" s="303" t="s">
        <v>943</v>
      </c>
      <c r="M29" s="303">
        <v>1</v>
      </c>
    </row>
    <row r="30" spans="1:14">
      <c r="A30" s="303">
        <v>3.5</v>
      </c>
      <c r="B30" s="303">
        <f t="shared" si="1"/>
        <v>3.5000000000000003E-2</v>
      </c>
      <c r="C30" s="303">
        <v>12</v>
      </c>
      <c r="D30" s="303" t="s">
        <v>400</v>
      </c>
      <c r="E30" s="303">
        <v>1800</v>
      </c>
      <c r="F30" s="303">
        <v>13</v>
      </c>
      <c r="G30">
        <v>35.5</v>
      </c>
      <c r="H30">
        <v>56</v>
      </c>
      <c r="I30" s="301">
        <f>H30*10^8*0.1</f>
        <v>560000000</v>
      </c>
      <c r="J30" s="301">
        <f t="shared" si="0"/>
        <v>486956521.7391305</v>
      </c>
      <c r="K30" s="301">
        <f t="shared" si="3"/>
        <v>172869565.21739131</v>
      </c>
      <c r="L30" s="303" t="s">
        <v>943</v>
      </c>
      <c r="M30" s="303">
        <v>1</v>
      </c>
    </row>
    <row r="31" spans="1:14">
      <c r="A31" s="303">
        <v>0.5</v>
      </c>
      <c r="B31" s="303">
        <f t="shared" si="1"/>
        <v>5.0000000000000001E-3</v>
      </c>
      <c r="C31" t="s">
        <v>243</v>
      </c>
      <c r="D31" t="s">
        <v>243</v>
      </c>
      <c r="E31" t="s">
        <v>244</v>
      </c>
      <c r="F31" s="303" t="s">
        <v>245</v>
      </c>
      <c r="H31">
        <v>85.931346735359696</v>
      </c>
      <c r="I31" s="301">
        <f t="shared" ref="I31:I49" si="4">H31*10^8*0.1</f>
        <v>859313467.35359693</v>
      </c>
      <c r="J31" s="301">
        <f t="shared" ref="J31:J49" si="5">I31/$A$3</f>
        <v>747229102.04660606</v>
      </c>
      <c r="K31" s="301">
        <f>N31*10^8*0.1/A$3</f>
        <v>136893936.51500264</v>
      </c>
      <c r="L31" s="303" t="s">
        <v>943</v>
      </c>
      <c r="M31" s="303">
        <v>1</v>
      </c>
      <c r="N31" s="303">
        <v>15.742802699225299</v>
      </c>
    </row>
    <row r="32" spans="1:14">
      <c r="A32">
        <v>1</v>
      </c>
      <c r="B32" s="303">
        <f t="shared" si="1"/>
        <v>0.01</v>
      </c>
      <c r="C32" s="303" t="s">
        <v>243</v>
      </c>
      <c r="D32" s="303" t="s">
        <v>243</v>
      </c>
      <c r="E32" s="303" t="s">
        <v>244</v>
      </c>
      <c r="F32" s="303" t="s">
        <v>245</v>
      </c>
      <c r="H32">
        <v>112.275394813274</v>
      </c>
      <c r="I32" s="301">
        <f t="shared" si="4"/>
        <v>1122753948.13274</v>
      </c>
      <c r="J32" s="301">
        <f t="shared" si="5"/>
        <v>976307780.98499143</v>
      </c>
      <c r="K32" s="301">
        <f t="shared" ref="K32:K49" si="6">N32*10^8*0.1/A$3</f>
        <v>235712264.22554001</v>
      </c>
      <c r="L32" s="303" t="s">
        <v>943</v>
      </c>
      <c r="M32" s="303">
        <v>1</v>
      </c>
      <c r="N32" s="303">
        <v>27.106910385937098</v>
      </c>
    </row>
    <row r="33" spans="1:14">
      <c r="A33">
        <v>1.5</v>
      </c>
      <c r="B33" s="303">
        <f t="shared" si="1"/>
        <v>1.4999999999999999E-2</v>
      </c>
      <c r="C33" s="303" t="s">
        <v>243</v>
      </c>
      <c r="D33" s="303" t="s">
        <v>243</v>
      </c>
      <c r="E33" s="303" t="s">
        <v>244</v>
      </c>
      <c r="F33" s="303" t="s">
        <v>245</v>
      </c>
      <c r="H33">
        <v>57.3360622363613</v>
      </c>
      <c r="I33" s="301">
        <f t="shared" si="4"/>
        <v>573360622.36361301</v>
      </c>
      <c r="J33" s="301">
        <f t="shared" si="5"/>
        <v>498574454.22922873</v>
      </c>
      <c r="K33" s="301">
        <f t="shared" si="6"/>
        <v>90736419.077174798</v>
      </c>
      <c r="L33" s="303" t="s">
        <v>943</v>
      </c>
      <c r="M33" s="303">
        <v>1</v>
      </c>
      <c r="N33" s="303">
        <v>10.4346881938751</v>
      </c>
    </row>
    <row r="34" spans="1:14">
      <c r="A34" s="303">
        <v>2</v>
      </c>
      <c r="B34" s="303">
        <f t="shared" si="1"/>
        <v>0.02</v>
      </c>
      <c r="C34" s="303" t="s">
        <v>243</v>
      </c>
      <c r="D34" s="303" t="s">
        <v>243</v>
      </c>
      <c r="E34" s="303" t="s">
        <v>244</v>
      </c>
      <c r="F34" s="303" t="s">
        <v>245</v>
      </c>
      <c r="H34">
        <v>52.975608167165198</v>
      </c>
      <c r="I34" s="301">
        <f t="shared" si="4"/>
        <v>529756081.67165208</v>
      </c>
      <c r="J34" s="301">
        <f t="shared" si="5"/>
        <v>460657462.32317573</v>
      </c>
      <c r="K34" s="301">
        <f t="shared" si="6"/>
        <v>88970861.934139147</v>
      </c>
      <c r="L34" s="303" t="s">
        <v>943</v>
      </c>
      <c r="M34" s="303">
        <v>1</v>
      </c>
      <c r="N34" s="303">
        <v>10.231649122426001</v>
      </c>
    </row>
    <row r="35" spans="1:14">
      <c r="A35" s="303">
        <v>2.5</v>
      </c>
      <c r="B35" s="303">
        <f t="shared" si="1"/>
        <v>2.5000000000000001E-2</v>
      </c>
      <c r="C35" s="303" t="s">
        <v>243</v>
      </c>
      <c r="D35" s="303" t="s">
        <v>243</v>
      </c>
      <c r="E35" s="303" t="s">
        <v>244</v>
      </c>
      <c r="F35" s="303" t="s">
        <v>245</v>
      </c>
      <c r="H35">
        <v>48.911786580963202</v>
      </c>
      <c r="I35" s="301">
        <f t="shared" si="4"/>
        <v>489117865.80963206</v>
      </c>
      <c r="J35" s="301">
        <f t="shared" si="5"/>
        <v>425319883.31272358</v>
      </c>
      <c r="K35" s="301">
        <f t="shared" si="6"/>
        <v>62674446.133158445</v>
      </c>
      <c r="L35" s="303" t="s">
        <v>943</v>
      </c>
      <c r="M35" s="303">
        <v>1</v>
      </c>
      <c r="N35" s="303">
        <v>7.2075613053132201</v>
      </c>
    </row>
    <row r="36" spans="1:14">
      <c r="A36" s="303">
        <v>3</v>
      </c>
      <c r="B36" s="303">
        <f t="shared" si="1"/>
        <v>0.03</v>
      </c>
      <c r="C36" s="303" t="s">
        <v>243</v>
      </c>
      <c r="D36" s="303" t="s">
        <v>243</v>
      </c>
      <c r="E36" s="303" t="s">
        <v>244</v>
      </c>
      <c r="F36" s="303" t="s">
        <v>245</v>
      </c>
      <c r="H36">
        <v>32.239564388901201</v>
      </c>
      <c r="I36" s="301">
        <f t="shared" si="4"/>
        <v>322395643.88901204</v>
      </c>
      <c r="J36" s="301">
        <f t="shared" si="5"/>
        <v>280344038.16435832</v>
      </c>
      <c r="K36" s="301">
        <f t="shared" si="6"/>
        <v>20888334.883703396</v>
      </c>
      <c r="L36" s="303" t="s">
        <v>943</v>
      </c>
      <c r="M36" s="303">
        <v>1</v>
      </c>
      <c r="N36" s="303">
        <v>2.4021585116258901</v>
      </c>
    </row>
    <row r="37" spans="1:14">
      <c r="A37" s="303">
        <v>3.5</v>
      </c>
      <c r="B37" s="303">
        <f t="shared" si="1"/>
        <v>3.5000000000000003E-2</v>
      </c>
      <c r="C37" s="303" t="s">
        <v>243</v>
      </c>
      <c r="D37" s="303" t="s">
        <v>243</v>
      </c>
      <c r="E37" s="303" t="s">
        <v>244</v>
      </c>
      <c r="F37" s="303" t="s">
        <v>245</v>
      </c>
      <c r="H37">
        <v>28.769007768687398</v>
      </c>
      <c r="I37" s="301">
        <f t="shared" si="4"/>
        <v>287690077.68687397</v>
      </c>
      <c r="J37" s="301">
        <f t="shared" si="5"/>
        <v>250165284.94510782</v>
      </c>
      <c r="K37" s="301">
        <f t="shared" si="6"/>
        <v>21662536.411665652</v>
      </c>
      <c r="L37" s="303" t="s">
        <v>943</v>
      </c>
      <c r="M37" s="303">
        <v>1</v>
      </c>
      <c r="N37" s="303">
        <v>2.4911916873415501</v>
      </c>
    </row>
    <row r="38" spans="1:14">
      <c r="A38" s="303">
        <v>4</v>
      </c>
      <c r="B38" s="303">
        <f t="shared" si="1"/>
        <v>0.04</v>
      </c>
      <c r="C38" s="303" t="s">
        <v>243</v>
      </c>
      <c r="D38" s="303" t="s">
        <v>243</v>
      </c>
      <c r="E38" s="303" t="s">
        <v>244</v>
      </c>
      <c r="F38" s="303" t="s">
        <v>245</v>
      </c>
      <c r="H38">
        <v>31.382457207072701</v>
      </c>
      <c r="I38" s="301">
        <f t="shared" si="4"/>
        <v>313824572.07072705</v>
      </c>
      <c r="J38" s="301">
        <f t="shared" si="5"/>
        <v>272890932.23541486</v>
      </c>
      <c r="K38" s="301">
        <f t="shared" si="6"/>
        <v>17317566.373028699</v>
      </c>
      <c r="L38" s="303" t="s">
        <v>943</v>
      </c>
      <c r="M38" s="303">
        <v>1</v>
      </c>
      <c r="N38" s="303">
        <v>1.9915201328983001</v>
      </c>
    </row>
    <row r="39" spans="1:14">
      <c r="A39" s="303">
        <v>4.5</v>
      </c>
      <c r="B39" s="303">
        <f t="shared" si="1"/>
        <v>4.4999999999999998E-2</v>
      </c>
      <c r="C39" s="303" t="s">
        <v>243</v>
      </c>
      <c r="D39" s="303" t="s">
        <v>243</v>
      </c>
      <c r="E39" s="303" t="s">
        <v>244</v>
      </c>
      <c r="F39" s="303" t="s">
        <v>245</v>
      </c>
      <c r="H39">
        <v>20.0526598661245</v>
      </c>
      <c r="I39" s="301">
        <f t="shared" si="4"/>
        <v>200526598.66124502</v>
      </c>
      <c r="J39" s="301">
        <f t="shared" si="5"/>
        <v>174370955.35760438</v>
      </c>
      <c r="K39" s="301">
        <f t="shared" si="6"/>
        <v>12919724.034921218</v>
      </c>
      <c r="L39" s="303" t="s">
        <v>943</v>
      </c>
      <c r="M39" s="303">
        <v>1</v>
      </c>
      <c r="N39" s="303">
        <v>1.48576826401594</v>
      </c>
    </row>
    <row r="40" spans="1:14">
      <c r="A40" s="303">
        <v>5</v>
      </c>
      <c r="B40" s="303">
        <f t="shared" si="1"/>
        <v>0.05</v>
      </c>
      <c r="C40" s="303" t="s">
        <v>243</v>
      </c>
      <c r="D40" s="303" t="s">
        <v>243</v>
      </c>
      <c r="E40" s="303" t="s">
        <v>244</v>
      </c>
      <c r="F40" s="303" t="s">
        <v>245</v>
      </c>
      <c r="H40">
        <v>30.2302376208598</v>
      </c>
      <c r="I40" s="301">
        <f t="shared" si="4"/>
        <v>302302376.20859802</v>
      </c>
      <c r="J40" s="301">
        <f t="shared" si="5"/>
        <v>262871631.48573741</v>
      </c>
      <c r="K40" s="301">
        <f t="shared" si="6"/>
        <v>11127730.742150001</v>
      </c>
      <c r="L40" s="303" t="s">
        <v>943</v>
      </c>
      <c r="M40" s="303">
        <v>1</v>
      </c>
      <c r="N40" s="303">
        <v>1.2796890353472501</v>
      </c>
    </row>
    <row r="41" spans="1:14">
      <c r="A41" s="303">
        <v>5.5</v>
      </c>
      <c r="B41" s="303">
        <f t="shared" si="1"/>
        <v>5.5E-2</v>
      </c>
      <c r="C41" s="303" t="s">
        <v>243</v>
      </c>
      <c r="D41" s="303" t="s">
        <v>243</v>
      </c>
      <c r="E41" s="303" t="s">
        <v>244</v>
      </c>
      <c r="F41" s="303" t="s">
        <v>245</v>
      </c>
      <c r="H41">
        <v>20.0854501332783</v>
      </c>
      <c r="I41" s="301">
        <f t="shared" si="4"/>
        <v>200854501.33278301</v>
      </c>
      <c r="J41" s="301">
        <f t="shared" si="5"/>
        <v>174656088.1154635</v>
      </c>
      <c r="K41" s="301">
        <f t="shared" si="6"/>
        <v>4176911.6581768701</v>
      </c>
      <c r="L41" s="303" t="s">
        <v>943</v>
      </c>
      <c r="M41" s="303">
        <v>1</v>
      </c>
      <c r="N41" s="303">
        <v>0.48034484069034</v>
      </c>
    </row>
    <row r="42" spans="1:14">
      <c r="A42" s="303">
        <v>6</v>
      </c>
      <c r="B42" s="303">
        <f t="shared" si="1"/>
        <v>0.06</v>
      </c>
      <c r="C42" s="303" t="s">
        <v>243</v>
      </c>
      <c r="D42" s="303" t="s">
        <v>243</v>
      </c>
      <c r="E42" s="303" t="s">
        <v>244</v>
      </c>
      <c r="F42" s="303" t="s">
        <v>245</v>
      </c>
      <c r="H42">
        <v>19.582738421615499</v>
      </c>
      <c r="I42" s="301">
        <f t="shared" si="4"/>
        <v>195827384.21615499</v>
      </c>
      <c r="J42" s="301">
        <f t="shared" si="5"/>
        <v>170284681.9270913</v>
      </c>
      <c r="K42" s="301">
        <f t="shared" si="6"/>
        <v>8833450.6044082623</v>
      </c>
      <c r="L42" s="303" t="s">
        <v>943</v>
      </c>
      <c r="M42" s="303">
        <v>1</v>
      </c>
      <c r="N42" s="303">
        <v>1.0158468195069501</v>
      </c>
    </row>
    <row r="43" spans="1:14">
      <c r="A43" s="303">
        <v>6.5</v>
      </c>
      <c r="B43" s="303">
        <f t="shared" si="1"/>
        <v>6.5000000000000002E-2</v>
      </c>
      <c r="C43" s="303" t="s">
        <v>243</v>
      </c>
      <c r="D43" s="303" t="s">
        <v>243</v>
      </c>
      <c r="E43" s="303" t="s">
        <v>244</v>
      </c>
      <c r="F43" s="303" t="s">
        <v>245</v>
      </c>
      <c r="H43">
        <v>18.930190389845801</v>
      </c>
      <c r="I43" s="301">
        <f t="shared" si="4"/>
        <v>189301903.898458</v>
      </c>
      <c r="J43" s="301">
        <f t="shared" si="5"/>
        <v>164610351.21605045</v>
      </c>
      <c r="K43" s="301">
        <f t="shared" si="6"/>
        <v>0</v>
      </c>
      <c r="L43" s="303" t="s">
        <v>943</v>
      </c>
      <c r="M43" s="303">
        <v>1</v>
      </c>
      <c r="N43" s="303">
        <v>0</v>
      </c>
    </row>
    <row r="44" spans="1:14">
      <c r="A44" s="303">
        <v>7</v>
      </c>
      <c r="B44" s="303">
        <f t="shared" si="1"/>
        <v>7.0000000000000007E-2</v>
      </c>
      <c r="C44" s="303" t="s">
        <v>243</v>
      </c>
      <c r="D44" s="303" t="s">
        <v>243</v>
      </c>
      <c r="E44" s="303" t="s">
        <v>244</v>
      </c>
      <c r="F44" s="303" t="s">
        <v>245</v>
      </c>
      <c r="H44">
        <v>18.130846195188902</v>
      </c>
      <c r="I44" s="301">
        <f t="shared" si="4"/>
        <v>181308461.95188904</v>
      </c>
      <c r="J44" s="301">
        <f t="shared" si="5"/>
        <v>157659532.13207743</v>
      </c>
      <c r="K44" s="301">
        <f t="shared" si="6"/>
        <v>0</v>
      </c>
      <c r="L44" s="303" t="s">
        <v>943</v>
      </c>
      <c r="M44" s="303">
        <v>1</v>
      </c>
      <c r="N44" s="303">
        <v>0</v>
      </c>
    </row>
    <row r="45" spans="1:14">
      <c r="A45" s="303">
        <v>7.5</v>
      </c>
      <c r="B45" s="303">
        <f t="shared" si="1"/>
        <v>7.4999999999999997E-2</v>
      </c>
      <c r="C45" s="303" t="s">
        <v>243</v>
      </c>
      <c r="D45" s="303" t="s">
        <v>243</v>
      </c>
      <c r="E45" s="303" t="s">
        <v>244</v>
      </c>
      <c r="F45" s="303" t="s">
        <v>245</v>
      </c>
      <c r="H45">
        <v>14.5150134906976</v>
      </c>
      <c r="I45" s="301">
        <f t="shared" si="4"/>
        <v>145150134.90697598</v>
      </c>
      <c r="J45" s="301">
        <f t="shared" si="5"/>
        <v>126217508.61476174</v>
      </c>
      <c r="K45" s="301">
        <f t="shared" si="6"/>
        <v>0</v>
      </c>
      <c r="L45" s="303" t="s">
        <v>943</v>
      </c>
      <c r="M45" s="303">
        <v>1</v>
      </c>
      <c r="N45" s="303">
        <v>0</v>
      </c>
    </row>
    <row r="46" spans="1:14">
      <c r="A46" s="303">
        <v>8</v>
      </c>
      <c r="B46" s="303">
        <f t="shared" si="1"/>
        <v>0.08</v>
      </c>
      <c r="C46" s="303" t="s">
        <v>243</v>
      </c>
      <c r="D46" s="303" t="s">
        <v>243</v>
      </c>
      <c r="E46" s="303" t="s">
        <v>244</v>
      </c>
      <c r="F46" s="303" t="s">
        <v>245</v>
      </c>
      <c r="H46">
        <v>13.269200492939699</v>
      </c>
      <c r="I46" s="301">
        <f t="shared" si="4"/>
        <v>132692004.92939699</v>
      </c>
      <c r="J46" s="301">
        <f t="shared" si="5"/>
        <v>115384352.11251913</v>
      </c>
      <c r="K46" s="301">
        <f t="shared" si="6"/>
        <v>0</v>
      </c>
      <c r="L46" s="303" t="s">
        <v>943</v>
      </c>
      <c r="M46" s="303">
        <v>1</v>
      </c>
      <c r="N46" s="303">
        <v>0</v>
      </c>
    </row>
    <row r="47" spans="1:14">
      <c r="A47" s="303">
        <v>8.5</v>
      </c>
      <c r="B47" s="303">
        <f t="shared" si="1"/>
        <v>8.5000000000000006E-2</v>
      </c>
      <c r="C47" s="303" t="s">
        <v>243</v>
      </c>
      <c r="D47" s="303" t="s">
        <v>243</v>
      </c>
      <c r="E47" s="303" t="s">
        <v>244</v>
      </c>
      <c r="F47" s="303" t="s">
        <v>245</v>
      </c>
      <c r="H47">
        <v>11.428602450583799</v>
      </c>
      <c r="I47" s="301">
        <f t="shared" si="4"/>
        <v>114286024.50583799</v>
      </c>
      <c r="J47" s="301">
        <f t="shared" si="5"/>
        <v>99379151.74420695</v>
      </c>
      <c r="K47" s="301">
        <f t="shared" si="6"/>
        <v>0</v>
      </c>
      <c r="L47" s="303" t="s">
        <v>943</v>
      </c>
      <c r="M47" s="303">
        <v>1</v>
      </c>
      <c r="N47" s="303">
        <v>0</v>
      </c>
    </row>
    <row r="48" spans="1:14">
      <c r="A48" s="303">
        <v>9</v>
      </c>
      <c r="B48" s="303">
        <f t="shared" si="1"/>
        <v>0.09</v>
      </c>
      <c r="C48" s="303" t="s">
        <v>243</v>
      </c>
      <c r="D48" s="303" t="s">
        <v>243</v>
      </c>
      <c r="E48" s="303" t="s">
        <v>244</v>
      </c>
      <c r="F48" s="303" t="s">
        <v>245</v>
      </c>
      <c r="H48">
        <v>12.413613389721</v>
      </c>
      <c r="I48" s="301">
        <f t="shared" si="4"/>
        <v>124136133.89721</v>
      </c>
      <c r="J48" s="301">
        <f t="shared" si="5"/>
        <v>107944464.25844349</v>
      </c>
      <c r="K48" s="301">
        <f t="shared" si="6"/>
        <v>0</v>
      </c>
      <c r="L48" s="303" t="s">
        <v>943</v>
      </c>
      <c r="M48" s="303">
        <v>1</v>
      </c>
      <c r="N48" s="303">
        <v>0</v>
      </c>
    </row>
    <row r="49" spans="1:14">
      <c r="A49" s="303">
        <v>9.5</v>
      </c>
      <c r="B49" s="303">
        <f t="shared" si="1"/>
        <v>9.5000000000000001E-2</v>
      </c>
      <c r="C49" s="303" t="s">
        <v>243</v>
      </c>
      <c r="D49" s="303" t="s">
        <v>243</v>
      </c>
      <c r="E49" s="303" t="s">
        <v>244</v>
      </c>
      <c r="F49" s="303" t="s">
        <v>245</v>
      </c>
      <c r="H49">
        <v>9.5332815782759006</v>
      </c>
      <c r="I49" s="301">
        <f t="shared" si="4"/>
        <v>95332815.782759011</v>
      </c>
      <c r="J49" s="301">
        <f t="shared" si="5"/>
        <v>82898100.680660009</v>
      </c>
      <c r="K49" s="301">
        <f t="shared" si="6"/>
        <v>0</v>
      </c>
      <c r="L49" s="303" t="s">
        <v>943</v>
      </c>
      <c r="M49">
        <v>1</v>
      </c>
      <c r="N49" s="303">
        <v>0</v>
      </c>
    </row>
    <row r="55" spans="1:14">
      <c r="L55" s="301">
        <v>1000000000</v>
      </c>
    </row>
    <row r="56" spans="1:14">
      <c r="L56" s="301">
        <v>1000000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21" sqref="E21"/>
    </sheetView>
  </sheetViews>
  <sheetFormatPr baseColWidth="10" defaultRowHeight="13" x14ac:dyDescent="0"/>
  <cols>
    <col min="1" max="1" width="10.7109375" style="303"/>
    <col min="3" max="3" width="10.7109375" style="303"/>
  </cols>
  <sheetData>
    <row r="1" spans="1:7">
      <c r="A1" s="303" t="s">
        <v>410</v>
      </c>
    </row>
    <row r="2" spans="1:7" s="43" customFormat="1" ht="26">
      <c r="A2" s="43" t="s">
        <v>389</v>
      </c>
      <c r="B2" s="43" t="s">
        <v>965</v>
      </c>
      <c r="C2" s="43" t="s">
        <v>864</v>
      </c>
      <c r="D2" s="43" t="s">
        <v>387</v>
      </c>
      <c r="E2" s="43" t="s">
        <v>392</v>
      </c>
      <c r="F2" s="43" t="s">
        <v>407</v>
      </c>
      <c r="G2" s="43" t="s">
        <v>514</v>
      </c>
    </row>
    <row r="3" spans="1:7">
      <c r="A3" s="306" t="s">
        <v>405</v>
      </c>
      <c r="B3">
        <v>5.5221238938052997</v>
      </c>
      <c r="C3" s="303">
        <f t="shared" ref="C3:C46" si="0">B3*0.01</f>
        <v>5.5221238938052995E-2</v>
      </c>
      <c r="D3">
        <v>5.9290886105045297</v>
      </c>
      <c r="E3" s="301">
        <f t="shared" ref="E3:E46" si="1">D3*10^8</f>
        <v>592908861.05045295</v>
      </c>
      <c r="F3">
        <v>0.45508238651435701</v>
      </c>
      <c r="G3" s="301">
        <f t="shared" ref="G3:G12" si="2">E3*F3</f>
        <v>269822379.47234941</v>
      </c>
    </row>
    <row r="4" spans="1:7">
      <c r="A4" s="306" t="s">
        <v>405</v>
      </c>
      <c r="B4">
        <v>1.28950695322376</v>
      </c>
      <c r="C4" s="303">
        <f t="shared" si="0"/>
        <v>1.28950695322376E-2</v>
      </c>
      <c r="D4">
        <v>6.4791239102237803</v>
      </c>
      <c r="E4" s="301">
        <f t="shared" si="1"/>
        <v>647912391.02237809</v>
      </c>
      <c r="F4">
        <v>0.48559569317201301</v>
      </c>
      <c r="G4" s="301">
        <f t="shared" si="2"/>
        <v>314623466.63324803</v>
      </c>
    </row>
    <row r="5" spans="1:7">
      <c r="A5" s="306" t="s">
        <v>404</v>
      </c>
      <c r="B5">
        <v>3.5044247787610598</v>
      </c>
      <c r="C5" s="303">
        <f t="shared" si="0"/>
        <v>3.5044247787610602E-2</v>
      </c>
      <c r="D5">
        <v>2.2299735662567501</v>
      </c>
      <c r="E5" s="301">
        <f t="shared" si="1"/>
        <v>222997356.62567502</v>
      </c>
      <c r="F5">
        <v>0.49005023329582298</v>
      </c>
      <c r="G5" s="301">
        <f t="shared" si="2"/>
        <v>109279906.63876387</v>
      </c>
    </row>
    <row r="6" spans="1:7">
      <c r="A6" s="306" t="s">
        <v>405</v>
      </c>
      <c r="B6">
        <v>0.83438685208596997</v>
      </c>
      <c r="C6" s="303">
        <f t="shared" si="0"/>
        <v>8.3438685208596999E-3</v>
      </c>
      <c r="D6">
        <v>5.5185775034068296</v>
      </c>
      <c r="E6" s="301">
        <f t="shared" si="1"/>
        <v>551857750.34068298</v>
      </c>
      <c r="F6">
        <v>0.49842179773210199</v>
      </c>
      <c r="G6" s="301">
        <f t="shared" si="2"/>
        <v>275057932.01719671</v>
      </c>
    </row>
    <row r="7" spans="1:7">
      <c r="A7" s="306" t="s">
        <v>404</v>
      </c>
      <c r="B7">
        <v>2.2604298356510699</v>
      </c>
      <c r="C7" s="303">
        <f t="shared" si="0"/>
        <v>2.2604298356510701E-2</v>
      </c>
      <c r="D7">
        <v>1.6469042967146601</v>
      </c>
      <c r="E7" s="301">
        <f t="shared" si="1"/>
        <v>164690429.67146602</v>
      </c>
      <c r="F7">
        <v>0.51584317382842504</v>
      </c>
      <c r="G7" s="301">
        <f t="shared" si="2"/>
        <v>84954433.940896049</v>
      </c>
    </row>
    <row r="8" spans="1:7">
      <c r="A8" s="306" t="s">
        <v>405</v>
      </c>
      <c r="B8">
        <v>2.3211125158027799</v>
      </c>
      <c r="C8" s="303">
        <f t="shared" si="0"/>
        <v>2.3211125158027798E-2</v>
      </c>
      <c r="D8">
        <v>8.4650204410002097</v>
      </c>
      <c r="E8" s="301">
        <f t="shared" si="1"/>
        <v>846502044.100021</v>
      </c>
      <c r="F8">
        <v>0.51975824353794298</v>
      </c>
      <c r="G8" s="301">
        <f t="shared" si="2"/>
        <v>439976415.59270525</v>
      </c>
    </row>
    <row r="9" spans="1:7">
      <c r="A9" s="306" t="s">
        <v>406</v>
      </c>
      <c r="B9">
        <v>0.227560050568898</v>
      </c>
      <c r="C9" s="303">
        <f t="shared" si="0"/>
        <v>2.2756005056889799E-3</v>
      </c>
      <c r="D9">
        <v>8.0906628137980796</v>
      </c>
      <c r="E9" s="301">
        <f t="shared" si="1"/>
        <v>809066281.37980795</v>
      </c>
      <c r="F9">
        <v>0.52502589848909198</v>
      </c>
      <c r="G9" s="301">
        <f t="shared" si="2"/>
        <v>424780751.31866217</v>
      </c>
    </row>
    <row r="10" spans="1:7">
      <c r="A10" s="306" t="s">
        <v>403</v>
      </c>
      <c r="B10">
        <v>3.5195954487989898</v>
      </c>
      <c r="C10" s="303">
        <f t="shared" si="0"/>
        <v>3.51959544879899E-2</v>
      </c>
      <c r="D10">
        <v>2.6845026023281302</v>
      </c>
      <c r="E10" s="301">
        <f t="shared" si="1"/>
        <v>268450260.232813</v>
      </c>
      <c r="F10">
        <v>0.54622552208840902</v>
      </c>
      <c r="G10" s="301">
        <f t="shared" si="2"/>
        <v>146634383.55043754</v>
      </c>
    </row>
    <row r="11" spans="1:7">
      <c r="A11" s="306" t="s">
        <v>403</v>
      </c>
      <c r="B11">
        <v>0.53097345132743501</v>
      </c>
      <c r="C11" s="303">
        <f t="shared" si="0"/>
        <v>5.3097345132743501E-3</v>
      </c>
      <c r="D11">
        <v>4.6098149637972599</v>
      </c>
      <c r="E11" s="301">
        <f t="shared" si="1"/>
        <v>460981496.37972599</v>
      </c>
      <c r="F11">
        <v>0.55419248371396901</v>
      </c>
      <c r="G11" s="301">
        <f t="shared" si="2"/>
        <v>255472480.42486235</v>
      </c>
    </row>
    <row r="12" spans="1:7">
      <c r="A12" s="306" t="s">
        <v>404</v>
      </c>
      <c r="B12">
        <v>0.24273072060682499</v>
      </c>
      <c r="C12" s="303">
        <f t="shared" si="0"/>
        <v>2.4273072060682498E-3</v>
      </c>
      <c r="D12">
        <v>2.6750619797396</v>
      </c>
      <c r="E12" s="301">
        <f t="shared" si="1"/>
        <v>267506197.97396001</v>
      </c>
      <c r="F12">
        <v>0.56431732699669601</v>
      </c>
      <c r="G12" s="301">
        <f t="shared" si="2"/>
        <v>150958382.59571409</v>
      </c>
    </row>
    <row r="13" spans="1:7">
      <c r="A13" s="306" t="s">
        <v>404</v>
      </c>
      <c r="B13">
        <v>0.28824273072060602</v>
      </c>
      <c r="C13" s="303">
        <f t="shared" si="0"/>
        <v>2.8824273072060604E-3</v>
      </c>
      <c r="D13">
        <v>7.3892984386031104</v>
      </c>
      <c r="E13" s="301">
        <f t="shared" si="1"/>
        <v>738929843.86031103</v>
      </c>
    </row>
    <row r="14" spans="1:7">
      <c r="A14" s="306" t="s">
        <v>404</v>
      </c>
      <c r="B14">
        <v>0.75853350189633395</v>
      </c>
      <c r="C14" s="303">
        <f t="shared" si="0"/>
        <v>7.5853350189633399E-3</v>
      </c>
      <c r="D14">
        <v>2.6355427126602802</v>
      </c>
      <c r="E14" s="301">
        <f t="shared" si="1"/>
        <v>263554271.26602802</v>
      </c>
    </row>
    <row r="15" spans="1:7">
      <c r="A15" s="306" t="s">
        <v>406</v>
      </c>
      <c r="B15">
        <v>0.773704171934261</v>
      </c>
      <c r="C15" s="303">
        <f t="shared" si="0"/>
        <v>7.7370417193426098E-3</v>
      </c>
      <c r="D15">
        <v>8.4537081123680302</v>
      </c>
      <c r="E15" s="301">
        <f t="shared" si="1"/>
        <v>845370811.23680305</v>
      </c>
      <c r="G15" s="303"/>
    </row>
    <row r="16" spans="1:7">
      <c r="A16" s="306" t="s">
        <v>406</v>
      </c>
      <c r="B16">
        <v>1.22882427307205</v>
      </c>
      <c r="C16" s="303">
        <f t="shared" si="0"/>
        <v>1.2288242730720501E-2</v>
      </c>
      <c r="D16">
        <v>8.4272415321719993</v>
      </c>
      <c r="E16" s="301">
        <f t="shared" si="1"/>
        <v>842724153.21719992</v>
      </c>
    </row>
    <row r="17" spans="1:7">
      <c r="A17" s="306" t="s">
        <v>404</v>
      </c>
      <c r="B17">
        <v>1.2591656131479101</v>
      </c>
      <c r="C17" s="303">
        <f t="shared" si="0"/>
        <v>1.2591656131479102E-2</v>
      </c>
      <c r="D17">
        <v>1.90772817574334</v>
      </c>
      <c r="E17" s="301">
        <f t="shared" si="1"/>
        <v>190772817.574334</v>
      </c>
      <c r="G17" s="303"/>
    </row>
    <row r="18" spans="1:7">
      <c r="A18" s="306" t="s">
        <v>403</v>
      </c>
      <c r="B18">
        <v>1.5170670037926599</v>
      </c>
      <c r="C18" s="303">
        <f t="shared" si="0"/>
        <v>1.51706700379266E-2</v>
      </c>
      <c r="D18">
        <v>3.0113451655803098</v>
      </c>
      <c r="E18" s="301">
        <f t="shared" si="1"/>
        <v>301134516.55803096</v>
      </c>
    </row>
    <row r="19" spans="1:7">
      <c r="A19" s="306" t="s">
        <v>404</v>
      </c>
      <c r="B19">
        <v>1.7446270543615601</v>
      </c>
      <c r="C19" s="303">
        <f t="shared" si="0"/>
        <v>1.74462705436156E-2</v>
      </c>
      <c r="D19">
        <v>1.4266833040537199</v>
      </c>
      <c r="E19" s="301">
        <f t="shared" si="1"/>
        <v>142668330.40537199</v>
      </c>
      <c r="G19" s="303"/>
    </row>
    <row r="20" spans="1:7">
      <c r="A20" s="306" t="s">
        <v>406</v>
      </c>
      <c r="B20">
        <v>1.75979772439949</v>
      </c>
      <c r="C20" s="303">
        <f t="shared" si="0"/>
        <v>1.7597977243994901E-2</v>
      </c>
      <c r="D20">
        <v>7.0760175349303003</v>
      </c>
      <c r="E20" s="301">
        <f t="shared" si="1"/>
        <v>707601753.49303007</v>
      </c>
    </row>
    <row r="21" spans="1:7">
      <c r="A21" s="306" t="s">
        <v>405</v>
      </c>
      <c r="B21">
        <v>1.80530973451327</v>
      </c>
      <c r="C21" s="303">
        <f t="shared" si="0"/>
        <v>1.8053097345132701E-2</v>
      </c>
      <c r="D21">
        <v>6.5954487989886204</v>
      </c>
      <c r="E21" s="301">
        <f t="shared" si="1"/>
        <v>659544879.898862</v>
      </c>
    </row>
    <row r="22" spans="1:7">
      <c r="A22" s="306" t="s">
        <v>406</v>
      </c>
      <c r="B22">
        <v>2.2756005056889999</v>
      </c>
      <c r="C22" s="303">
        <f t="shared" si="0"/>
        <v>2.2756005056889999E-2</v>
      </c>
      <c r="D22">
        <v>5.9066281379808503</v>
      </c>
      <c r="E22" s="301">
        <f t="shared" si="1"/>
        <v>590662813.79808497</v>
      </c>
    </row>
    <row r="23" spans="1:7">
      <c r="A23" s="306" t="s">
        <v>403</v>
      </c>
      <c r="B23">
        <v>2.5031605562579</v>
      </c>
      <c r="C23" s="303">
        <f t="shared" si="0"/>
        <v>2.5031605562578999E-2</v>
      </c>
      <c r="D23">
        <v>3.19209614658413</v>
      </c>
      <c r="E23" s="301">
        <f t="shared" si="1"/>
        <v>319209614.65841299</v>
      </c>
    </row>
    <row r="24" spans="1:7">
      <c r="A24" s="306" t="s">
        <v>406</v>
      </c>
      <c r="B24">
        <v>2.7458912768647199</v>
      </c>
      <c r="C24" s="303">
        <f t="shared" si="0"/>
        <v>2.74589127686472E-2</v>
      </c>
      <c r="D24">
        <v>4.3866386458042497</v>
      </c>
      <c r="E24" s="301">
        <f t="shared" si="1"/>
        <v>438663864.58042496</v>
      </c>
      <c r="G24" s="303"/>
    </row>
    <row r="25" spans="1:7">
      <c r="A25" s="306" t="s">
        <v>404</v>
      </c>
      <c r="B25">
        <v>2.7762326169405802</v>
      </c>
      <c r="C25" s="303">
        <f t="shared" si="0"/>
        <v>2.7762326169405802E-2</v>
      </c>
      <c r="D25">
        <v>1.60738502963534</v>
      </c>
      <c r="E25" s="301">
        <f t="shared" si="1"/>
        <v>160738502.963534</v>
      </c>
      <c r="G25" s="303"/>
    </row>
    <row r="26" spans="1:7">
      <c r="A26" s="306" t="s">
        <v>405</v>
      </c>
      <c r="B26">
        <v>2.7914032869784999</v>
      </c>
      <c r="C26" s="303">
        <f t="shared" si="0"/>
        <v>2.7914032869784999E-2</v>
      </c>
      <c r="D26">
        <v>7.5164595202521802</v>
      </c>
      <c r="E26" s="301">
        <f t="shared" si="1"/>
        <v>751645952.02521801</v>
      </c>
    </row>
    <row r="27" spans="1:7">
      <c r="A27" s="306" t="s">
        <v>406</v>
      </c>
      <c r="B27">
        <v>3.5195954487989898</v>
      </c>
      <c r="C27" s="303">
        <f t="shared" si="0"/>
        <v>3.51959544879899E-2</v>
      </c>
      <c r="D27">
        <v>5.6715155893411202</v>
      </c>
      <c r="E27" s="301">
        <f t="shared" si="1"/>
        <v>567151558.93411207</v>
      </c>
      <c r="G27" s="303"/>
    </row>
    <row r="28" spans="1:7">
      <c r="A28" s="306" t="s">
        <v>405</v>
      </c>
      <c r="B28">
        <v>3.5347661188369099</v>
      </c>
      <c r="C28" s="303">
        <f t="shared" si="0"/>
        <v>3.5347661188369101E-2</v>
      </c>
      <c r="D28">
        <v>7.3338368332047201</v>
      </c>
      <c r="E28" s="301">
        <f t="shared" si="1"/>
        <v>733383683.320472</v>
      </c>
    </row>
    <row r="29" spans="1:7">
      <c r="A29" s="306" t="s">
        <v>403</v>
      </c>
      <c r="B29">
        <v>4.5056890012642201</v>
      </c>
      <c r="C29" s="303">
        <f t="shared" si="0"/>
        <v>4.5056890012642202E-2</v>
      </c>
      <c r="D29">
        <v>2.42369514177352</v>
      </c>
      <c r="E29" s="301">
        <f t="shared" si="1"/>
        <v>242369514.17735201</v>
      </c>
    </row>
    <row r="30" spans="1:7">
      <c r="A30" s="306" t="s">
        <v>404</v>
      </c>
      <c r="B30">
        <v>4.5056890012642201</v>
      </c>
      <c r="C30" s="303">
        <f t="shared" si="0"/>
        <v>4.5056890012642202E-2</v>
      </c>
      <c r="D30">
        <v>1.6185003365787101</v>
      </c>
      <c r="E30" s="301">
        <f t="shared" si="1"/>
        <v>161850033.65787101</v>
      </c>
    </row>
    <row r="31" spans="1:7">
      <c r="A31" s="306" t="s">
        <v>406</v>
      </c>
      <c r="B31">
        <v>4.5056890012642201</v>
      </c>
      <c r="C31" s="303">
        <f t="shared" si="0"/>
        <v>4.5056890012642202E-2</v>
      </c>
      <c r="D31">
        <v>5.5275912456696199</v>
      </c>
      <c r="E31" s="301">
        <f t="shared" si="1"/>
        <v>552759124.566962</v>
      </c>
      <c r="G31" s="303"/>
    </row>
    <row r="32" spans="1:7">
      <c r="A32" s="306" t="s">
        <v>405</v>
      </c>
      <c r="B32">
        <v>4.5663716814159301</v>
      </c>
      <c r="C32" s="303">
        <f t="shared" si="0"/>
        <v>4.5663716814159303E-2</v>
      </c>
      <c r="D32">
        <v>6.8911619354097198</v>
      </c>
      <c r="E32" s="301">
        <f t="shared" si="1"/>
        <v>689116193.54097199</v>
      </c>
    </row>
    <row r="33" spans="1:7">
      <c r="A33" s="306" t="s">
        <v>406</v>
      </c>
      <c r="B33">
        <v>5.4766118836915298</v>
      </c>
      <c r="C33" s="303">
        <f t="shared" si="0"/>
        <v>5.4766118836915297E-2</v>
      </c>
      <c r="D33">
        <v>5.3057612425501102</v>
      </c>
      <c r="E33" s="301">
        <f t="shared" si="1"/>
        <v>530576124.25501102</v>
      </c>
    </row>
    <row r="34" spans="1:7">
      <c r="A34" s="306" t="s">
        <v>403</v>
      </c>
      <c r="B34">
        <v>5.4917825537294496</v>
      </c>
      <c r="C34" s="303">
        <f t="shared" si="0"/>
        <v>5.4917825537294497E-2</v>
      </c>
      <c r="D34">
        <v>2.9680824864137101</v>
      </c>
      <c r="E34" s="301">
        <f t="shared" si="1"/>
        <v>296808248.64137101</v>
      </c>
    </row>
    <row r="35" spans="1:7">
      <c r="A35" s="306" t="s">
        <v>404</v>
      </c>
      <c r="B35">
        <v>5.4917825537294496</v>
      </c>
      <c r="C35" s="303">
        <f t="shared" si="0"/>
        <v>5.4917825537294497E-2</v>
      </c>
      <c r="D35">
        <v>1.4615889799202</v>
      </c>
      <c r="E35" s="301">
        <f t="shared" si="1"/>
        <v>146158897.99202001</v>
      </c>
      <c r="G35" s="303"/>
    </row>
    <row r="36" spans="1:7">
      <c r="A36" s="306" t="s">
        <v>403</v>
      </c>
      <c r="B36">
        <v>6.5233881163084604</v>
      </c>
      <c r="C36" s="303">
        <f t="shared" si="0"/>
        <v>6.5233881163084609E-2</v>
      </c>
      <c r="D36">
        <v>2.9669660301771499</v>
      </c>
      <c r="E36" s="301">
        <f t="shared" si="1"/>
        <v>296696603.01771498</v>
      </c>
    </row>
    <row r="37" spans="1:7">
      <c r="A37" s="306" t="s">
        <v>404</v>
      </c>
      <c r="B37">
        <v>6.9936788874841902</v>
      </c>
      <c r="C37" s="303">
        <f t="shared" si="0"/>
        <v>6.9936788874841907E-2</v>
      </c>
      <c r="D37">
        <v>1.5508726418966601</v>
      </c>
      <c r="E37" s="301">
        <f t="shared" si="1"/>
        <v>155087264.189666</v>
      </c>
    </row>
    <row r="38" spans="1:7">
      <c r="A38" s="306" t="s">
        <v>406</v>
      </c>
      <c r="B38">
        <v>7.0088495575221197</v>
      </c>
      <c r="C38" s="303">
        <f t="shared" si="0"/>
        <v>7.0088495575221205E-2</v>
      </c>
      <c r="D38">
        <v>6.0833237558901203</v>
      </c>
      <c r="E38" s="301">
        <f t="shared" si="1"/>
        <v>608332375.58901203</v>
      </c>
    </row>
    <row r="39" spans="1:7">
      <c r="A39" s="306" t="s">
        <v>405</v>
      </c>
      <c r="B39">
        <v>7.0695322376738297</v>
      </c>
      <c r="C39" s="303">
        <f t="shared" si="0"/>
        <v>7.0695322376738298E-2</v>
      </c>
      <c r="D39">
        <v>3.9404009391367101</v>
      </c>
      <c r="E39" s="301">
        <f t="shared" si="1"/>
        <v>394040093.91367102</v>
      </c>
    </row>
    <row r="40" spans="1:7">
      <c r="A40" s="306" t="s">
        <v>403</v>
      </c>
      <c r="B40">
        <v>7.52465233881163</v>
      </c>
      <c r="C40" s="303">
        <f t="shared" si="0"/>
        <v>7.5246523388116299E-2</v>
      </c>
      <c r="D40">
        <v>1.6152330602393801</v>
      </c>
      <c r="E40" s="301">
        <f t="shared" si="1"/>
        <v>161523306.023938</v>
      </c>
    </row>
    <row r="41" spans="1:7">
      <c r="A41" s="306" t="s">
        <v>404</v>
      </c>
      <c r="B41">
        <v>9.0417193426042992</v>
      </c>
      <c r="C41" s="303">
        <f t="shared" si="0"/>
        <v>9.0417193426042999E-2</v>
      </c>
      <c r="D41">
        <v>1.3798249790664401</v>
      </c>
      <c r="E41" s="301">
        <f t="shared" si="1"/>
        <v>137982497.90664402</v>
      </c>
    </row>
    <row r="42" spans="1:7">
      <c r="A42" s="306" t="s">
        <v>406</v>
      </c>
      <c r="B42">
        <v>9.0417193426042992</v>
      </c>
      <c r="C42" s="303">
        <f t="shared" si="0"/>
        <v>9.0417193426042999E-2</v>
      </c>
      <c r="D42">
        <v>3.5356691349106</v>
      </c>
      <c r="E42" s="301">
        <f t="shared" si="1"/>
        <v>353566913.49106002</v>
      </c>
    </row>
    <row r="43" spans="1:7">
      <c r="A43" s="306" t="s">
        <v>405</v>
      </c>
      <c r="B43">
        <v>9.1024020227559994</v>
      </c>
      <c r="C43" s="303">
        <f t="shared" si="0"/>
        <v>9.1024020227559996E-2</v>
      </c>
      <c r="D43">
        <v>5.1459930714039297</v>
      </c>
      <c r="E43" s="301">
        <f t="shared" si="1"/>
        <v>514599307.14039296</v>
      </c>
    </row>
    <row r="44" spans="1:7">
      <c r="A44" s="306" t="s">
        <v>404</v>
      </c>
      <c r="B44">
        <v>11.013906447534699</v>
      </c>
      <c r="C44" s="303">
        <f t="shared" si="0"/>
        <v>0.11013906447534699</v>
      </c>
      <c r="D44">
        <v>1.27379447354162</v>
      </c>
      <c r="E44" s="301">
        <f t="shared" si="1"/>
        <v>127379447.35416201</v>
      </c>
    </row>
    <row r="45" spans="1:7">
      <c r="A45" s="306" t="s">
        <v>406</v>
      </c>
      <c r="B45">
        <v>11.0290771175726</v>
      </c>
      <c r="C45" s="303">
        <f t="shared" si="0"/>
        <v>0.110290771175726</v>
      </c>
      <c r="D45">
        <v>3.5984533797428799</v>
      </c>
      <c r="E45" s="301">
        <f t="shared" si="1"/>
        <v>359845337.97428799</v>
      </c>
    </row>
    <row r="46" spans="1:7">
      <c r="A46" s="306" t="s">
        <v>405</v>
      </c>
      <c r="B46">
        <v>11.0745891276864</v>
      </c>
      <c r="C46" s="303">
        <f t="shared" si="0"/>
        <v>0.110745891276864</v>
      </c>
      <c r="D46">
        <v>4.1308716567882096</v>
      </c>
      <c r="E46" s="301">
        <f t="shared" si="1"/>
        <v>413087165.67882097</v>
      </c>
    </row>
  </sheetData>
  <sortState ref="A3:G46">
    <sortCondition ref="F3:F46"/>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A2" workbookViewId="0">
      <selection activeCell="G31" sqref="G31"/>
    </sheetView>
  </sheetViews>
  <sheetFormatPr baseColWidth="10" defaultRowHeight="13" x14ac:dyDescent="0"/>
  <cols>
    <col min="4" max="4" width="10.7109375" style="250"/>
    <col min="5" max="5" width="11" bestFit="1" customWidth="1"/>
  </cols>
  <sheetData>
    <row r="1" spans="1:16" s="250" customFormat="1">
      <c r="A1" s="250" t="s">
        <v>1442</v>
      </c>
    </row>
    <row r="2" spans="1:16" ht="26">
      <c r="A2" s="43" t="s">
        <v>1266</v>
      </c>
      <c r="B2" s="43" t="s">
        <v>1267</v>
      </c>
      <c r="C2" s="43" t="s">
        <v>1326</v>
      </c>
      <c r="D2" s="43" t="s">
        <v>1327</v>
      </c>
      <c r="E2" s="43" t="s">
        <v>1289</v>
      </c>
      <c r="F2" s="43" t="s">
        <v>1153</v>
      </c>
      <c r="G2" s="43" t="s">
        <v>1441</v>
      </c>
      <c r="H2" s="43" t="s">
        <v>1154</v>
      </c>
      <c r="I2" s="43" t="s">
        <v>1155</v>
      </c>
      <c r="J2" s="43" t="s">
        <v>1440</v>
      </c>
      <c r="K2" s="43" t="s">
        <v>1320</v>
      </c>
      <c r="L2" s="43" t="s">
        <v>1445</v>
      </c>
      <c r="M2" s="43" t="s">
        <v>1446</v>
      </c>
      <c r="N2" s="43" t="s">
        <v>1321</v>
      </c>
      <c r="O2" s="43" t="s">
        <v>1322</v>
      </c>
      <c r="P2" s="43" t="s">
        <v>1323</v>
      </c>
    </row>
    <row r="3" spans="1:16">
      <c r="A3" s="250" t="s">
        <v>1288</v>
      </c>
      <c r="B3" s="250" t="s">
        <v>1444</v>
      </c>
      <c r="C3">
        <v>1.5</v>
      </c>
      <c r="D3" s="250">
        <f>C3/100</f>
        <v>1.4999999999999999E-2</v>
      </c>
      <c r="E3">
        <f>10^L3</f>
        <v>1995262314.9688866</v>
      </c>
      <c r="F3" s="250">
        <f>10^M3</f>
        <v>39810717.055349804</v>
      </c>
      <c r="K3">
        <v>9.6999999999999993</v>
      </c>
      <c r="L3">
        <v>9.3000000000000007</v>
      </c>
      <c r="M3">
        <v>7.6</v>
      </c>
      <c r="N3">
        <v>7.2</v>
      </c>
      <c r="O3">
        <v>7</v>
      </c>
      <c r="P3">
        <v>7.57</v>
      </c>
    </row>
    <row r="4" spans="1:16">
      <c r="A4" s="250" t="s">
        <v>1288</v>
      </c>
      <c r="B4" s="250" t="s">
        <v>1444</v>
      </c>
      <c r="C4">
        <v>2.5</v>
      </c>
      <c r="D4" s="250">
        <f t="shared" ref="D4:D21" si="0">C4/100</f>
        <v>2.5000000000000001E-2</v>
      </c>
      <c r="E4" s="250">
        <f t="shared" ref="E4:F21" si="1">10^L4</f>
        <v>2511886431.5095868</v>
      </c>
      <c r="F4" s="250">
        <f t="shared" si="1"/>
        <v>39810717.055349804</v>
      </c>
      <c r="K4">
        <v>9.9</v>
      </c>
      <c r="L4">
        <v>9.4</v>
      </c>
      <c r="M4">
        <v>7.6</v>
      </c>
      <c r="N4">
        <v>7.2</v>
      </c>
      <c r="O4">
        <v>7.3</v>
      </c>
      <c r="P4">
        <v>7.53</v>
      </c>
    </row>
    <row r="5" spans="1:16">
      <c r="A5" s="250" t="s">
        <v>1287</v>
      </c>
      <c r="B5" s="250" t="s">
        <v>1443</v>
      </c>
      <c r="C5">
        <v>3.5</v>
      </c>
      <c r="D5" s="250">
        <f t="shared" si="0"/>
        <v>3.5000000000000003E-2</v>
      </c>
      <c r="E5" s="250">
        <f t="shared" si="1"/>
        <v>1000000000</v>
      </c>
      <c r="F5" s="250">
        <f t="shared" si="1"/>
        <v>10000000</v>
      </c>
      <c r="K5">
        <v>9.3000000000000007</v>
      </c>
      <c r="L5">
        <v>9</v>
      </c>
      <c r="M5">
        <v>7</v>
      </c>
      <c r="N5">
        <v>6.7</v>
      </c>
      <c r="O5">
        <v>6.9</v>
      </c>
      <c r="P5">
        <v>7.41</v>
      </c>
    </row>
    <row r="6" spans="1:16">
      <c r="A6" s="250" t="s">
        <v>1287</v>
      </c>
      <c r="B6" s="250" t="s">
        <v>1443</v>
      </c>
      <c r="C6">
        <v>4.5</v>
      </c>
      <c r="D6" s="250">
        <f t="shared" si="0"/>
        <v>4.4999999999999998E-2</v>
      </c>
      <c r="E6" s="250">
        <f t="shared" si="1"/>
        <v>1584893192.4611149</v>
      </c>
      <c r="F6" s="250">
        <f t="shared" si="1"/>
        <v>31622776.601683889</v>
      </c>
      <c r="K6">
        <v>9.6999999999999993</v>
      </c>
      <c r="L6">
        <v>9.1999999999999993</v>
      </c>
      <c r="M6">
        <v>7.5</v>
      </c>
      <c r="N6">
        <v>6.8</v>
      </c>
      <c r="O6">
        <v>6.9</v>
      </c>
      <c r="P6">
        <v>7.48</v>
      </c>
    </row>
    <row r="7" spans="1:16">
      <c r="A7" s="250" t="s">
        <v>1287</v>
      </c>
      <c r="B7" s="250" t="s">
        <v>1443</v>
      </c>
      <c r="C7">
        <v>5.5</v>
      </c>
      <c r="D7" s="250">
        <f t="shared" si="0"/>
        <v>5.5E-2</v>
      </c>
      <c r="E7" s="250">
        <f t="shared" si="1"/>
        <v>3162277660.1683846</v>
      </c>
      <c r="F7" s="250">
        <f t="shared" si="1"/>
        <v>63095734.448019333</v>
      </c>
      <c r="K7">
        <v>10</v>
      </c>
      <c r="L7">
        <v>9.5</v>
      </c>
      <c r="M7">
        <v>7.8</v>
      </c>
      <c r="O7">
        <v>7.2</v>
      </c>
      <c r="P7">
        <v>8.1</v>
      </c>
    </row>
    <row r="8" spans="1:16">
      <c r="A8" s="250" t="s">
        <v>1287</v>
      </c>
      <c r="B8" s="250" t="s">
        <v>1443</v>
      </c>
      <c r="C8">
        <v>7</v>
      </c>
      <c r="D8" s="250">
        <f t="shared" si="0"/>
        <v>7.0000000000000007E-2</v>
      </c>
      <c r="E8" s="250">
        <f t="shared" si="1"/>
        <v>2511886431.5095868</v>
      </c>
      <c r="F8" s="250">
        <f t="shared" si="1"/>
        <v>79432823.472428367</v>
      </c>
      <c r="K8">
        <v>9.9</v>
      </c>
      <c r="L8">
        <v>9.4</v>
      </c>
      <c r="M8">
        <v>7.9</v>
      </c>
      <c r="N8">
        <v>6.4</v>
      </c>
      <c r="O8">
        <v>7</v>
      </c>
      <c r="P8">
        <v>7.85</v>
      </c>
    </row>
    <row r="9" spans="1:16">
      <c r="A9" s="250" t="s">
        <v>1287</v>
      </c>
      <c r="B9" s="250" t="s">
        <v>1443</v>
      </c>
      <c r="C9">
        <v>9</v>
      </c>
      <c r="D9" s="250">
        <f t="shared" si="0"/>
        <v>0.09</v>
      </c>
      <c r="E9" s="250">
        <f t="shared" si="1"/>
        <v>1258925411.7941697</v>
      </c>
      <c r="F9" s="250">
        <f t="shared" si="1"/>
        <v>39810717.055349804</v>
      </c>
      <c r="K9">
        <v>9.3000000000000007</v>
      </c>
      <c r="L9">
        <v>9.1</v>
      </c>
      <c r="M9">
        <v>7.6</v>
      </c>
      <c r="N9">
        <v>6.6</v>
      </c>
      <c r="O9">
        <v>6.5</v>
      </c>
      <c r="P9">
        <v>7.27</v>
      </c>
    </row>
    <row r="10" spans="1:16">
      <c r="A10" s="250" t="s">
        <v>1287</v>
      </c>
      <c r="B10" s="250" t="s">
        <v>1443</v>
      </c>
      <c r="C10">
        <v>11</v>
      </c>
      <c r="D10" s="250">
        <f t="shared" si="0"/>
        <v>0.11</v>
      </c>
      <c r="E10" s="250">
        <f t="shared" si="1"/>
        <v>1584893192.4611149</v>
      </c>
      <c r="F10" s="250">
        <f t="shared" si="1"/>
        <v>63095734.448019333</v>
      </c>
      <c r="K10">
        <v>9.5</v>
      </c>
      <c r="L10">
        <v>9.1999999999999993</v>
      </c>
      <c r="M10">
        <v>7.8</v>
      </c>
      <c r="N10">
        <v>6.4</v>
      </c>
      <c r="O10">
        <v>7</v>
      </c>
      <c r="P10">
        <v>7.46</v>
      </c>
    </row>
    <row r="11" spans="1:16">
      <c r="A11" s="250" t="s">
        <v>1287</v>
      </c>
      <c r="B11" s="250" t="s">
        <v>1443</v>
      </c>
      <c r="C11">
        <v>13</v>
      </c>
      <c r="D11" s="250">
        <f t="shared" si="0"/>
        <v>0.13</v>
      </c>
      <c r="E11" s="250">
        <f>10^L11</f>
        <v>2511886431.5095868</v>
      </c>
      <c r="F11" s="250">
        <f t="shared" si="1"/>
        <v>125892541.17941682</v>
      </c>
      <c r="K11">
        <v>9.8000000000000007</v>
      </c>
      <c r="L11">
        <v>9.4</v>
      </c>
      <c r="M11">
        <v>8.1</v>
      </c>
      <c r="N11">
        <v>6.1</v>
      </c>
      <c r="O11">
        <v>6.5</v>
      </c>
      <c r="P11">
        <v>7.1</v>
      </c>
    </row>
    <row r="12" spans="1:16">
      <c r="A12" s="250" t="s">
        <v>1287</v>
      </c>
      <c r="B12" s="250" t="s">
        <v>1443</v>
      </c>
      <c r="C12">
        <v>15</v>
      </c>
      <c r="D12" s="250">
        <f t="shared" si="0"/>
        <v>0.15</v>
      </c>
      <c r="E12" s="250"/>
      <c r="F12" s="250">
        <f t="shared" si="1"/>
        <v>199526231.49688843</v>
      </c>
      <c r="K12">
        <v>10</v>
      </c>
      <c r="M12">
        <v>8.3000000000000007</v>
      </c>
      <c r="N12">
        <v>6</v>
      </c>
      <c r="O12">
        <v>6.5</v>
      </c>
      <c r="P12">
        <v>6.68</v>
      </c>
    </row>
    <row r="13" spans="1:16">
      <c r="A13" s="250" t="s">
        <v>1287</v>
      </c>
      <c r="B13" s="250" t="s">
        <v>1443</v>
      </c>
      <c r="C13">
        <v>17</v>
      </c>
      <c r="D13" s="250">
        <f t="shared" si="0"/>
        <v>0.17</v>
      </c>
      <c r="E13" s="250">
        <f t="shared" si="1"/>
        <v>1258925411.7941697</v>
      </c>
      <c r="F13" s="250">
        <f t="shared" si="1"/>
        <v>79432823.472428367</v>
      </c>
      <c r="K13">
        <v>9.6</v>
      </c>
      <c r="L13">
        <v>9.1</v>
      </c>
      <c r="M13">
        <v>7.9</v>
      </c>
      <c r="N13">
        <v>6</v>
      </c>
      <c r="O13">
        <v>6.5</v>
      </c>
      <c r="P13">
        <v>6.79</v>
      </c>
    </row>
    <row r="14" spans="1:16">
      <c r="A14" s="250" t="s">
        <v>1287</v>
      </c>
      <c r="B14" s="250" t="s">
        <v>1443</v>
      </c>
      <c r="C14">
        <v>19</v>
      </c>
      <c r="D14" s="250">
        <f t="shared" si="0"/>
        <v>0.19</v>
      </c>
      <c r="E14" s="250">
        <f t="shared" si="1"/>
        <v>501187233.62727159</v>
      </c>
      <c r="F14" s="250">
        <f t="shared" si="1"/>
        <v>63095734.448019333</v>
      </c>
      <c r="K14">
        <v>9.6999999999999993</v>
      </c>
      <c r="L14">
        <v>8.6999999999999993</v>
      </c>
      <c r="M14">
        <v>7.8</v>
      </c>
      <c r="N14">
        <v>5.8</v>
      </c>
      <c r="O14">
        <v>6.3</v>
      </c>
      <c r="P14">
        <v>6.42</v>
      </c>
    </row>
    <row r="15" spans="1:16">
      <c r="A15" s="250" t="s">
        <v>1287</v>
      </c>
      <c r="B15" s="250" t="s">
        <v>1443</v>
      </c>
      <c r="C15">
        <v>21</v>
      </c>
      <c r="D15" s="250">
        <f t="shared" si="0"/>
        <v>0.21</v>
      </c>
      <c r="E15" s="250">
        <f t="shared" si="1"/>
        <v>125892541.17941682</v>
      </c>
      <c r="F15" s="250">
        <f t="shared" si="1"/>
        <v>19952623.149688821</v>
      </c>
      <c r="K15">
        <v>8.6</v>
      </c>
      <c r="L15">
        <v>8.1</v>
      </c>
      <c r="M15">
        <v>7.3</v>
      </c>
      <c r="N15">
        <v>6.3</v>
      </c>
      <c r="O15">
        <v>6.4</v>
      </c>
      <c r="P15">
        <v>6.09</v>
      </c>
    </row>
    <row r="16" spans="1:16">
      <c r="A16" s="250" t="s">
        <v>1287</v>
      </c>
      <c r="B16" s="250" t="s">
        <v>1443</v>
      </c>
      <c r="C16">
        <v>23</v>
      </c>
      <c r="D16" s="250">
        <f t="shared" si="0"/>
        <v>0.23</v>
      </c>
      <c r="E16" s="250">
        <f t="shared" si="1"/>
        <v>199526231.49688843</v>
      </c>
      <c r="F16" s="250">
        <f t="shared" si="1"/>
        <v>31622776.601683889</v>
      </c>
      <c r="K16">
        <v>8.9</v>
      </c>
      <c r="L16">
        <v>8.3000000000000007</v>
      </c>
      <c r="M16">
        <v>7.5</v>
      </c>
      <c r="N16">
        <v>5.4</v>
      </c>
      <c r="O16">
        <v>6</v>
      </c>
      <c r="P16">
        <v>6.12</v>
      </c>
    </row>
    <row r="17" spans="1:16">
      <c r="A17" s="250" t="s">
        <v>1287</v>
      </c>
      <c r="B17" s="250" t="s">
        <v>1443</v>
      </c>
      <c r="C17">
        <v>25</v>
      </c>
      <c r="D17" s="250">
        <f t="shared" si="0"/>
        <v>0.25</v>
      </c>
      <c r="E17" s="250">
        <f t="shared" si="1"/>
        <v>501187233.62727159</v>
      </c>
      <c r="F17" s="250">
        <f t="shared" si="1"/>
        <v>50118723.362727284</v>
      </c>
      <c r="K17">
        <v>9.1999999999999993</v>
      </c>
      <c r="L17">
        <v>8.6999999999999993</v>
      </c>
      <c r="M17">
        <v>7.7</v>
      </c>
      <c r="N17">
        <v>5.5</v>
      </c>
      <c r="O17">
        <v>5.9</v>
      </c>
      <c r="P17">
        <v>6.18</v>
      </c>
    </row>
    <row r="18" spans="1:16">
      <c r="A18" s="250" t="s">
        <v>1287</v>
      </c>
      <c r="B18" s="250" t="s">
        <v>1443</v>
      </c>
      <c r="C18">
        <v>27</v>
      </c>
      <c r="D18" s="250">
        <f t="shared" si="0"/>
        <v>0.27</v>
      </c>
      <c r="E18" s="250">
        <f t="shared" si="1"/>
        <v>158489319.24611133</v>
      </c>
      <c r="F18" s="250">
        <f t="shared" si="1"/>
        <v>50118723.362727284</v>
      </c>
      <c r="K18">
        <v>8.8000000000000007</v>
      </c>
      <c r="L18">
        <v>8.1999999999999993</v>
      </c>
      <c r="M18">
        <v>7.7</v>
      </c>
      <c r="N18">
        <v>5.0999999999999996</v>
      </c>
      <c r="O18">
        <v>5.9</v>
      </c>
      <c r="P18">
        <v>6.01</v>
      </c>
    </row>
    <row r="19" spans="1:16">
      <c r="A19" s="250" t="s">
        <v>1287</v>
      </c>
      <c r="B19" s="250" t="s">
        <v>1443</v>
      </c>
      <c r="C19">
        <v>29</v>
      </c>
      <c r="D19" s="250">
        <f t="shared" si="0"/>
        <v>0.28999999999999998</v>
      </c>
      <c r="E19" s="250">
        <f t="shared" si="1"/>
        <v>39810717.055349804</v>
      </c>
      <c r="F19" s="250">
        <f t="shared" si="1"/>
        <v>12589254.117941668</v>
      </c>
      <c r="K19">
        <v>8.4</v>
      </c>
      <c r="L19">
        <v>7.6</v>
      </c>
      <c r="M19">
        <v>7.1</v>
      </c>
      <c r="N19">
        <v>5.2</v>
      </c>
      <c r="O19">
        <v>5.8</v>
      </c>
      <c r="P19">
        <v>5.96</v>
      </c>
    </row>
    <row r="20" spans="1:16">
      <c r="A20" s="250" t="s">
        <v>1287</v>
      </c>
      <c r="B20" s="250" t="s">
        <v>1443</v>
      </c>
      <c r="C20">
        <v>31</v>
      </c>
      <c r="D20" s="250">
        <f t="shared" si="0"/>
        <v>0.31</v>
      </c>
      <c r="E20" s="250">
        <f t="shared" si="1"/>
        <v>251188643.15095839</v>
      </c>
      <c r="F20" s="250">
        <f t="shared" si="1"/>
        <v>31622776.601683889</v>
      </c>
      <c r="K20">
        <v>9</v>
      </c>
      <c r="L20">
        <v>8.4</v>
      </c>
      <c r="M20">
        <v>7.5</v>
      </c>
      <c r="N20">
        <v>5.3</v>
      </c>
      <c r="O20">
        <v>5.9</v>
      </c>
      <c r="P20">
        <v>6</v>
      </c>
    </row>
    <row r="21" spans="1:16">
      <c r="A21" s="250" t="s">
        <v>1287</v>
      </c>
      <c r="B21" s="250" t="s">
        <v>1443</v>
      </c>
      <c r="C21">
        <v>33</v>
      </c>
      <c r="D21" s="250">
        <f t="shared" si="0"/>
        <v>0.33</v>
      </c>
      <c r="E21" s="250">
        <f t="shared" si="1"/>
        <v>501187233.62727159</v>
      </c>
      <c r="F21" s="250">
        <f t="shared" si="1"/>
        <v>50118723.362727284</v>
      </c>
      <c r="K21">
        <v>9</v>
      </c>
      <c r="L21">
        <v>8.6999999999999993</v>
      </c>
      <c r="M21">
        <v>7.7</v>
      </c>
      <c r="N21">
        <v>5.7</v>
      </c>
      <c r="O21">
        <v>5.8</v>
      </c>
      <c r="P21">
        <v>6.11</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pane ySplit="5" topLeftCell="A6" activePane="bottomLeft" state="frozenSplit"/>
      <selection pane="bottomLeft" activeCell="G97" sqref="G97"/>
    </sheetView>
  </sheetViews>
  <sheetFormatPr baseColWidth="10" defaultRowHeight="13" x14ac:dyDescent="0"/>
  <cols>
    <col min="2" max="2" width="10.5703125" customWidth="1"/>
    <col min="4" max="4" width="10.7109375" style="250"/>
  </cols>
  <sheetData>
    <row r="1" spans="1:7" s="250" customFormat="1">
      <c r="A1" s="250" t="s">
        <v>1358</v>
      </c>
    </row>
    <row r="2" spans="1:7" s="250" customFormat="1">
      <c r="C2" s="250" t="s">
        <v>1213</v>
      </c>
    </row>
    <row r="3" spans="1:7" s="250" customFormat="1">
      <c r="D3"/>
      <c r="E3"/>
      <c r="F3"/>
    </row>
    <row r="4" spans="1:7">
      <c r="A4" t="s">
        <v>867</v>
      </c>
      <c r="C4" s="250" t="s">
        <v>1214</v>
      </c>
      <c r="D4" t="s">
        <v>853</v>
      </c>
      <c r="E4" s="250" t="s">
        <v>853</v>
      </c>
      <c r="F4" s="250" t="s">
        <v>853</v>
      </c>
    </row>
    <row r="5" spans="1:7">
      <c r="B5" s="250" t="s">
        <v>1325</v>
      </c>
      <c r="C5" s="250" t="s">
        <v>1215</v>
      </c>
      <c r="D5" t="s">
        <v>771</v>
      </c>
      <c r="E5" t="s">
        <v>772</v>
      </c>
      <c r="F5" t="s">
        <v>1016</v>
      </c>
      <c r="G5" t="s">
        <v>453</v>
      </c>
    </row>
    <row r="6" spans="1:7">
      <c r="A6" s="250" t="s">
        <v>1354</v>
      </c>
      <c r="B6">
        <v>0.01</v>
      </c>
      <c r="C6" s="247">
        <v>267000000</v>
      </c>
      <c r="D6" s="26">
        <v>1570000000</v>
      </c>
      <c r="E6" s="26">
        <v>135000000</v>
      </c>
      <c r="F6" s="26">
        <v>9970000</v>
      </c>
      <c r="G6">
        <v>27.572309036202999</v>
      </c>
    </row>
    <row r="7" spans="1:7">
      <c r="A7" s="250" t="s">
        <v>1354</v>
      </c>
      <c r="B7">
        <v>0.03</v>
      </c>
      <c r="C7" s="247">
        <v>339000000</v>
      </c>
      <c r="D7" s="26">
        <v>2110000000</v>
      </c>
      <c r="E7" s="26">
        <v>383000000</v>
      </c>
      <c r="F7" s="26">
        <v>2520000</v>
      </c>
      <c r="G7" s="289">
        <v>27.351014267688999</v>
      </c>
    </row>
    <row r="8" spans="1:7">
      <c r="A8" s="250" t="s">
        <v>854</v>
      </c>
      <c r="B8">
        <v>0.05</v>
      </c>
      <c r="C8" s="247">
        <v>146000000</v>
      </c>
      <c r="D8" s="282">
        <v>744000000</v>
      </c>
      <c r="E8" s="282">
        <v>397000000</v>
      </c>
      <c r="F8" s="282">
        <v>655000</v>
      </c>
      <c r="G8">
        <v>27.205182956420401</v>
      </c>
    </row>
    <row r="9" spans="1:7">
      <c r="A9" s="250" t="s">
        <v>854</v>
      </c>
      <c r="B9">
        <v>7.0000000000000007E-2</v>
      </c>
      <c r="C9" s="247">
        <v>166000000</v>
      </c>
      <c r="D9" s="26">
        <v>807000000</v>
      </c>
      <c r="E9" s="26">
        <v>151000000</v>
      </c>
      <c r="F9" s="26">
        <v>913000</v>
      </c>
      <c r="G9">
        <v>27.211006502960299</v>
      </c>
    </row>
    <row r="10" spans="1:7">
      <c r="A10" s="250" t="s">
        <v>854</v>
      </c>
      <c r="B10">
        <v>0.09</v>
      </c>
      <c r="C10" s="247">
        <v>270000000</v>
      </c>
      <c r="D10" s="26">
        <v>565000000</v>
      </c>
      <c r="E10" s="26">
        <v>852000000</v>
      </c>
      <c r="F10" s="26">
        <v>889000</v>
      </c>
      <c r="G10">
        <v>27.521110356206901</v>
      </c>
    </row>
    <row r="11" spans="1:7">
      <c r="A11" s="250" t="s">
        <v>854</v>
      </c>
      <c r="B11">
        <v>0.11</v>
      </c>
      <c r="C11" s="247">
        <v>447000000</v>
      </c>
      <c r="D11" s="26">
        <v>1920000000</v>
      </c>
      <c r="E11" s="26">
        <v>277000000</v>
      </c>
      <c r="F11" s="282">
        <v>2360000</v>
      </c>
      <c r="G11">
        <v>27.3750363971658</v>
      </c>
    </row>
    <row r="12" spans="1:7">
      <c r="A12" s="250" t="s">
        <v>854</v>
      </c>
      <c r="B12">
        <v>0.13</v>
      </c>
      <c r="C12" s="247">
        <v>376000000</v>
      </c>
      <c r="D12" s="26">
        <v>4510000000</v>
      </c>
      <c r="E12" s="26">
        <v>500000000</v>
      </c>
      <c r="F12" s="282">
        <v>7530000</v>
      </c>
      <c r="G12">
        <v>27.685382898185001</v>
      </c>
    </row>
    <row r="13" spans="1:7">
      <c r="A13" s="250" t="s">
        <v>854</v>
      </c>
      <c r="B13">
        <v>0.17</v>
      </c>
      <c r="C13" s="247">
        <v>352000000</v>
      </c>
      <c r="D13" s="26">
        <v>1110000000</v>
      </c>
      <c r="E13" s="26">
        <v>153000000</v>
      </c>
      <c r="F13" s="282">
        <v>1600000</v>
      </c>
      <c r="G13">
        <v>27.3175288750849</v>
      </c>
    </row>
    <row r="14" spans="1:7">
      <c r="A14" s="250" t="s">
        <v>854</v>
      </c>
      <c r="B14">
        <v>0.21</v>
      </c>
      <c r="C14" s="247">
        <v>249000000</v>
      </c>
      <c r="D14" s="26">
        <v>743000000</v>
      </c>
      <c r="E14" s="26">
        <v>55400000</v>
      </c>
      <c r="F14" s="282">
        <v>388000</v>
      </c>
      <c r="G14">
        <v>27.253712510919101</v>
      </c>
    </row>
    <row r="15" spans="1:7">
      <c r="A15" s="250" t="s">
        <v>854</v>
      </c>
      <c r="B15">
        <v>0.27</v>
      </c>
      <c r="C15" s="247">
        <v>211000000</v>
      </c>
      <c r="D15" s="26">
        <v>273000000</v>
      </c>
      <c r="E15" s="26">
        <v>95000000</v>
      </c>
      <c r="F15" s="282">
        <v>273000</v>
      </c>
      <c r="G15">
        <v>27.0440648354848</v>
      </c>
    </row>
    <row r="16" spans="1:7">
      <c r="A16" s="250" t="s">
        <v>854</v>
      </c>
      <c r="B16">
        <v>0.35</v>
      </c>
      <c r="C16" s="247">
        <v>118000000</v>
      </c>
      <c r="D16" s="26">
        <v>31600000</v>
      </c>
      <c r="E16" s="26">
        <v>150000000</v>
      </c>
      <c r="F16" s="282">
        <v>241000</v>
      </c>
      <c r="G16">
        <v>27.448316024458801</v>
      </c>
    </row>
    <row r="17" spans="1:7">
      <c r="A17" s="250" t="s">
        <v>854</v>
      </c>
      <c r="B17">
        <v>0.43</v>
      </c>
      <c r="C17" s="247">
        <v>67900000</v>
      </c>
      <c r="D17" s="26">
        <v>244000000</v>
      </c>
      <c r="E17" s="26">
        <v>38100000</v>
      </c>
      <c r="F17" s="282">
        <v>118000</v>
      </c>
      <c r="G17">
        <v>26.940939532175001</v>
      </c>
    </row>
    <row r="18" spans="1:7">
      <c r="A18" s="250" t="s">
        <v>1357</v>
      </c>
      <c r="B18">
        <v>0.53</v>
      </c>
      <c r="C18" s="247">
        <v>104000000</v>
      </c>
      <c r="D18" s="247">
        <v>50400000</v>
      </c>
      <c r="E18" s="247">
        <v>338000000</v>
      </c>
      <c r="G18">
        <v>27.6898615083546</v>
      </c>
    </row>
    <row r="19" spans="1:7">
      <c r="A19" s="250" t="s">
        <v>1357</v>
      </c>
      <c r="B19">
        <v>1.25</v>
      </c>
      <c r="C19" s="247">
        <v>96100000</v>
      </c>
      <c r="D19" s="247">
        <v>29200000</v>
      </c>
      <c r="E19" s="247">
        <v>67500000</v>
      </c>
      <c r="G19">
        <v>27.082204325355001</v>
      </c>
    </row>
    <row r="20" spans="1:7">
      <c r="A20" s="250" t="s">
        <v>1357</v>
      </c>
      <c r="B20">
        <v>1.73</v>
      </c>
      <c r="C20" s="247">
        <v>73500000</v>
      </c>
      <c r="D20" s="247">
        <v>35600000</v>
      </c>
      <c r="E20" s="247">
        <v>104000000</v>
      </c>
      <c r="G20">
        <v>26.9701189221737</v>
      </c>
    </row>
    <row r="21" spans="1:7">
      <c r="A21" s="250" t="s">
        <v>1357</v>
      </c>
      <c r="B21">
        <v>2.25</v>
      </c>
      <c r="C21" s="247">
        <v>58400000</v>
      </c>
      <c r="D21" s="247">
        <v>39000000</v>
      </c>
      <c r="E21" s="247">
        <v>97600000</v>
      </c>
      <c r="G21">
        <v>27.132507903055799</v>
      </c>
    </row>
    <row r="22" spans="1:7">
      <c r="A22" s="250" t="s">
        <v>1357</v>
      </c>
      <c r="B22">
        <v>2.75</v>
      </c>
      <c r="C22" s="247">
        <v>112000000</v>
      </c>
      <c r="D22" s="282">
        <v>70700000</v>
      </c>
      <c r="E22" s="282">
        <v>182000000</v>
      </c>
      <c r="G22">
        <v>26.910406944653499</v>
      </c>
    </row>
    <row r="23" spans="1:7">
      <c r="A23" s="250" t="s">
        <v>1357</v>
      </c>
      <c r="B23">
        <v>3.25</v>
      </c>
      <c r="C23" s="247">
        <v>59100000</v>
      </c>
      <c r="D23" s="247">
        <v>60000000</v>
      </c>
      <c r="E23" s="247">
        <v>153000000</v>
      </c>
      <c r="G23">
        <v>26.303753324301201</v>
      </c>
    </row>
    <row r="24" spans="1:7">
      <c r="A24" s="250" t="s">
        <v>1357</v>
      </c>
      <c r="B24">
        <v>3.75</v>
      </c>
      <c r="C24" s="247">
        <v>55300000</v>
      </c>
      <c r="D24" s="247">
        <v>27600000</v>
      </c>
      <c r="E24" s="247">
        <v>94900000</v>
      </c>
      <c r="G24">
        <v>26.576220583069802</v>
      </c>
    </row>
    <row r="25" spans="1:7">
      <c r="A25" s="250" t="s">
        <v>1357</v>
      </c>
      <c r="B25">
        <v>4.25</v>
      </c>
      <c r="C25" s="247">
        <v>67200000</v>
      </c>
      <c r="D25" s="247">
        <v>59600000</v>
      </c>
      <c r="E25" s="247">
        <v>202000000</v>
      </c>
      <c r="G25">
        <v>25.4750614682121</v>
      </c>
    </row>
    <row r="26" spans="1:7">
      <c r="A26" s="250" t="s">
        <v>1357</v>
      </c>
      <c r="B26">
        <v>4.75</v>
      </c>
      <c r="C26" s="247">
        <v>37100000</v>
      </c>
      <c r="D26" s="247">
        <v>68200000</v>
      </c>
      <c r="E26" s="247">
        <v>150000000</v>
      </c>
      <c r="G26">
        <v>25.362913342365299</v>
      </c>
    </row>
    <row r="27" spans="1:7">
      <c r="A27" s="250" t="s">
        <v>1357</v>
      </c>
      <c r="B27">
        <v>5.25</v>
      </c>
      <c r="C27" s="247">
        <v>55300000</v>
      </c>
      <c r="D27" s="247">
        <v>73700000</v>
      </c>
      <c r="E27" s="247">
        <v>191000000</v>
      </c>
      <c r="G27">
        <v>24.316636559787199</v>
      </c>
    </row>
    <row r="28" spans="1:7">
      <c r="A28" s="250" t="s">
        <v>1357</v>
      </c>
      <c r="B28">
        <v>5.75</v>
      </c>
      <c r="C28" s="247">
        <v>37700000</v>
      </c>
      <c r="D28" s="247">
        <v>142000000</v>
      </c>
      <c r="E28" s="247">
        <v>133000000</v>
      </c>
      <c r="G28">
        <v>23.435194942044198</v>
      </c>
    </row>
    <row r="29" spans="1:7">
      <c r="A29" s="250" t="s">
        <v>1357</v>
      </c>
      <c r="B29">
        <v>6.25</v>
      </c>
      <c r="C29" s="247">
        <v>25800000</v>
      </c>
      <c r="D29" s="247">
        <v>81500000</v>
      </c>
      <c r="E29" s="247">
        <v>59900000</v>
      </c>
      <c r="F29" s="289"/>
      <c r="G29">
        <v>22.278902604245001</v>
      </c>
    </row>
    <row r="30" spans="1:7">
      <c r="A30" s="250" t="s">
        <v>1357</v>
      </c>
      <c r="B30">
        <v>6.75</v>
      </c>
      <c r="C30" s="247">
        <v>25800000</v>
      </c>
      <c r="D30" s="247">
        <v>195000000</v>
      </c>
      <c r="E30" s="247">
        <v>246000000</v>
      </c>
      <c r="F30" s="289"/>
      <c r="G30">
        <v>21.177868934718202</v>
      </c>
    </row>
    <row r="31" spans="1:7" s="250" customFormat="1">
      <c r="A31" s="250" t="s">
        <v>1357</v>
      </c>
      <c r="B31" s="250">
        <v>7.25</v>
      </c>
      <c r="C31" s="247">
        <v>28300000</v>
      </c>
      <c r="D31" s="247">
        <v>203000000</v>
      </c>
      <c r="E31" s="247">
        <v>59400000</v>
      </c>
      <c r="F31" s="289"/>
      <c r="G31" s="250">
        <v>19.692031712579599</v>
      </c>
    </row>
    <row r="32" spans="1:7">
      <c r="A32" s="250" t="s">
        <v>1357</v>
      </c>
      <c r="B32">
        <v>7.75</v>
      </c>
      <c r="C32" s="247">
        <v>20100000</v>
      </c>
      <c r="D32" s="247">
        <v>128000000</v>
      </c>
      <c r="E32" s="247">
        <v>41300000</v>
      </c>
      <c r="F32" s="289"/>
      <c r="G32">
        <v>16.448015454864699</v>
      </c>
    </row>
    <row r="33" spans="1:7">
      <c r="A33" s="250" t="s">
        <v>1357</v>
      </c>
      <c r="B33">
        <v>8.35</v>
      </c>
      <c r="C33" s="247">
        <v>17600000</v>
      </c>
      <c r="D33" s="247">
        <v>48700000</v>
      </c>
      <c r="E33" s="247">
        <v>64400000</v>
      </c>
      <c r="F33" s="289"/>
      <c r="G33">
        <v>12.819258367203499</v>
      </c>
    </row>
    <row r="34" spans="1:7">
      <c r="A34" s="250" t="s">
        <v>1357</v>
      </c>
      <c r="B34">
        <v>8.75</v>
      </c>
      <c r="C34" s="247">
        <v>13200000</v>
      </c>
      <c r="D34" s="247">
        <v>44500000</v>
      </c>
      <c r="E34" s="247">
        <v>86800000</v>
      </c>
      <c r="F34" s="289"/>
      <c r="G34">
        <v>9.4654147222640308</v>
      </c>
    </row>
    <row r="35" spans="1:7">
      <c r="A35" s="250" t="s">
        <v>1357</v>
      </c>
      <c r="B35">
        <v>9.35</v>
      </c>
      <c r="C35" s="247">
        <v>30200000</v>
      </c>
      <c r="D35" s="26">
        <v>77400000</v>
      </c>
      <c r="E35" s="247">
        <v>92200000</v>
      </c>
      <c r="F35" s="289"/>
      <c r="G35">
        <v>6.3312885744392604</v>
      </c>
    </row>
    <row r="36" spans="1:7">
      <c r="A36" s="250" t="s">
        <v>1357</v>
      </c>
      <c r="B36">
        <v>9.85</v>
      </c>
      <c r="C36" s="247">
        <v>43400000</v>
      </c>
      <c r="D36" s="247">
        <v>37000000</v>
      </c>
      <c r="E36" s="247">
        <v>24900000</v>
      </c>
      <c r="F36" s="289"/>
      <c r="G36">
        <v>3.1420919263384999</v>
      </c>
    </row>
    <row r="37" spans="1:7">
      <c r="A37" s="250" t="s">
        <v>1357</v>
      </c>
      <c r="B37">
        <v>10.35</v>
      </c>
      <c r="C37" s="247">
        <v>22000000</v>
      </c>
      <c r="D37" s="247">
        <v>83600000</v>
      </c>
      <c r="E37" s="247">
        <v>136000000</v>
      </c>
      <c r="F37" s="289"/>
      <c r="G37">
        <v>0.99691404485924895</v>
      </c>
    </row>
    <row r="38" spans="1:7">
      <c r="A38" s="250" t="s">
        <v>1357</v>
      </c>
      <c r="B38">
        <v>10.85</v>
      </c>
      <c r="C38" s="247">
        <v>19500000</v>
      </c>
      <c r="D38" s="247">
        <v>1210000000</v>
      </c>
      <c r="E38" s="247">
        <v>87800000</v>
      </c>
      <c r="F38" s="289"/>
      <c r="G38">
        <v>0.445268202117516</v>
      </c>
    </row>
    <row r="39" spans="1:7">
      <c r="A39" s="250" t="s">
        <v>1357</v>
      </c>
      <c r="B39">
        <v>11.15</v>
      </c>
      <c r="C39" s="247">
        <v>20700000</v>
      </c>
      <c r="D39" s="247">
        <v>67200000</v>
      </c>
      <c r="E39" s="247">
        <v>51600000</v>
      </c>
      <c r="F39" s="289"/>
    </row>
    <row r="40" spans="1:7">
      <c r="A40" s="250" t="s">
        <v>1357</v>
      </c>
      <c r="B40">
        <v>11.35</v>
      </c>
      <c r="C40" s="247">
        <v>10700000</v>
      </c>
      <c r="D40" s="247">
        <v>18300000</v>
      </c>
      <c r="E40" s="247">
        <v>42000000</v>
      </c>
      <c r="F40" s="289"/>
    </row>
    <row r="41" spans="1:7">
      <c r="A41" s="250" t="s">
        <v>1357</v>
      </c>
      <c r="B41">
        <v>11.85</v>
      </c>
      <c r="C41" s="247">
        <v>13200000</v>
      </c>
      <c r="D41" s="247">
        <v>30500000</v>
      </c>
      <c r="E41" s="247">
        <v>684000000</v>
      </c>
      <c r="F41" s="289"/>
      <c r="G41">
        <v>0.55051683476340996</v>
      </c>
    </row>
    <row r="42" spans="1:7">
      <c r="A42" s="250" t="s">
        <v>1355</v>
      </c>
      <c r="B42">
        <v>0.01</v>
      </c>
      <c r="C42" s="247">
        <v>1390000000</v>
      </c>
      <c r="D42" s="26">
        <v>3570000000</v>
      </c>
      <c r="E42" s="26">
        <v>1700000000</v>
      </c>
      <c r="F42" s="26">
        <v>24600000</v>
      </c>
      <c r="G42">
        <v>28.256090459089599</v>
      </c>
    </row>
    <row r="43" spans="1:7">
      <c r="A43" s="250" t="s">
        <v>1355</v>
      </c>
      <c r="B43">
        <v>0.03</v>
      </c>
      <c r="C43" s="247">
        <v>1040000000</v>
      </c>
      <c r="D43" s="26">
        <v>2770000000</v>
      </c>
      <c r="E43" s="26">
        <v>790000000</v>
      </c>
      <c r="F43" s="26">
        <v>1850000</v>
      </c>
      <c r="G43">
        <v>28.490245559545698</v>
      </c>
    </row>
    <row r="44" spans="1:7">
      <c r="A44" s="250" t="s">
        <v>851</v>
      </c>
      <c r="B44">
        <v>0.05</v>
      </c>
      <c r="C44" s="247">
        <v>924000000</v>
      </c>
      <c r="D44" s="26">
        <v>1730000000</v>
      </c>
      <c r="E44" s="26">
        <v>1340000000</v>
      </c>
      <c r="F44" s="282">
        <v>3760000</v>
      </c>
      <c r="G44">
        <v>27.736824225953601</v>
      </c>
    </row>
    <row r="45" spans="1:7">
      <c r="A45" s="250" t="s">
        <v>851</v>
      </c>
      <c r="B45">
        <v>7.0000000000000007E-2</v>
      </c>
      <c r="C45" s="247">
        <v>481000000</v>
      </c>
      <c r="D45" s="26">
        <v>2130000000</v>
      </c>
      <c r="E45" s="26">
        <v>753000000</v>
      </c>
      <c r="G45">
        <v>28.274531689799002</v>
      </c>
    </row>
    <row r="46" spans="1:7">
      <c r="A46" s="250" t="s">
        <v>851</v>
      </c>
      <c r="B46">
        <v>0.09</v>
      </c>
      <c r="C46" s="247">
        <v>957000000</v>
      </c>
      <c r="D46" s="26">
        <v>1650000000</v>
      </c>
      <c r="E46" s="26">
        <v>639000000</v>
      </c>
      <c r="G46">
        <v>28.1287003785305</v>
      </c>
    </row>
    <row r="47" spans="1:7">
      <c r="A47" s="250" t="s">
        <v>851</v>
      </c>
      <c r="B47">
        <v>0.13</v>
      </c>
      <c r="C47" s="247">
        <v>402000000</v>
      </c>
      <c r="D47" s="26">
        <v>749000000</v>
      </c>
      <c r="E47" s="26">
        <v>1120000000</v>
      </c>
      <c r="G47">
        <v>28.064641366592198</v>
      </c>
    </row>
    <row r="48" spans="1:7">
      <c r="A48" s="250" t="s">
        <v>851</v>
      </c>
      <c r="B48">
        <v>0.17</v>
      </c>
      <c r="C48" s="247">
        <v>273000000</v>
      </c>
      <c r="D48" s="26">
        <v>639000000</v>
      </c>
      <c r="E48" s="26">
        <v>741000000</v>
      </c>
      <c r="G48">
        <v>28.912210035911801</v>
      </c>
    </row>
    <row r="49" spans="1:8">
      <c r="A49" s="250" t="s">
        <v>851</v>
      </c>
      <c r="B49">
        <v>0.21</v>
      </c>
      <c r="C49" s="247">
        <v>176000000</v>
      </c>
      <c r="D49" s="26">
        <v>1070000000</v>
      </c>
      <c r="E49" s="26">
        <v>1240000000</v>
      </c>
      <c r="G49">
        <v>27.785353780452301</v>
      </c>
    </row>
    <row r="50" spans="1:8">
      <c r="A50" s="250" t="s">
        <v>851</v>
      </c>
      <c r="B50">
        <v>0.25</v>
      </c>
      <c r="C50" s="247">
        <v>215000000</v>
      </c>
      <c r="D50" s="26">
        <v>329000000</v>
      </c>
      <c r="E50" s="26">
        <v>464000000</v>
      </c>
      <c r="G50">
        <v>27.4174997573522</v>
      </c>
    </row>
    <row r="51" spans="1:8">
      <c r="A51" s="250" t="s">
        <v>851</v>
      </c>
      <c r="B51">
        <v>0.28999999999999998</v>
      </c>
      <c r="C51" s="247">
        <v>212000000</v>
      </c>
      <c r="D51" s="26">
        <v>291000000</v>
      </c>
      <c r="E51" s="26">
        <v>467000000</v>
      </c>
      <c r="G51">
        <v>27.733912452683601</v>
      </c>
    </row>
    <row r="52" spans="1:8">
      <c r="A52" s="250" t="s">
        <v>851</v>
      </c>
      <c r="B52">
        <v>0.35</v>
      </c>
      <c r="C52" s="247">
        <v>154000000</v>
      </c>
      <c r="D52" s="26">
        <v>270000000</v>
      </c>
      <c r="E52" s="26">
        <v>337000000</v>
      </c>
      <c r="G52">
        <v>26.917160050470699</v>
      </c>
      <c r="H52" s="289"/>
    </row>
    <row r="53" spans="1:8">
      <c r="A53" s="250" t="s">
        <v>1065</v>
      </c>
      <c r="B53">
        <v>0.25</v>
      </c>
      <c r="C53" s="247">
        <v>15100000</v>
      </c>
      <c r="D53" s="247">
        <v>402000000</v>
      </c>
      <c r="E53" s="247">
        <v>802000000</v>
      </c>
      <c r="G53">
        <v>26.537269807817701</v>
      </c>
      <c r="H53" s="247"/>
    </row>
    <row r="54" spans="1:8">
      <c r="A54" s="250" t="s">
        <v>1064</v>
      </c>
      <c r="B54">
        <v>0.83</v>
      </c>
      <c r="C54" s="247">
        <v>36800000</v>
      </c>
      <c r="D54" s="247">
        <v>307000000</v>
      </c>
      <c r="E54" s="247">
        <v>852000000</v>
      </c>
      <c r="G54">
        <v>23.5126574338903</v>
      </c>
      <c r="H54" s="247"/>
    </row>
    <row r="55" spans="1:8">
      <c r="A55" s="250" t="s">
        <v>1064</v>
      </c>
      <c r="B55">
        <v>1.34</v>
      </c>
      <c r="C55" s="247">
        <v>36400000</v>
      </c>
      <c r="D55" s="247">
        <v>174000000</v>
      </c>
      <c r="E55" s="247">
        <v>463000000</v>
      </c>
      <c r="G55">
        <v>21.9718751568066</v>
      </c>
      <c r="H55" s="247"/>
    </row>
    <row r="56" spans="1:8">
      <c r="A56" s="250" t="s">
        <v>1064</v>
      </c>
      <c r="B56">
        <v>1.84</v>
      </c>
      <c r="C56" s="247">
        <v>25800000</v>
      </c>
      <c r="D56" s="247">
        <v>53100000</v>
      </c>
      <c r="E56" s="247">
        <v>211000000</v>
      </c>
      <c r="G56">
        <v>20.540982989613099</v>
      </c>
      <c r="H56" s="247"/>
    </row>
    <row r="57" spans="1:8">
      <c r="A57" s="250" t="s">
        <v>1064</v>
      </c>
      <c r="B57">
        <v>2.34</v>
      </c>
      <c r="C57" s="247">
        <v>27000000</v>
      </c>
      <c r="D57" s="247">
        <v>140000000</v>
      </c>
      <c r="E57" s="247">
        <v>462000000</v>
      </c>
      <c r="G57">
        <v>19.220106377640601</v>
      </c>
      <c r="H57" s="247"/>
    </row>
    <row r="58" spans="1:8">
      <c r="A58" s="250" t="s">
        <v>1064</v>
      </c>
      <c r="B58">
        <v>2.84</v>
      </c>
      <c r="C58" s="247">
        <v>15700000</v>
      </c>
      <c r="D58" s="247">
        <v>165000000</v>
      </c>
      <c r="E58" s="247">
        <v>831000000</v>
      </c>
      <c r="G58">
        <v>17.074991218826799</v>
      </c>
      <c r="H58" s="247"/>
    </row>
    <row r="59" spans="1:8">
      <c r="A59" s="250" t="s">
        <v>1064</v>
      </c>
      <c r="B59">
        <v>3.34</v>
      </c>
      <c r="C59" s="247">
        <v>19500000</v>
      </c>
      <c r="D59" s="247">
        <v>132000000</v>
      </c>
      <c r="E59" s="26">
        <v>613000000</v>
      </c>
      <c r="G59">
        <v>15.0946485021827</v>
      </c>
      <c r="H59" s="247"/>
    </row>
    <row r="60" spans="1:8">
      <c r="A60" s="250" t="s">
        <v>1064</v>
      </c>
      <c r="B60">
        <v>3.84</v>
      </c>
      <c r="C60" s="247">
        <v>22000000</v>
      </c>
      <c r="D60" s="247">
        <v>130000000</v>
      </c>
      <c r="E60" s="26">
        <v>642000000</v>
      </c>
      <c r="G60">
        <v>13.773646444879301</v>
      </c>
      <c r="H60" s="247"/>
    </row>
    <row r="61" spans="1:8">
      <c r="A61" s="250" t="s">
        <v>1064</v>
      </c>
      <c r="B61">
        <v>4.54</v>
      </c>
      <c r="C61" s="247">
        <v>8170000</v>
      </c>
      <c r="D61" s="247">
        <v>101000000</v>
      </c>
      <c r="E61" s="26">
        <v>337000000</v>
      </c>
      <c r="F61" s="289"/>
      <c r="G61">
        <v>11.462818003913799</v>
      </c>
      <c r="H61" s="247"/>
    </row>
    <row r="62" spans="1:8">
      <c r="A62" s="250" t="s">
        <v>1064</v>
      </c>
      <c r="B62">
        <v>5.04</v>
      </c>
      <c r="C62" s="247">
        <v>5650000</v>
      </c>
      <c r="D62" s="247">
        <v>56600000</v>
      </c>
      <c r="E62" s="247">
        <v>263000000</v>
      </c>
      <c r="F62" s="26"/>
      <c r="G62">
        <v>9.9220357268302397</v>
      </c>
      <c r="H62" s="247"/>
    </row>
    <row r="63" spans="1:8">
      <c r="A63" s="250" t="s">
        <v>1064</v>
      </c>
      <c r="B63">
        <v>5.54</v>
      </c>
      <c r="C63" s="247">
        <v>1570000</v>
      </c>
      <c r="D63" s="247">
        <v>91100000</v>
      </c>
      <c r="E63" s="247">
        <v>196000000</v>
      </c>
      <c r="F63" s="26"/>
      <c r="G63">
        <v>8.2164182849114304</v>
      </c>
      <c r="H63" s="247"/>
    </row>
    <row r="64" spans="1:8">
      <c r="A64" s="250" t="s">
        <v>1064</v>
      </c>
      <c r="B64">
        <v>6.04</v>
      </c>
      <c r="C64" s="247">
        <v>3140000</v>
      </c>
      <c r="D64" s="247">
        <v>64100000</v>
      </c>
      <c r="E64" s="247">
        <v>341000000</v>
      </c>
      <c r="F64" s="26"/>
      <c r="G64">
        <v>7.1152591700536796</v>
      </c>
      <c r="H64" s="247"/>
    </row>
    <row r="65" spans="1:8">
      <c r="A65" s="250" t="s">
        <v>1064</v>
      </c>
      <c r="B65">
        <v>6.54</v>
      </c>
      <c r="C65" s="247">
        <v>628000</v>
      </c>
      <c r="D65" s="247">
        <v>42000000</v>
      </c>
      <c r="E65" s="247">
        <v>188000000</v>
      </c>
      <c r="F65" s="26"/>
      <c r="G65">
        <v>5.5195318380249798</v>
      </c>
      <c r="H65" s="282"/>
    </row>
    <row r="66" spans="1:8">
      <c r="A66" s="250" t="s">
        <v>1064</v>
      </c>
      <c r="B66">
        <v>7.04</v>
      </c>
      <c r="C66" s="247">
        <v>1260000</v>
      </c>
      <c r="D66" s="247">
        <v>77900000</v>
      </c>
      <c r="E66" s="247">
        <v>92400000</v>
      </c>
      <c r="F66" s="282"/>
      <c r="G66">
        <v>4.2534748356666103</v>
      </c>
      <c r="H66" s="289"/>
    </row>
    <row r="67" spans="1:8">
      <c r="A67" s="250" t="s">
        <v>1064</v>
      </c>
      <c r="B67">
        <v>7.54</v>
      </c>
      <c r="C67" s="247">
        <v>3550000</v>
      </c>
      <c r="D67" s="247">
        <v>191000000</v>
      </c>
      <c r="E67" s="247">
        <v>117000000</v>
      </c>
      <c r="G67">
        <v>3.0972452205328902</v>
      </c>
      <c r="H67" s="247"/>
    </row>
    <row r="68" spans="1:8">
      <c r="A68" s="250" t="s">
        <v>1064</v>
      </c>
      <c r="B68">
        <v>8.0399999999999991</v>
      </c>
      <c r="C68" s="247">
        <v>5320000</v>
      </c>
      <c r="D68" s="247">
        <v>174000000</v>
      </c>
      <c r="E68" s="247">
        <v>147000000</v>
      </c>
      <c r="G68">
        <v>1.9412037733955501</v>
      </c>
      <c r="H68" s="282"/>
    </row>
    <row r="69" spans="1:8">
      <c r="A69" s="250" t="s">
        <v>1064</v>
      </c>
      <c r="B69">
        <v>8.5399999999999991</v>
      </c>
      <c r="C69" s="247">
        <v>1330000</v>
      </c>
      <c r="D69" s="247">
        <v>84300000</v>
      </c>
      <c r="E69" s="247">
        <v>114000000</v>
      </c>
      <c r="F69" s="289"/>
      <c r="G69">
        <v>0.94993476842791802</v>
      </c>
      <c r="H69" s="289"/>
    </row>
    <row r="70" spans="1:8">
      <c r="A70" s="250" t="s">
        <v>1064</v>
      </c>
      <c r="B70">
        <v>9.0399999999999991</v>
      </c>
      <c r="C70" s="247">
        <v>444000</v>
      </c>
      <c r="D70" s="247">
        <v>47700000</v>
      </c>
      <c r="E70" s="247">
        <v>49300000</v>
      </c>
      <c r="F70" s="282"/>
      <c r="G70">
        <v>0.178383260575041</v>
      </c>
      <c r="H70" s="282"/>
    </row>
    <row r="71" spans="1:8">
      <c r="A71" s="250" t="s">
        <v>1356</v>
      </c>
      <c r="B71">
        <v>0.01</v>
      </c>
      <c r="C71" s="247">
        <v>1170000000</v>
      </c>
      <c r="D71" s="26">
        <v>4490000000</v>
      </c>
      <c r="E71" s="26">
        <v>1300000000</v>
      </c>
      <c r="F71" s="282">
        <v>3940000</v>
      </c>
      <c r="G71">
        <v>27.7249344851014</v>
      </c>
    </row>
    <row r="72" spans="1:8">
      <c r="A72" s="250" t="s">
        <v>1356</v>
      </c>
      <c r="B72">
        <v>0.09</v>
      </c>
      <c r="C72" s="247">
        <v>1290000000</v>
      </c>
      <c r="D72" s="26">
        <v>2300000000</v>
      </c>
      <c r="E72" s="26">
        <v>614000000</v>
      </c>
      <c r="F72" s="282">
        <v>2040000</v>
      </c>
      <c r="G72" s="282">
        <v>27.521110356206901</v>
      </c>
    </row>
    <row r="73" spans="1:8">
      <c r="A73" s="250" t="s">
        <v>852</v>
      </c>
      <c r="B73" s="250">
        <v>0.25</v>
      </c>
      <c r="C73" s="247">
        <v>1350000000</v>
      </c>
      <c r="D73" s="289"/>
      <c r="E73" s="289"/>
      <c r="F73" s="250"/>
      <c r="G73">
        <v>27.417742405124699</v>
      </c>
    </row>
    <row r="74" spans="1:8">
      <c r="A74" s="250" t="s">
        <v>852</v>
      </c>
      <c r="B74">
        <v>0.28999999999999998</v>
      </c>
      <c r="C74" s="247">
        <v>1650000000</v>
      </c>
      <c r="D74" s="26">
        <v>3370000000</v>
      </c>
      <c r="E74" s="26">
        <v>616000000</v>
      </c>
      <c r="F74" s="282">
        <v>3440000</v>
      </c>
      <c r="G74">
        <v>27.581772299330201</v>
      </c>
    </row>
    <row r="75" spans="1:8">
      <c r="A75" s="250" t="s">
        <v>852</v>
      </c>
      <c r="B75">
        <v>0.37</v>
      </c>
      <c r="C75" s="247">
        <v>974000000</v>
      </c>
      <c r="D75" s="26">
        <v>1780000000</v>
      </c>
      <c r="E75" s="26">
        <v>421000000</v>
      </c>
      <c r="F75" s="282">
        <v>962000</v>
      </c>
      <c r="G75">
        <v>26.700718237406502</v>
      </c>
    </row>
    <row r="76" spans="1:8">
      <c r="A76" s="250" t="s">
        <v>852</v>
      </c>
      <c r="B76">
        <v>0.39</v>
      </c>
      <c r="C76" s="247">
        <v>469000000</v>
      </c>
      <c r="D76" s="26">
        <v>1190000000</v>
      </c>
      <c r="E76" s="26">
        <v>259000000</v>
      </c>
      <c r="G76">
        <v>26.327283315539098</v>
      </c>
    </row>
    <row r="77" spans="1:8">
      <c r="A77" s="250" t="s">
        <v>852</v>
      </c>
      <c r="B77">
        <v>0.49</v>
      </c>
      <c r="C77" s="247">
        <v>379000000</v>
      </c>
      <c r="D77" s="26">
        <v>416000000</v>
      </c>
      <c r="E77" s="26">
        <v>78000000</v>
      </c>
    </row>
    <row r="78" spans="1:8">
      <c r="A78" s="250" t="s">
        <v>1063</v>
      </c>
      <c r="B78">
        <v>0.25</v>
      </c>
      <c r="C78" s="247">
        <v>1350000000</v>
      </c>
      <c r="D78" s="247">
        <v>88600000</v>
      </c>
      <c r="E78" s="247">
        <v>80900000</v>
      </c>
      <c r="G78">
        <v>28.020786291334201</v>
      </c>
    </row>
    <row r="79" spans="1:8">
      <c r="A79" s="250" t="s">
        <v>1063</v>
      </c>
      <c r="B79">
        <v>0.75</v>
      </c>
      <c r="C79" s="247">
        <v>300000000</v>
      </c>
      <c r="D79" s="247">
        <v>234000000</v>
      </c>
      <c r="E79" s="247">
        <v>43900000</v>
      </c>
      <c r="G79">
        <v>26.260349239801201</v>
      </c>
    </row>
    <row r="80" spans="1:8">
      <c r="A80" s="250" t="s">
        <v>1063</v>
      </c>
      <c r="B80">
        <v>1.07</v>
      </c>
      <c r="C80" s="247">
        <v>241000000</v>
      </c>
      <c r="D80" s="247">
        <v>538000000</v>
      </c>
      <c r="E80" s="247">
        <v>37200000</v>
      </c>
      <c r="G80">
        <v>25.2149505745396</v>
      </c>
    </row>
    <row r="81" spans="1:7">
      <c r="A81" s="250" t="s">
        <v>1063</v>
      </c>
      <c r="B81">
        <v>1.57</v>
      </c>
      <c r="C81" s="247">
        <v>159000000</v>
      </c>
      <c r="D81" s="247">
        <v>103000000</v>
      </c>
      <c r="E81" s="247">
        <v>24700000</v>
      </c>
      <c r="G81">
        <v>23.124655025339901</v>
      </c>
    </row>
    <row r="82" spans="1:7">
      <c r="A82" s="250" t="s">
        <v>1063</v>
      </c>
      <c r="B82">
        <v>2.0699999999999998</v>
      </c>
      <c r="C82" s="247">
        <v>173000000</v>
      </c>
      <c r="D82" s="247">
        <v>245000000</v>
      </c>
      <c r="E82" s="247">
        <v>53900000</v>
      </c>
      <c r="G82">
        <v>21.144312308695799</v>
      </c>
    </row>
    <row r="83" spans="1:7">
      <c r="A83" s="250" t="s">
        <v>1063</v>
      </c>
      <c r="B83">
        <v>2.57</v>
      </c>
      <c r="C83" s="247">
        <v>263000000</v>
      </c>
      <c r="D83" s="247">
        <v>2690000000</v>
      </c>
      <c r="E83" s="247">
        <v>562000000</v>
      </c>
      <c r="G83">
        <v>19.658600531888201</v>
      </c>
    </row>
    <row r="84" spans="1:7">
      <c r="A84" s="250" t="s">
        <v>1063</v>
      </c>
      <c r="B84">
        <v>3.07</v>
      </c>
      <c r="C84" s="247">
        <v>128000000</v>
      </c>
      <c r="D84" s="247">
        <v>1620000000</v>
      </c>
      <c r="E84" s="247">
        <v>94800000</v>
      </c>
      <c r="G84">
        <v>17.952983089969301</v>
      </c>
    </row>
    <row r="85" spans="1:7">
      <c r="A85" s="250" t="s">
        <v>1063</v>
      </c>
      <c r="B85">
        <v>3.57</v>
      </c>
      <c r="C85" s="247">
        <v>156000000</v>
      </c>
      <c r="D85" s="247">
        <v>118000000</v>
      </c>
      <c r="E85" s="247">
        <v>36000000</v>
      </c>
      <c r="G85">
        <v>15.972703095990701</v>
      </c>
    </row>
    <row r="86" spans="1:7">
      <c r="A86" s="250" t="s">
        <v>1063</v>
      </c>
      <c r="B86">
        <v>4.07</v>
      </c>
      <c r="C86" s="247">
        <v>125000000</v>
      </c>
      <c r="D86" s="247">
        <v>127000000</v>
      </c>
      <c r="E86" s="247">
        <v>32300000</v>
      </c>
      <c r="G86">
        <v>13.3878393296201</v>
      </c>
    </row>
    <row r="87" spans="1:7">
      <c r="A87" s="250" t="s">
        <v>1063</v>
      </c>
      <c r="B87">
        <v>4.57</v>
      </c>
      <c r="C87" s="247">
        <v>213000000</v>
      </c>
      <c r="D87" s="289"/>
      <c r="E87" s="289"/>
      <c r="G87">
        <v>10.583508956796599</v>
      </c>
    </row>
    <row r="88" spans="1:7">
      <c r="A88" s="250" t="s">
        <v>1063</v>
      </c>
      <c r="B88">
        <v>5.07</v>
      </c>
      <c r="C88" s="247">
        <v>66000000</v>
      </c>
      <c r="D88" s="247">
        <v>171000000</v>
      </c>
      <c r="E88" s="247">
        <v>79300000</v>
      </c>
      <c r="G88">
        <v>7.8889432485322901</v>
      </c>
    </row>
    <row r="89" spans="1:7">
      <c r="A89" s="250" t="s">
        <v>1063</v>
      </c>
      <c r="B89">
        <v>5.57</v>
      </c>
      <c r="C89" s="247">
        <v>87300000</v>
      </c>
      <c r="D89" s="247">
        <v>60600000</v>
      </c>
      <c r="E89" s="247">
        <v>31600000</v>
      </c>
      <c r="G89">
        <v>4.4249586030407899</v>
      </c>
    </row>
    <row r="90" spans="1:7">
      <c r="A90" s="250" t="s">
        <v>1063</v>
      </c>
      <c r="B90">
        <v>6.07</v>
      </c>
      <c r="C90" s="247">
        <v>45900000</v>
      </c>
      <c r="D90" s="247">
        <v>67100000</v>
      </c>
      <c r="E90" s="247">
        <v>38900000</v>
      </c>
      <c r="G90">
        <v>0.63161724120628304</v>
      </c>
    </row>
    <row r="91" spans="1:7">
      <c r="A91" s="250" t="s">
        <v>1063</v>
      </c>
      <c r="B91">
        <v>6.57</v>
      </c>
      <c r="C91" s="247">
        <v>83600000</v>
      </c>
      <c r="D91" s="247">
        <v>99200000</v>
      </c>
      <c r="E91" s="247">
        <v>55500000</v>
      </c>
      <c r="G91">
        <v>0.13472828541321699</v>
      </c>
    </row>
    <row r="92" spans="1:7">
      <c r="A92" s="250" t="s">
        <v>1063</v>
      </c>
      <c r="B92">
        <v>7.07</v>
      </c>
      <c r="C92" s="247">
        <v>35200000</v>
      </c>
      <c r="D92" s="247">
        <v>36900000</v>
      </c>
      <c r="E92" s="247">
        <v>17200000</v>
      </c>
      <c r="G92">
        <v>0.13247026945656801</v>
      </c>
    </row>
    <row r="93" spans="1:7">
      <c r="A93" s="250" t="s">
        <v>1063</v>
      </c>
      <c r="B93">
        <v>7.57</v>
      </c>
      <c r="C93" s="247">
        <v>45900000</v>
      </c>
      <c r="D93" s="247">
        <v>93000000</v>
      </c>
      <c r="E93" s="247">
        <v>56700000</v>
      </c>
      <c r="G93">
        <v>0.13014953083446301</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8"/>
  <sheetViews>
    <sheetView workbookViewId="0">
      <pane xSplit="2" ySplit="3" topLeftCell="C4" activePane="bottomRight" state="frozenSplit"/>
      <selection pane="topRight" activeCell="C1" sqref="C1"/>
      <selection pane="bottomLeft" activeCell="A4" sqref="A4"/>
      <selection pane="bottomRight" activeCell="C10" sqref="C10"/>
    </sheetView>
  </sheetViews>
  <sheetFormatPr baseColWidth="10" defaultRowHeight="13" x14ac:dyDescent="0"/>
  <cols>
    <col min="1" max="1" width="23.28515625" customWidth="1"/>
    <col min="7" max="9" width="10.7109375" customWidth="1"/>
    <col min="10" max="10" width="19" customWidth="1"/>
    <col min="11" max="15" width="10.7109375" customWidth="1"/>
  </cols>
  <sheetData>
    <row r="2" spans="1:15">
      <c r="A2" s="250" t="s">
        <v>1337</v>
      </c>
    </row>
    <row r="3" spans="1:15">
      <c r="B3" t="s">
        <v>905</v>
      </c>
      <c r="C3" t="s">
        <v>831</v>
      </c>
      <c r="D3" t="s">
        <v>832</v>
      </c>
      <c r="E3" s="250" t="s">
        <v>1422</v>
      </c>
      <c r="F3" s="250" t="s">
        <v>1290</v>
      </c>
      <c r="G3" s="250" t="s">
        <v>1338</v>
      </c>
      <c r="H3" s="250" t="s">
        <v>1263</v>
      </c>
      <c r="I3" s="250" t="s">
        <v>1264</v>
      </c>
      <c r="J3" s="250" t="s">
        <v>1416</v>
      </c>
      <c r="K3" s="250" t="s">
        <v>1417</v>
      </c>
      <c r="L3" s="250" t="s">
        <v>1418</v>
      </c>
      <c r="M3" s="250" t="s">
        <v>1419</v>
      </c>
      <c r="N3" s="250" t="s">
        <v>1420</v>
      </c>
      <c r="O3" s="250" t="s">
        <v>1421</v>
      </c>
    </row>
    <row r="4" spans="1:15">
      <c r="A4" t="s">
        <v>863</v>
      </c>
      <c r="B4">
        <v>0</v>
      </c>
      <c r="C4" s="26">
        <v>6150000000</v>
      </c>
      <c r="D4" s="26">
        <v>7770000000</v>
      </c>
      <c r="E4" s="26">
        <v>187000000</v>
      </c>
      <c r="F4" s="26">
        <v>93600000</v>
      </c>
      <c r="G4" s="26">
        <v>911000000</v>
      </c>
      <c r="H4" s="26">
        <v>147000000</v>
      </c>
      <c r="I4" s="26">
        <v>53700000</v>
      </c>
      <c r="J4" s="26">
        <v>64400000</v>
      </c>
      <c r="K4" s="26">
        <v>851000000</v>
      </c>
      <c r="L4" s="26">
        <v>2670000</v>
      </c>
      <c r="M4" s="26">
        <v>96000000</v>
      </c>
      <c r="N4" s="26">
        <v>99200000</v>
      </c>
      <c r="O4" s="26">
        <v>545000</v>
      </c>
    </row>
    <row r="5" spans="1:15">
      <c r="B5">
        <v>0.02</v>
      </c>
      <c r="C5" s="26">
        <v>3750000000</v>
      </c>
      <c r="E5" s="26">
        <v>102000000</v>
      </c>
      <c r="F5" s="26">
        <v>39300000</v>
      </c>
      <c r="G5" s="26">
        <v>502000000</v>
      </c>
      <c r="H5" s="26">
        <v>148000000</v>
      </c>
      <c r="I5" s="26">
        <v>12200000</v>
      </c>
      <c r="J5" s="26">
        <v>107000000</v>
      </c>
      <c r="K5" s="26">
        <v>667000000</v>
      </c>
      <c r="L5" s="26">
        <v>1870000</v>
      </c>
      <c r="M5" s="26">
        <v>47600000</v>
      </c>
      <c r="N5" s="26">
        <v>29100000</v>
      </c>
      <c r="O5" s="26">
        <v>623000</v>
      </c>
    </row>
    <row r="6" spans="1:15">
      <c r="B6">
        <v>0.05</v>
      </c>
      <c r="C6" s="26">
        <v>4390000000</v>
      </c>
      <c r="E6" s="26">
        <v>64700000</v>
      </c>
      <c r="F6" s="26">
        <v>20800000</v>
      </c>
      <c r="G6" s="26">
        <v>639000000</v>
      </c>
      <c r="H6" s="26">
        <v>158000000</v>
      </c>
      <c r="I6" s="26">
        <v>15800000</v>
      </c>
      <c r="J6" s="26">
        <v>135000000</v>
      </c>
      <c r="K6" s="26">
        <v>531000000</v>
      </c>
      <c r="L6" s="26">
        <v>5550000</v>
      </c>
      <c r="M6" s="26">
        <v>41300000</v>
      </c>
      <c r="N6" s="26">
        <v>9860000</v>
      </c>
      <c r="O6">
        <v>55900</v>
      </c>
    </row>
    <row r="7" spans="1:15">
      <c r="B7">
        <v>0.1</v>
      </c>
      <c r="C7" s="26">
        <v>3160000000</v>
      </c>
      <c r="E7" s="26">
        <v>35300000</v>
      </c>
      <c r="F7" s="26">
        <v>9820000</v>
      </c>
      <c r="G7" s="26">
        <v>501000000</v>
      </c>
      <c r="H7" s="26">
        <v>160000000</v>
      </c>
      <c r="I7" s="26">
        <v>15300000</v>
      </c>
      <c r="J7" s="26">
        <v>237000000</v>
      </c>
      <c r="K7" s="26">
        <v>722000000</v>
      </c>
      <c r="L7" s="26">
        <v>3380000</v>
      </c>
      <c r="M7" s="26">
        <v>30500000</v>
      </c>
      <c r="N7" s="26">
        <v>13700000</v>
      </c>
      <c r="O7">
        <v>16700</v>
      </c>
    </row>
    <row r="8" spans="1:15">
      <c r="B8">
        <v>0.14000000000000001</v>
      </c>
      <c r="C8" s="26">
        <v>2360000000</v>
      </c>
      <c r="D8" s="26">
        <v>207000000</v>
      </c>
      <c r="E8" s="26">
        <v>62800000</v>
      </c>
      <c r="F8" s="26">
        <v>31400000</v>
      </c>
      <c r="G8" s="26">
        <v>193000000</v>
      </c>
      <c r="H8" s="26">
        <v>251000000</v>
      </c>
      <c r="I8" s="26">
        <v>17300000</v>
      </c>
      <c r="J8" s="26">
        <v>402000000</v>
      </c>
      <c r="K8" s="26">
        <v>625000000</v>
      </c>
      <c r="L8" s="123"/>
      <c r="M8" s="26">
        <v>5140000</v>
      </c>
      <c r="N8" s="26">
        <v>9630000</v>
      </c>
    </row>
    <row r="9" spans="1:15">
      <c r="B9">
        <v>0.15</v>
      </c>
      <c r="C9" s="26">
        <v>2550000000</v>
      </c>
      <c r="D9" s="124">
        <v>762000000</v>
      </c>
      <c r="E9" s="26">
        <v>109000000</v>
      </c>
      <c r="F9" s="26">
        <v>23100000</v>
      </c>
      <c r="G9" s="26">
        <v>426000000</v>
      </c>
      <c r="H9" s="26">
        <v>165000000</v>
      </c>
      <c r="I9" s="26">
        <v>33700000</v>
      </c>
      <c r="J9" s="26">
        <v>305000000</v>
      </c>
      <c r="K9" s="26">
        <v>790000000</v>
      </c>
      <c r="L9" s="26">
        <v>2270000</v>
      </c>
      <c r="M9" s="26">
        <v>10300000</v>
      </c>
      <c r="N9" s="26">
        <v>10100000</v>
      </c>
      <c r="O9">
        <v>22500</v>
      </c>
    </row>
    <row r="10" spans="1:15">
      <c r="B10">
        <v>0.2</v>
      </c>
      <c r="C10" s="26">
        <v>2560000000</v>
      </c>
      <c r="D10" s="123"/>
      <c r="E10" s="26">
        <v>91600000</v>
      </c>
      <c r="F10" s="26">
        <v>23600000</v>
      </c>
      <c r="G10" s="26">
        <v>363000000</v>
      </c>
      <c r="H10" s="26">
        <v>97500000</v>
      </c>
      <c r="I10" s="26">
        <v>27600000</v>
      </c>
      <c r="J10" s="26">
        <v>465000000</v>
      </c>
      <c r="K10" s="26">
        <v>628000000</v>
      </c>
      <c r="L10" s="26">
        <v>4790000</v>
      </c>
      <c r="M10" s="26">
        <v>10000000</v>
      </c>
      <c r="N10" s="26">
        <v>5830000</v>
      </c>
    </row>
    <row r="11" spans="1:15">
      <c r="B11">
        <v>0.25</v>
      </c>
      <c r="C11" s="26">
        <v>3590000000</v>
      </c>
      <c r="D11" s="124">
        <v>402000000</v>
      </c>
      <c r="E11" s="124">
        <v>78500000</v>
      </c>
      <c r="F11" s="124">
        <v>31400000</v>
      </c>
      <c r="G11" s="26">
        <v>320000000</v>
      </c>
      <c r="H11" s="26">
        <v>115000000</v>
      </c>
      <c r="I11" s="26">
        <v>16800000</v>
      </c>
      <c r="J11" s="26">
        <v>537000000</v>
      </c>
      <c r="K11" s="26">
        <v>856000000</v>
      </c>
      <c r="L11" s="26">
        <v>2830000</v>
      </c>
      <c r="M11" s="124">
        <v>5080000</v>
      </c>
      <c r="N11" s="26">
        <v>3630000</v>
      </c>
      <c r="O11">
        <v>18200</v>
      </c>
    </row>
    <row r="12" spans="1:15">
      <c r="B12">
        <v>0.3</v>
      </c>
      <c r="C12" s="26">
        <v>3110000000</v>
      </c>
      <c r="D12" s="123"/>
      <c r="E12" s="123"/>
      <c r="F12" s="123"/>
      <c r="G12" s="26">
        <v>322000000</v>
      </c>
      <c r="H12" s="26">
        <v>74500000</v>
      </c>
      <c r="I12" s="26">
        <v>16400000</v>
      </c>
      <c r="J12" s="26">
        <v>402000000</v>
      </c>
      <c r="K12" s="26">
        <v>531000000</v>
      </c>
      <c r="L12" s="26">
        <v>6170000</v>
      </c>
      <c r="N12" s="26">
        <v>5500000</v>
      </c>
    </row>
    <row r="13" spans="1:15">
      <c r="B13">
        <v>0.33</v>
      </c>
      <c r="C13" s="26">
        <v>1050000000</v>
      </c>
      <c r="D13" s="26">
        <v>106000000</v>
      </c>
      <c r="E13" s="26">
        <v>23600000</v>
      </c>
      <c r="F13" s="123"/>
      <c r="G13" s="26">
        <v>46500000</v>
      </c>
      <c r="H13" s="26">
        <v>36300000</v>
      </c>
      <c r="I13" s="26">
        <v>10800000</v>
      </c>
      <c r="J13" s="26">
        <v>2230000</v>
      </c>
      <c r="K13" s="26">
        <v>103000000</v>
      </c>
      <c r="M13" s="26">
        <v>9580000</v>
      </c>
      <c r="N13" s="26">
        <v>2190000</v>
      </c>
    </row>
    <row r="14" spans="1:15">
      <c r="B14">
        <v>0.35</v>
      </c>
      <c r="C14" s="26">
        <v>2670000000</v>
      </c>
      <c r="D14" s="26">
        <v>246000000</v>
      </c>
      <c r="E14" s="26">
        <v>118000000</v>
      </c>
      <c r="F14" s="124">
        <v>39300000</v>
      </c>
      <c r="G14" s="26">
        <v>204000000</v>
      </c>
      <c r="H14" s="26">
        <v>79900000</v>
      </c>
      <c r="I14" s="26">
        <v>35400000</v>
      </c>
      <c r="J14" s="26">
        <v>144000000</v>
      </c>
      <c r="K14" s="26">
        <v>481000000</v>
      </c>
      <c r="L14" s="124">
        <v>4390000</v>
      </c>
      <c r="M14" s="123"/>
      <c r="N14" s="26">
        <v>5500000</v>
      </c>
      <c r="O14">
        <v>28100</v>
      </c>
    </row>
    <row r="15" spans="1:15">
      <c r="B15">
        <v>1.1599999999999999</v>
      </c>
      <c r="C15" s="26">
        <v>216000000</v>
      </c>
      <c r="G15" s="26">
        <v>63700000</v>
      </c>
      <c r="H15" s="26">
        <v>36500000</v>
      </c>
      <c r="I15" s="26">
        <v>3280000</v>
      </c>
      <c r="J15" s="26">
        <v>56600000</v>
      </c>
      <c r="K15" s="26">
        <v>135000000</v>
      </c>
      <c r="L15" s="26">
        <v>290000</v>
      </c>
      <c r="M15" s="26">
        <v>5220000</v>
      </c>
      <c r="N15" s="26">
        <v>4650000</v>
      </c>
      <c r="O15">
        <v>1680</v>
      </c>
    </row>
    <row r="16" spans="1:15">
      <c r="B16">
        <v>1.89</v>
      </c>
      <c r="C16" s="26">
        <v>27200000</v>
      </c>
      <c r="D16" s="26">
        <v>24200000</v>
      </c>
      <c r="E16" s="26">
        <v>3140000</v>
      </c>
      <c r="G16" s="26">
        <v>4210000</v>
      </c>
      <c r="H16" s="26">
        <v>966000</v>
      </c>
      <c r="K16" s="26">
        <v>10400000</v>
      </c>
      <c r="M16" s="26">
        <v>795000</v>
      </c>
      <c r="N16" s="26">
        <v>569000</v>
      </c>
    </row>
    <row r="17" spans="1:15">
      <c r="B17">
        <v>2.16</v>
      </c>
      <c r="C17" s="26">
        <v>37200000</v>
      </c>
      <c r="G17" s="26">
        <v>395000</v>
      </c>
      <c r="H17" s="26">
        <v>566000</v>
      </c>
      <c r="J17" s="26">
        <v>3310000</v>
      </c>
      <c r="K17" s="26">
        <v>10000000</v>
      </c>
      <c r="M17" s="26">
        <v>701000</v>
      </c>
      <c r="N17" s="26">
        <v>157000</v>
      </c>
    </row>
    <row r="18" spans="1:15">
      <c r="B18">
        <v>2.79</v>
      </c>
      <c r="C18" s="26">
        <v>62700000</v>
      </c>
      <c r="D18" s="26">
        <v>18100000</v>
      </c>
      <c r="G18" s="26">
        <v>408000</v>
      </c>
      <c r="H18" s="26">
        <v>246000</v>
      </c>
      <c r="J18" s="26">
        <v>2660000</v>
      </c>
      <c r="K18" s="26">
        <v>2350000</v>
      </c>
      <c r="N18">
        <v>51900</v>
      </c>
    </row>
    <row r="19" spans="1:15">
      <c r="B19">
        <v>4.5</v>
      </c>
      <c r="C19" s="26">
        <v>66800000</v>
      </c>
      <c r="G19" s="26">
        <v>931000</v>
      </c>
      <c r="H19" s="26">
        <v>153000</v>
      </c>
      <c r="K19" s="26">
        <v>731000</v>
      </c>
      <c r="N19">
        <v>4390</v>
      </c>
    </row>
    <row r="20" spans="1:15">
      <c r="B20">
        <v>6.21</v>
      </c>
      <c r="C20" s="26">
        <v>101000000</v>
      </c>
      <c r="D20" s="26">
        <v>17300000</v>
      </c>
      <c r="G20" s="26">
        <v>849000</v>
      </c>
      <c r="H20" s="26">
        <v>165000</v>
      </c>
      <c r="K20" s="26">
        <v>2380000</v>
      </c>
      <c r="N20">
        <v>4320</v>
      </c>
    </row>
    <row r="21" spans="1:15">
      <c r="B21">
        <v>7.5</v>
      </c>
      <c r="C21" s="26">
        <v>47900000</v>
      </c>
      <c r="K21" s="26">
        <v>353000</v>
      </c>
    </row>
    <row r="22" spans="1:15">
      <c r="B22">
        <v>8.7650000000000006</v>
      </c>
      <c r="C22" s="26">
        <v>3930000</v>
      </c>
      <c r="D22" s="26">
        <v>16400000</v>
      </c>
      <c r="K22" s="26">
        <v>781000</v>
      </c>
    </row>
    <row r="25" spans="1:15">
      <c r="A25" t="s">
        <v>858</v>
      </c>
      <c r="B25">
        <v>0</v>
      </c>
      <c r="C25" s="26">
        <v>6630000000</v>
      </c>
      <c r="D25" s="26">
        <v>514000000</v>
      </c>
      <c r="E25" s="26">
        <v>228000000</v>
      </c>
      <c r="F25" s="26">
        <v>23600000</v>
      </c>
      <c r="G25" s="26">
        <v>586000000</v>
      </c>
      <c r="H25" s="26">
        <v>153000000</v>
      </c>
      <c r="I25" s="26">
        <v>119000000</v>
      </c>
      <c r="L25" s="26">
        <v>2290000</v>
      </c>
      <c r="O25" s="26">
        <v>127000</v>
      </c>
    </row>
    <row r="26" spans="1:15">
      <c r="B26">
        <v>0.03</v>
      </c>
      <c r="C26" s="26">
        <v>3540000000</v>
      </c>
      <c r="E26" s="26">
        <v>118000000</v>
      </c>
      <c r="F26" s="26">
        <v>19600000</v>
      </c>
      <c r="G26" s="26">
        <v>1157400000</v>
      </c>
      <c r="H26" s="26">
        <v>205000000</v>
      </c>
      <c r="I26" s="26">
        <v>23400000</v>
      </c>
      <c r="J26" s="26">
        <v>56300000</v>
      </c>
      <c r="K26" s="26">
        <v>298280000</v>
      </c>
      <c r="L26" s="26">
        <v>645000</v>
      </c>
      <c r="M26" s="26">
        <v>45300000</v>
      </c>
      <c r="N26" s="26">
        <v>87100000</v>
      </c>
      <c r="O26" s="26">
        <v>339000</v>
      </c>
    </row>
    <row r="27" spans="1:15">
      <c r="B27">
        <v>0.06</v>
      </c>
      <c r="C27" s="26">
        <v>3410000000</v>
      </c>
      <c r="E27" s="26">
        <v>39300000</v>
      </c>
      <c r="F27" s="26">
        <v>7850000</v>
      </c>
      <c r="G27" s="26">
        <v>852580000</v>
      </c>
      <c r="H27" s="26">
        <v>104000000</v>
      </c>
      <c r="I27" s="26">
        <v>17700000</v>
      </c>
      <c r="J27" s="26">
        <v>72100000</v>
      </c>
      <c r="K27" s="26">
        <v>161210000</v>
      </c>
      <c r="L27" s="26">
        <v>348000</v>
      </c>
      <c r="M27" s="26">
        <v>12000000</v>
      </c>
      <c r="N27" s="26">
        <v>22200000</v>
      </c>
      <c r="O27" s="26">
        <v>101000</v>
      </c>
    </row>
    <row r="28" spans="1:15">
      <c r="B28">
        <v>0.09</v>
      </c>
      <c r="C28" s="26">
        <v>3790000000</v>
      </c>
      <c r="D28" s="26">
        <v>349000000</v>
      </c>
      <c r="E28" s="26">
        <v>47100000</v>
      </c>
      <c r="G28" s="26">
        <v>1107200000</v>
      </c>
      <c r="H28" s="26">
        <v>130000000</v>
      </c>
      <c r="I28" s="26">
        <v>25400000</v>
      </c>
      <c r="J28" s="26">
        <v>77600000</v>
      </c>
      <c r="K28" s="26">
        <v>159080000</v>
      </c>
      <c r="L28" s="26">
        <v>1400000</v>
      </c>
      <c r="M28" s="26">
        <v>10700000</v>
      </c>
      <c r="N28" s="26">
        <v>26600000</v>
      </c>
    </row>
    <row r="29" spans="1:15">
      <c r="B29">
        <v>9.7500000000000003E-2</v>
      </c>
      <c r="C29" s="26">
        <v>1900000000</v>
      </c>
      <c r="D29" s="26">
        <v>139000000</v>
      </c>
      <c r="E29" s="26">
        <v>42600000</v>
      </c>
      <c r="G29" s="26">
        <v>177820000</v>
      </c>
      <c r="H29" s="26">
        <v>62300000</v>
      </c>
      <c r="I29" s="26">
        <v>22600000</v>
      </c>
      <c r="J29" s="26">
        <v>58800000</v>
      </c>
      <c r="K29" s="26">
        <v>58960000</v>
      </c>
      <c r="L29" s="123"/>
      <c r="M29" s="26">
        <v>1670000</v>
      </c>
      <c r="N29" s="26">
        <v>4960000</v>
      </c>
    </row>
    <row r="30" spans="1:15">
      <c r="B30">
        <v>0.15</v>
      </c>
      <c r="C30" s="26">
        <v>3450000000</v>
      </c>
      <c r="D30" s="124">
        <v>635000000</v>
      </c>
      <c r="E30" s="124">
        <v>14400000</v>
      </c>
      <c r="G30" s="26">
        <v>549180000</v>
      </c>
      <c r="H30" s="26">
        <v>91600000</v>
      </c>
      <c r="I30" s="26">
        <v>28700000</v>
      </c>
      <c r="J30" s="26">
        <v>85400000</v>
      </c>
      <c r="K30" s="26">
        <v>149830000</v>
      </c>
      <c r="L30" s="26">
        <v>895000</v>
      </c>
      <c r="M30" s="26">
        <v>8100000</v>
      </c>
      <c r="N30" s="26">
        <v>10400000</v>
      </c>
      <c r="O30">
        <v>33400</v>
      </c>
    </row>
    <row r="31" spans="1:15">
      <c r="B31">
        <v>0.1575</v>
      </c>
      <c r="C31" s="26">
        <v>1700000000</v>
      </c>
      <c r="D31" s="124">
        <v>165000000</v>
      </c>
      <c r="E31" s="26">
        <v>14700000</v>
      </c>
      <c r="F31" s="26">
        <v>1960000</v>
      </c>
      <c r="G31" s="26">
        <v>74961000</v>
      </c>
      <c r="H31" s="26">
        <v>32400000</v>
      </c>
      <c r="I31" s="26">
        <v>21800000</v>
      </c>
      <c r="J31" s="26">
        <v>49300000</v>
      </c>
      <c r="K31" s="26">
        <v>29322000</v>
      </c>
      <c r="L31" s="123"/>
      <c r="M31" s="26">
        <v>1270000</v>
      </c>
      <c r="N31" s="26">
        <v>1650000</v>
      </c>
    </row>
    <row r="32" spans="1:15">
      <c r="B32">
        <v>0.2</v>
      </c>
      <c r="C32" s="26">
        <v>2040000000</v>
      </c>
      <c r="D32" s="123"/>
      <c r="E32" s="123"/>
      <c r="G32" s="26">
        <v>364040000</v>
      </c>
      <c r="H32" s="26">
        <v>65800000</v>
      </c>
      <c r="I32" s="26">
        <v>38700000</v>
      </c>
      <c r="J32" s="26">
        <v>101000000</v>
      </c>
      <c r="K32" s="124">
        <v>86361000</v>
      </c>
      <c r="L32" s="124">
        <v>5110000</v>
      </c>
      <c r="M32" s="124">
        <v>3110000</v>
      </c>
      <c r="N32" s="124">
        <v>4870000</v>
      </c>
      <c r="O32">
        <v>2180</v>
      </c>
    </row>
    <row r="33" spans="1:15">
      <c r="B33">
        <v>0.25</v>
      </c>
      <c r="C33" s="26">
        <v>2500000000</v>
      </c>
      <c r="D33" s="123"/>
      <c r="E33" s="26">
        <v>52400000</v>
      </c>
      <c r="F33" s="124">
        <v>2620000</v>
      </c>
      <c r="G33" s="26">
        <v>434080000</v>
      </c>
      <c r="H33" s="26">
        <v>150000000</v>
      </c>
      <c r="I33" s="26">
        <v>11200000</v>
      </c>
      <c r="J33" s="26">
        <v>171000000</v>
      </c>
      <c r="K33" s="26">
        <v>98057000</v>
      </c>
      <c r="L33" s="124">
        <v>5460000</v>
      </c>
      <c r="M33" s="26">
        <v>2340000</v>
      </c>
      <c r="N33" s="26">
        <v>4210000</v>
      </c>
      <c r="O33">
        <v>18000</v>
      </c>
    </row>
    <row r="34" spans="1:15">
      <c r="B34">
        <v>0.37</v>
      </c>
      <c r="C34" s="26">
        <v>1430000000</v>
      </c>
      <c r="D34" s="26">
        <v>229000000</v>
      </c>
      <c r="E34" s="26">
        <v>56900000</v>
      </c>
      <c r="F34" s="123"/>
      <c r="G34" s="26">
        <v>100000000</v>
      </c>
      <c r="H34" s="26">
        <v>60900000</v>
      </c>
      <c r="I34" s="26">
        <v>39000000</v>
      </c>
      <c r="J34" s="26">
        <v>60100000</v>
      </c>
      <c r="K34" s="123"/>
      <c r="M34" s="123"/>
      <c r="N34" s="123"/>
    </row>
    <row r="35" spans="1:15">
      <c r="B35">
        <v>0.65249999999999997</v>
      </c>
      <c r="C35" s="26">
        <v>65200000</v>
      </c>
      <c r="G35" s="26">
        <v>2638000</v>
      </c>
      <c r="H35" s="26">
        <v>3720000</v>
      </c>
      <c r="I35" s="26">
        <v>603000</v>
      </c>
      <c r="K35" s="26">
        <v>2163300</v>
      </c>
      <c r="M35">
        <v>8330</v>
      </c>
      <c r="N35">
        <v>26300</v>
      </c>
    </row>
    <row r="36" spans="1:15">
      <c r="B36">
        <v>1.1924999999999999</v>
      </c>
      <c r="C36" s="26">
        <v>54300000</v>
      </c>
      <c r="D36" s="26">
        <v>63800000</v>
      </c>
      <c r="E36" s="26">
        <v>1370000</v>
      </c>
      <c r="G36" s="26">
        <v>2845500</v>
      </c>
      <c r="H36" s="26">
        <v>2320000</v>
      </c>
      <c r="I36" s="26">
        <v>589000</v>
      </c>
      <c r="K36" s="26">
        <v>7860400</v>
      </c>
      <c r="M36">
        <v>3300</v>
      </c>
      <c r="N36" s="26">
        <v>107000</v>
      </c>
      <c r="O36" s="26">
        <v>619000</v>
      </c>
    </row>
    <row r="37" spans="1:15">
      <c r="B37">
        <v>1.7175</v>
      </c>
      <c r="C37" s="26">
        <v>21600000</v>
      </c>
      <c r="G37" s="26">
        <v>1009100</v>
      </c>
      <c r="H37" s="26">
        <v>713000</v>
      </c>
      <c r="I37" s="26">
        <v>362000</v>
      </c>
      <c r="K37" s="26">
        <v>243700</v>
      </c>
      <c r="M37">
        <v>5840</v>
      </c>
      <c r="N37">
        <v>34600</v>
      </c>
    </row>
    <row r="38" spans="1:15">
      <c r="B38">
        <v>2.5375000000000001</v>
      </c>
      <c r="C38" s="26">
        <v>93700000</v>
      </c>
      <c r="D38" s="26">
        <v>27700000</v>
      </c>
      <c r="E38" s="26">
        <v>393000</v>
      </c>
      <c r="G38" s="26">
        <v>4615500</v>
      </c>
      <c r="H38" s="26">
        <v>1500000</v>
      </c>
      <c r="I38" s="26">
        <v>205000</v>
      </c>
      <c r="J38" s="26">
        <v>10500000</v>
      </c>
      <c r="K38" s="26">
        <v>5369300</v>
      </c>
      <c r="M38">
        <v>6960</v>
      </c>
      <c r="N38">
        <v>65100</v>
      </c>
    </row>
    <row r="39" spans="1:15">
      <c r="B39">
        <v>2.7250000000000001</v>
      </c>
      <c r="G39" s="26">
        <v>2806700</v>
      </c>
      <c r="H39" s="26">
        <v>2510000</v>
      </c>
      <c r="I39" s="26">
        <v>201000</v>
      </c>
      <c r="J39" s="26">
        <v>9760000</v>
      </c>
      <c r="K39" s="26">
        <v>5057700</v>
      </c>
      <c r="M39">
        <v>59500</v>
      </c>
      <c r="N39" s="26">
        <v>420000</v>
      </c>
    </row>
    <row r="40" spans="1:15">
      <c r="B40">
        <v>2.8624999999999998</v>
      </c>
      <c r="C40" s="26">
        <v>18900000</v>
      </c>
      <c r="G40" s="26">
        <v>915130</v>
      </c>
      <c r="H40">
        <v>98700</v>
      </c>
      <c r="I40" s="26">
        <v>305000</v>
      </c>
      <c r="J40" s="26">
        <v>4160000</v>
      </c>
      <c r="K40" s="26">
        <v>404470</v>
      </c>
      <c r="M40">
        <v>3140</v>
      </c>
      <c r="N40">
        <v>17900</v>
      </c>
    </row>
    <row r="41" spans="1:15">
      <c r="B41">
        <v>3.1825000000000001</v>
      </c>
      <c r="C41" s="26">
        <v>18300000</v>
      </c>
      <c r="D41" s="26">
        <v>15300000</v>
      </c>
      <c r="G41" s="26">
        <v>373060</v>
      </c>
      <c r="I41" s="26">
        <v>362000</v>
      </c>
      <c r="J41" s="26">
        <v>7320000</v>
      </c>
      <c r="K41">
        <v>98045</v>
      </c>
      <c r="M41">
        <v>1440</v>
      </c>
      <c r="N41">
        <v>5050</v>
      </c>
    </row>
    <row r="42" spans="1:15">
      <c r="B42">
        <v>4.5225</v>
      </c>
      <c r="C42" s="26">
        <v>17200000</v>
      </c>
      <c r="G42" s="26">
        <v>562670</v>
      </c>
      <c r="I42" s="26">
        <v>398000</v>
      </c>
      <c r="J42" s="26">
        <v>6730000</v>
      </c>
      <c r="K42" s="26">
        <v>147640</v>
      </c>
      <c r="M42">
        <v>3160</v>
      </c>
      <c r="N42">
        <v>8710</v>
      </c>
      <c r="O42" s="26">
        <v>228000</v>
      </c>
    </row>
    <row r="43" spans="1:15">
      <c r="B43">
        <v>4.9725000000000001</v>
      </c>
      <c r="C43" s="26">
        <v>62700000</v>
      </c>
      <c r="G43" s="26">
        <v>1935000</v>
      </c>
      <c r="H43" s="26">
        <v>437000</v>
      </c>
      <c r="K43" s="26">
        <v>1892500</v>
      </c>
      <c r="L43" s="26">
        <v>108000</v>
      </c>
      <c r="M43">
        <v>1170</v>
      </c>
      <c r="N43">
        <v>3800</v>
      </c>
    </row>
    <row r="44" spans="1:15">
      <c r="B44">
        <v>5.5250000000000004</v>
      </c>
      <c r="G44" s="26">
        <v>179520</v>
      </c>
      <c r="H44" s="26">
        <v>503000</v>
      </c>
      <c r="I44" s="26">
        <v>282000</v>
      </c>
      <c r="K44" s="26">
        <v>614670</v>
      </c>
      <c r="M44">
        <v>528</v>
      </c>
      <c r="N44">
        <v>696</v>
      </c>
    </row>
    <row r="45" spans="1:15">
      <c r="B45">
        <v>5.7949999999999999</v>
      </c>
      <c r="C45" s="26">
        <v>46000000</v>
      </c>
      <c r="D45" s="26">
        <v>21500000</v>
      </c>
      <c r="G45" s="26">
        <v>285400</v>
      </c>
      <c r="H45" s="26">
        <v>2100000</v>
      </c>
      <c r="I45" s="26">
        <v>235000</v>
      </c>
      <c r="K45" s="26">
        <v>1518600</v>
      </c>
      <c r="L45">
        <v>79400</v>
      </c>
      <c r="M45">
        <v>332</v>
      </c>
      <c r="N45">
        <v>1070</v>
      </c>
    </row>
    <row r="48" spans="1:15">
      <c r="A48" t="s">
        <v>1112</v>
      </c>
      <c r="B48">
        <v>3.5000000000000003E-2</v>
      </c>
      <c r="C48" s="26">
        <v>748000000</v>
      </c>
      <c r="D48" s="26">
        <v>204000000</v>
      </c>
      <c r="E48" s="26">
        <v>2360000</v>
      </c>
      <c r="G48" s="26">
        <v>134000000</v>
      </c>
      <c r="H48" s="26">
        <v>82500000</v>
      </c>
      <c r="I48" s="26">
        <v>12900000</v>
      </c>
      <c r="J48" s="26">
        <v>268000000</v>
      </c>
      <c r="K48" s="26">
        <v>225000000</v>
      </c>
      <c r="L48" s="26">
        <v>537000</v>
      </c>
      <c r="M48" s="26">
        <v>7880000</v>
      </c>
      <c r="N48" s="26">
        <v>3120000</v>
      </c>
      <c r="O48">
        <v>90300</v>
      </c>
    </row>
    <row r="49" spans="2:15">
      <c r="B49">
        <v>0.115</v>
      </c>
      <c r="C49" s="26">
        <v>666000000</v>
      </c>
      <c r="E49" s="26">
        <v>1180000</v>
      </c>
      <c r="F49" s="26">
        <v>393000</v>
      </c>
      <c r="G49" s="26">
        <v>109000000</v>
      </c>
      <c r="H49" s="26">
        <v>33800000</v>
      </c>
      <c r="I49" s="26">
        <v>4050000</v>
      </c>
      <c r="J49" s="26">
        <v>164000000</v>
      </c>
      <c r="K49" s="26">
        <v>265000000</v>
      </c>
      <c r="L49" s="26">
        <v>734000</v>
      </c>
      <c r="M49" s="26">
        <v>3300000</v>
      </c>
      <c r="N49" s="26">
        <v>3400000</v>
      </c>
      <c r="O49">
        <v>90700</v>
      </c>
    </row>
    <row r="50" spans="2:15">
      <c r="B50">
        <v>0.19500000000000001</v>
      </c>
      <c r="C50" s="26">
        <v>652000000</v>
      </c>
      <c r="D50" s="26">
        <v>69000000</v>
      </c>
      <c r="E50" s="26">
        <v>9030000</v>
      </c>
      <c r="F50" s="26">
        <v>6280000</v>
      </c>
      <c r="G50" s="26">
        <v>10000000</v>
      </c>
      <c r="H50" s="26">
        <v>29300000</v>
      </c>
      <c r="I50" s="26">
        <v>7670000</v>
      </c>
      <c r="J50" s="26">
        <v>90400000</v>
      </c>
      <c r="K50" s="26">
        <v>213000000</v>
      </c>
      <c r="M50" s="26">
        <v>2270000</v>
      </c>
      <c r="N50" s="26">
        <v>3100000</v>
      </c>
      <c r="O50">
        <v>46200</v>
      </c>
    </row>
    <row r="51" spans="2:15">
      <c r="B51">
        <v>0.27500000000000002</v>
      </c>
      <c r="C51" s="26">
        <v>915000000</v>
      </c>
      <c r="E51" s="26">
        <v>1770000</v>
      </c>
      <c r="F51" s="26">
        <v>5500000</v>
      </c>
      <c r="G51" s="26">
        <v>134000000</v>
      </c>
      <c r="H51" s="26">
        <v>38200000</v>
      </c>
      <c r="I51" s="26">
        <v>17900000</v>
      </c>
      <c r="J51" s="26">
        <v>116000000</v>
      </c>
      <c r="K51" s="26">
        <v>310000000</v>
      </c>
      <c r="L51" s="26">
        <v>137000</v>
      </c>
      <c r="M51" s="26">
        <v>1940000</v>
      </c>
      <c r="N51" s="26">
        <v>3910000</v>
      </c>
      <c r="O51">
        <v>38600</v>
      </c>
    </row>
    <row r="52" spans="2:15">
      <c r="B52">
        <v>0.44500000000000001</v>
      </c>
      <c r="C52" s="26">
        <v>881000000</v>
      </c>
      <c r="E52" s="26">
        <v>3530000</v>
      </c>
      <c r="F52" s="26">
        <v>4710000</v>
      </c>
      <c r="G52" s="26">
        <v>22400000</v>
      </c>
      <c r="H52" s="26">
        <v>13200000</v>
      </c>
      <c r="I52" s="26">
        <v>2730000</v>
      </c>
      <c r="J52" s="26">
        <v>42700000</v>
      </c>
      <c r="K52" s="26">
        <v>93300000</v>
      </c>
      <c r="M52" s="26">
        <v>2340000</v>
      </c>
      <c r="N52" s="26">
        <v>107000</v>
      </c>
    </row>
    <row r="53" spans="2:15">
      <c r="B53">
        <v>0.505</v>
      </c>
      <c r="C53" s="26">
        <v>49900000</v>
      </c>
      <c r="D53" s="26">
        <v>30800000</v>
      </c>
      <c r="E53" s="26">
        <v>2360000</v>
      </c>
      <c r="F53" s="26">
        <v>589000</v>
      </c>
      <c r="G53" s="26">
        <v>11400000</v>
      </c>
      <c r="H53" s="26">
        <v>4850000</v>
      </c>
      <c r="J53" s="26">
        <v>46800000</v>
      </c>
      <c r="K53" s="26">
        <v>81500000</v>
      </c>
      <c r="L53">
        <v>75400</v>
      </c>
      <c r="M53" s="26">
        <v>941000</v>
      </c>
      <c r="N53" s="26">
        <v>261000</v>
      </c>
    </row>
    <row r="54" spans="2:15">
      <c r="B54">
        <v>1.5049999999999999</v>
      </c>
      <c r="C54" s="26">
        <v>18900000</v>
      </c>
      <c r="F54" s="26">
        <v>982000</v>
      </c>
      <c r="G54" s="26">
        <v>2370000</v>
      </c>
      <c r="H54" s="26">
        <v>493000</v>
      </c>
      <c r="K54" s="26">
        <v>7810000</v>
      </c>
    </row>
    <row r="55" spans="2:15">
      <c r="B55">
        <v>2.5049999999999999</v>
      </c>
      <c r="C55" s="26">
        <v>23800000</v>
      </c>
      <c r="D55" s="26">
        <v>27500000</v>
      </c>
      <c r="E55" s="26">
        <v>2160000</v>
      </c>
      <c r="F55" s="26">
        <v>196000</v>
      </c>
      <c r="H55" s="26">
        <v>165000</v>
      </c>
      <c r="J55" s="26">
        <v>954000</v>
      </c>
      <c r="K55" s="26">
        <v>2760000</v>
      </c>
    </row>
    <row r="56" spans="2:15">
      <c r="B56">
        <v>3.5049999999999999</v>
      </c>
      <c r="H56" s="26">
        <v>269000</v>
      </c>
      <c r="J56" s="26">
        <v>18500000</v>
      </c>
      <c r="K56" s="26">
        <v>1330000</v>
      </c>
    </row>
    <row r="57" spans="2:15">
      <c r="B57">
        <v>4.5049999999999999</v>
      </c>
      <c r="C57" s="26">
        <v>17700000</v>
      </c>
      <c r="H57">
        <v>77300</v>
      </c>
      <c r="J57" s="26">
        <v>1480000</v>
      </c>
      <c r="K57" s="26">
        <v>1330000</v>
      </c>
    </row>
    <row r="58" spans="2:15">
      <c r="B58">
        <v>5.5049999999999999</v>
      </c>
      <c r="C58" s="26">
        <v>25000000</v>
      </c>
      <c r="D58" s="26">
        <v>20000000</v>
      </c>
      <c r="E58" s="26">
        <v>982000</v>
      </c>
      <c r="F58" s="26">
        <v>196000</v>
      </c>
      <c r="H58" s="26">
        <v>102000</v>
      </c>
      <c r="J58" s="26">
        <v>1070000</v>
      </c>
      <c r="K58" s="26">
        <v>2010000</v>
      </c>
    </row>
    <row r="59" spans="2:15">
      <c r="B59">
        <v>6.5049999999999999</v>
      </c>
      <c r="C59" s="26">
        <v>25000000</v>
      </c>
      <c r="H59">
        <v>48900</v>
      </c>
      <c r="J59" s="26">
        <v>7950000</v>
      </c>
      <c r="K59" s="26">
        <v>5050000</v>
      </c>
    </row>
    <row r="60" spans="2:15">
      <c r="B60">
        <v>7.5049999999999999</v>
      </c>
      <c r="C60" s="26">
        <v>20000000</v>
      </c>
      <c r="D60" s="26">
        <v>18300000</v>
      </c>
      <c r="J60" s="26">
        <v>1430000</v>
      </c>
      <c r="K60" s="26">
        <v>2710000</v>
      </c>
      <c r="N60">
        <v>29300</v>
      </c>
    </row>
    <row r="61" spans="2:15">
      <c r="B61">
        <v>8.33</v>
      </c>
      <c r="H61" s="26">
        <v>148000</v>
      </c>
      <c r="J61" s="26">
        <v>23800000</v>
      </c>
      <c r="K61" s="26">
        <v>1650000</v>
      </c>
      <c r="L61" s="26">
        <v>716000</v>
      </c>
      <c r="N61">
        <v>27900</v>
      </c>
    </row>
    <row r="62" spans="2:15">
      <c r="B62">
        <v>8.3800000000000008</v>
      </c>
      <c r="C62" s="26">
        <v>122000000</v>
      </c>
      <c r="D62" s="26">
        <v>18300000</v>
      </c>
      <c r="F62" s="26">
        <v>982000</v>
      </c>
      <c r="H62" s="26">
        <v>207000</v>
      </c>
      <c r="K62" s="26">
        <v>765000</v>
      </c>
      <c r="N62">
        <v>50300</v>
      </c>
    </row>
    <row r="63" spans="2:15">
      <c r="B63">
        <v>8.3949999999999996</v>
      </c>
      <c r="C63" s="26">
        <v>25000000</v>
      </c>
      <c r="H63" s="26">
        <v>105000</v>
      </c>
      <c r="J63" s="26">
        <v>43600000</v>
      </c>
      <c r="K63" s="26">
        <v>787000</v>
      </c>
    </row>
    <row r="64" spans="2:15">
      <c r="B64">
        <v>8.4550000000000001</v>
      </c>
      <c r="C64" s="26">
        <v>39400000</v>
      </c>
      <c r="D64" s="26">
        <v>17700000</v>
      </c>
      <c r="G64" s="26">
        <v>16100000</v>
      </c>
      <c r="H64" s="26">
        <v>1740000</v>
      </c>
      <c r="J64" s="26">
        <v>45200000</v>
      </c>
      <c r="K64" s="26">
        <v>48500000</v>
      </c>
      <c r="N64">
        <v>93200</v>
      </c>
    </row>
    <row r="65" spans="2:14">
      <c r="B65">
        <v>8.49</v>
      </c>
      <c r="C65" s="26">
        <v>13300000</v>
      </c>
      <c r="D65" s="26">
        <v>10600000</v>
      </c>
      <c r="E65" s="26">
        <v>196000</v>
      </c>
      <c r="G65" s="123"/>
      <c r="H65" s="123"/>
      <c r="K65" s="123"/>
    </row>
    <row r="66" spans="2:14">
      <c r="B66">
        <v>8.5150000000000006</v>
      </c>
      <c r="C66" s="26">
        <v>43800000</v>
      </c>
      <c r="D66" s="26">
        <v>8250000</v>
      </c>
      <c r="E66" s="124">
        <v>1180000</v>
      </c>
      <c r="G66" s="26">
        <v>21000000</v>
      </c>
      <c r="H66" s="26">
        <v>1470000</v>
      </c>
      <c r="J66" s="123"/>
      <c r="K66" s="26">
        <v>122000000</v>
      </c>
      <c r="L66" s="123"/>
      <c r="N66">
        <v>80300</v>
      </c>
    </row>
    <row r="67" spans="2:14">
      <c r="B67">
        <v>9.0350000000000001</v>
      </c>
      <c r="C67" s="26">
        <v>52700000</v>
      </c>
      <c r="D67" s="26">
        <v>10600000</v>
      </c>
      <c r="G67" s="124">
        <v>2360000</v>
      </c>
      <c r="H67" s="124">
        <v>912000</v>
      </c>
      <c r="J67" s="124">
        <v>987000</v>
      </c>
      <c r="K67" s="124">
        <v>40800000</v>
      </c>
      <c r="L67" s="124">
        <v>211000</v>
      </c>
    </row>
    <row r="68" spans="2:14">
      <c r="B68">
        <v>9.7200000000000006</v>
      </c>
      <c r="C68" s="26">
        <v>11600000</v>
      </c>
      <c r="D68" s="26">
        <v>11800000</v>
      </c>
      <c r="E68" s="123"/>
    </row>
  </sheetData>
  <sortState ref="A4:XFD22">
    <sortCondition ref="B5:B22"/>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E40" sqref="E40"/>
    </sheetView>
  </sheetViews>
  <sheetFormatPr baseColWidth="10" defaultRowHeight="13" x14ac:dyDescent="0"/>
  <cols>
    <col min="2" max="2" width="19.28515625" style="202" customWidth="1"/>
  </cols>
  <sheetData>
    <row r="1" spans="1:3">
      <c r="A1" s="199" t="s">
        <v>657</v>
      </c>
    </row>
    <row r="2" spans="1:3">
      <c r="A2" s="199" t="s">
        <v>808</v>
      </c>
      <c r="C2" s="202" t="s">
        <v>927</v>
      </c>
    </row>
    <row r="3" spans="1:3">
      <c r="C3" s="202" t="s">
        <v>1062</v>
      </c>
    </row>
    <row r="4" spans="1:3">
      <c r="C4" s="201" t="s">
        <v>893</v>
      </c>
    </row>
    <row r="5" spans="1:3">
      <c r="A5" s="199" t="s">
        <v>652</v>
      </c>
      <c r="C5" s="199" t="s">
        <v>723</v>
      </c>
    </row>
    <row r="6" spans="1:3">
      <c r="A6" s="199" t="s">
        <v>550</v>
      </c>
      <c r="B6" s="202" t="s">
        <v>1131</v>
      </c>
      <c r="C6" s="198">
        <v>42000000</v>
      </c>
    </row>
    <row r="7" spans="1:3">
      <c r="A7" s="199" t="s">
        <v>544</v>
      </c>
      <c r="B7" s="202" t="s">
        <v>1131</v>
      </c>
      <c r="C7" s="198">
        <v>13000000</v>
      </c>
    </row>
    <row r="8" spans="1:3">
      <c r="A8" s="199" t="s">
        <v>545</v>
      </c>
      <c r="B8" s="202" t="s">
        <v>1131</v>
      </c>
      <c r="C8" s="199" t="s">
        <v>681</v>
      </c>
    </row>
    <row r="9" spans="1:3">
      <c r="A9" s="199" t="s">
        <v>546</v>
      </c>
      <c r="B9" s="202" t="s">
        <v>1131</v>
      </c>
      <c r="C9" s="199" t="s">
        <v>1108</v>
      </c>
    </row>
    <row r="10" spans="1:3">
      <c r="A10" s="199" t="s">
        <v>547</v>
      </c>
      <c r="B10" s="202" t="s">
        <v>1131</v>
      </c>
      <c r="C10" s="199" t="s">
        <v>1108</v>
      </c>
    </row>
    <row r="11" spans="1:3">
      <c r="A11" s="199"/>
    </row>
    <row r="13" spans="1:3">
      <c r="A13" s="199" t="s">
        <v>548</v>
      </c>
      <c r="B13" s="202" t="s">
        <v>1273</v>
      </c>
      <c r="C13" s="198">
        <v>15000000000</v>
      </c>
    </row>
    <row r="14" spans="1:3">
      <c r="A14" s="199" t="s">
        <v>616</v>
      </c>
      <c r="B14" s="202" t="s">
        <v>1273</v>
      </c>
      <c r="C14" s="198">
        <v>6400000000</v>
      </c>
    </row>
    <row r="15" spans="1:3">
      <c r="A15" s="199" t="s">
        <v>552</v>
      </c>
      <c r="B15" s="202" t="s">
        <v>1273</v>
      </c>
      <c r="C15" s="198">
        <v>95000000</v>
      </c>
    </row>
    <row r="17" spans="1:3">
      <c r="A17" s="199" t="s">
        <v>553</v>
      </c>
      <c r="B17" s="202" t="s">
        <v>1306</v>
      </c>
      <c r="C17" s="198">
        <v>3500000000</v>
      </c>
    </row>
    <row r="18" spans="1:3">
      <c r="A18" s="199" t="s">
        <v>554</v>
      </c>
      <c r="B18" s="202" t="s">
        <v>1306</v>
      </c>
      <c r="C18" s="198">
        <v>1500000000</v>
      </c>
    </row>
    <row r="19" spans="1:3">
      <c r="A19" s="199" t="s">
        <v>555</v>
      </c>
      <c r="B19" s="202" t="s">
        <v>1306</v>
      </c>
    </row>
    <row r="20" spans="1:3">
      <c r="A20" s="199" t="s">
        <v>653</v>
      </c>
      <c r="B20" s="202" t="s">
        <v>1306</v>
      </c>
    </row>
    <row r="22" spans="1:3">
      <c r="A22" s="199" t="s">
        <v>558</v>
      </c>
      <c r="B22" s="202" t="s">
        <v>1307</v>
      </c>
      <c r="C22" s="198">
        <v>4300000000</v>
      </c>
    </row>
    <row r="23" spans="1:3">
      <c r="A23" s="199" t="s">
        <v>559</v>
      </c>
      <c r="B23" s="202" t="s">
        <v>1307</v>
      </c>
      <c r="C23" s="198">
        <v>8300000000</v>
      </c>
    </row>
    <row r="24" spans="1:3">
      <c r="A24" s="199" t="s">
        <v>560</v>
      </c>
      <c r="B24" s="202" t="s">
        <v>1307</v>
      </c>
      <c r="C24" s="198">
        <v>9900000</v>
      </c>
    </row>
    <row r="26" spans="1:3">
      <c r="A26" s="199" t="s">
        <v>561</v>
      </c>
      <c r="B26" s="202" t="s">
        <v>1138</v>
      </c>
      <c r="C26" s="198">
        <v>330000000</v>
      </c>
    </row>
    <row r="27" spans="1:3">
      <c r="A27" s="199" t="s">
        <v>562</v>
      </c>
      <c r="B27" s="202" t="s">
        <v>1138</v>
      </c>
      <c r="C27" s="199" t="s">
        <v>715</v>
      </c>
    </row>
    <row r="28" spans="1:3">
      <c r="A28" s="199" t="s">
        <v>563</v>
      </c>
      <c r="B28" s="202">
        <v>4</v>
      </c>
      <c r="C28" s="199" t="s">
        <v>715</v>
      </c>
    </row>
    <row r="30" spans="1:3">
      <c r="A30" s="199" t="s">
        <v>564</v>
      </c>
      <c r="B30" s="202" t="s">
        <v>1175</v>
      </c>
      <c r="C30" s="198">
        <v>3400000000</v>
      </c>
    </row>
    <row r="31" spans="1:3">
      <c r="A31" s="199" t="s">
        <v>551</v>
      </c>
      <c r="B31" s="202" t="s">
        <v>1175</v>
      </c>
      <c r="C31" s="198">
        <v>3700000000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B53" sqref="B53"/>
    </sheetView>
  </sheetViews>
  <sheetFormatPr baseColWidth="10" defaultRowHeight="13" x14ac:dyDescent="0"/>
  <cols>
    <col min="1" max="1" width="13.140625" customWidth="1"/>
    <col min="8" max="8" width="12.42578125" customWidth="1"/>
    <col min="11" max="11" width="15.5703125" customWidth="1"/>
    <col min="20" max="20" width="10.7109375" style="276"/>
  </cols>
  <sheetData>
    <row r="1" spans="1:26" s="43" customFormat="1" ht="52">
      <c r="B1" s="43" t="s">
        <v>1017</v>
      </c>
      <c r="C1" s="274" t="s">
        <v>831</v>
      </c>
      <c r="D1" s="274" t="s">
        <v>832</v>
      </c>
      <c r="E1" s="274" t="s">
        <v>1022</v>
      </c>
      <c r="F1" s="274" t="s">
        <v>1229</v>
      </c>
      <c r="G1" s="274" t="s">
        <v>1230</v>
      </c>
      <c r="H1" s="43" t="s">
        <v>1231</v>
      </c>
      <c r="I1" s="43" t="s">
        <v>1232</v>
      </c>
      <c r="J1" s="43" t="s">
        <v>1233</v>
      </c>
      <c r="K1" s="43" t="s">
        <v>1308</v>
      </c>
      <c r="L1" s="43" t="s">
        <v>1309</v>
      </c>
      <c r="M1" s="43" t="s">
        <v>1382</v>
      </c>
      <c r="N1" s="43" t="s">
        <v>1329</v>
      </c>
      <c r="O1" s="43" t="s">
        <v>1330</v>
      </c>
      <c r="P1" s="43" t="s">
        <v>1331</v>
      </c>
      <c r="Q1" s="43" t="s">
        <v>1332</v>
      </c>
      <c r="R1" s="43" t="s">
        <v>1333</v>
      </c>
      <c r="S1" s="43" t="s">
        <v>1334</v>
      </c>
      <c r="T1" s="275" t="s">
        <v>1335</v>
      </c>
      <c r="U1" s="43" t="s">
        <v>1336</v>
      </c>
      <c r="Z1" s="274"/>
    </row>
    <row r="2" spans="1:26">
      <c r="A2" s="250" t="s">
        <v>1226</v>
      </c>
      <c r="B2">
        <v>0.01</v>
      </c>
      <c r="C2" s="26">
        <v>7650000000</v>
      </c>
      <c r="D2" s="26">
        <v>1880000000</v>
      </c>
      <c r="E2" s="26">
        <v>18600000</v>
      </c>
      <c r="F2" s="26">
        <v>424000000</v>
      </c>
      <c r="G2" s="26">
        <v>19600000</v>
      </c>
      <c r="H2" s="26">
        <v>109000000</v>
      </c>
      <c r="I2" s="26">
        <v>27800000</v>
      </c>
      <c r="J2" s="26">
        <v>1470000</v>
      </c>
      <c r="K2" s="26">
        <v>1470000</v>
      </c>
      <c r="L2" s="26">
        <v>201000000</v>
      </c>
      <c r="M2" s="26">
        <v>1340000</v>
      </c>
      <c r="N2" s="26">
        <v>7140000</v>
      </c>
      <c r="O2" s="26">
        <v>109000000</v>
      </c>
      <c r="P2">
        <v>3270</v>
      </c>
      <c r="Q2" s="26">
        <v>188000</v>
      </c>
      <c r="R2" s="26">
        <v>139000000</v>
      </c>
      <c r="S2" s="26">
        <v>9340000</v>
      </c>
      <c r="T2" s="276">
        <f>100*M2/I2</f>
        <v>4.8201438848920866</v>
      </c>
      <c r="U2" s="277">
        <f>N2/H2</f>
        <v>6.5504587155963301E-2</v>
      </c>
      <c r="Z2" s="33"/>
    </row>
    <row r="3" spans="1:26">
      <c r="B3">
        <v>0.03</v>
      </c>
      <c r="C3" s="26">
        <v>9580000000</v>
      </c>
      <c r="F3" s="26">
        <v>537000000</v>
      </c>
      <c r="G3" s="26">
        <v>203000000</v>
      </c>
      <c r="H3" s="26">
        <v>139000000</v>
      </c>
      <c r="I3" s="26">
        <v>61700000</v>
      </c>
      <c r="J3" s="26">
        <v>3300000</v>
      </c>
      <c r="K3" s="26">
        <v>1820000</v>
      </c>
      <c r="L3" s="26">
        <v>466000000</v>
      </c>
      <c r="M3" s="26">
        <v>3620000</v>
      </c>
      <c r="N3" s="26">
        <v>18300000</v>
      </c>
      <c r="O3" s="26">
        <v>224000000</v>
      </c>
      <c r="P3">
        <v>4790</v>
      </c>
      <c r="Q3" s="26">
        <v>304000</v>
      </c>
      <c r="R3" s="26">
        <v>340000000</v>
      </c>
      <c r="S3" s="26">
        <v>21200000</v>
      </c>
      <c r="T3" s="276">
        <f t="shared" ref="T3:T55" si="0">100*M3/I3</f>
        <v>5.8670988654781198</v>
      </c>
      <c r="U3" s="277">
        <f t="shared" ref="U3:U55" si="1">N3/H3</f>
        <v>0.1316546762589928</v>
      </c>
      <c r="Z3" s="33"/>
    </row>
    <row r="4" spans="1:26">
      <c r="B4">
        <v>0.05</v>
      </c>
      <c r="C4" s="26">
        <v>9370000000</v>
      </c>
      <c r="F4" s="26">
        <v>301000000</v>
      </c>
      <c r="G4" s="26">
        <v>96000000</v>
      </c>
      <c r="H4" s="26">
        <v>235000000</v>
      </c>
      <c r="I4" s="26">
        <v>161000000</v>
      </c>
      <c r="J4" s="26">
        <v>4320000</v>
      </c>
      <c r="K4" s="26">
        <v>2400000</v>
      </c>
      <c r="L4" s="26">
        <v>1170000000</v>
      </c>
      <c r="M4" s="26">
        <v>7930000</v>
      </c>
      <c r="N4" s="26">
        <v>41100000</v>
      </c>
      <c r="O4" s="26">
        <v>713000000</v>
      </c>
      <c r="P4">
        <v>8430</v>
      </c>
      <c r="Q4" s="26">
        <v>1550000</v>
      </c>
      <c r="R4" s="26">
        <v>994000000</v>
      </c>
      <c r="S4" s="26">
        <v>56000000</v>
      </c>
      <c r="T4" s="276">
        <f t="shared" si="0"/>
        <v>4.9254658385093171</v>
      </c>
      <c r="U4" s="277">
        <f t="shared" si="1"/>
        <v>0.17489361702127659</v>
      </c>
      <c r="Z4" s="33"/>
    </row>
    <row r="5" spans="1:26">
      <c r="B5">
        <v>7.0000000000000007E-2</v>
      </c>
      <c r="C5" s="26">
        <v>8540000000</v>
      </c>
      <c r="D5" s="26">
        <v>2300000000</v>
      </c>
      <c r="E5" s="26">
        <v>14600000</v>
      </c>
      <c r="F5" s="26">
        <v>257000000</v>
      </c>
      <c r="G5" s="26">
        <v>519000000</v>
      </c>
      <c r="H5" s="26">
        <v>73900000</v>
      </c>
      <c r="I5" s="26">
        <v>122000000</v>
      </c>
      <c r="J5" s="26">
        <v>3140000</v>
      </c>
      <c r="K5" s="26">
        <v>2150000</v>
      </c>
      <c r="L5" s="26">
        <v>1050000000</v>
      </c>
      <c r="M5" s="26">
        <v>6910000</v>
      </c>
      <c r="N5" s="26">
        <v>35300000</v>
      </c>
      <c r="O5" s="26">
        <v>582000000</v>
      </c>
      <c r="P5">
        <v>4810</v>
      </c>
      <c r="Q5" s="26">
        <v>1260000</v>
      </c>
      <c r="R5" s="26">
        <v>726000000</v>
      </c>
      <c r="S5" s="26">
        <v>41700000</v>
      </c>
      <c r="T5" s="276">
        <f t="shared" si="0"/>
        <v>5.6639344262295079</v>
      </c>
      <c r="U5" s="277">
        <f t="shared" si="1"/>
        <v>0.47767253044654939</v>
      </c>
      <c r="Z5" s="33"/>
    </row>
    <row r="6" spans="1:26">
      <c r="B6">
        <v>0.09</v>
      </c>
      <c r="C6" s="26">
        <v>9730000000</v>
      </c>
      <c r="F6" s="26">
        <v>170000000</v>
      </c>
      <c r="G6" s="26">
        <v>345000000</v>
      </c>
      <c r="H6" s="26">
        <v>733000000</v>
      </c>
      <c r="I6" s="26">
        <v>252000000</v>
      </c>
      <c r="K6" s="26">
        <v>4900000</v>
      </c>
      <c r="L6" s="26">
        <v>1680000000</v>
      </c>
      <c r="M6" s="26">
        <v>8790000</v>
      </c>
      <c r="N6" s="26">
        <v>50100000</v>
      </c>
      <c r="O6" s="26">
        <v>890000000</v>
      </c>
      <c r="P6">
        <v>40400</v>
      </c>
      <c r="Q6" s="26">
        <v>1910000</v>
      </c>
      <c r="R6" s="26">
        <v>1170000000</v>
      </c>
      <c r="S6" s="26">
        <v>19800000</v>
      </c>
      <c r="T6" s="276">
        <f t="shared" si="0"/>
        <v>3.4880952380952381</v>
      </c>
      <c r="U6" s="277">
        <f t="shared" si="1"/>
        <v>6.8349249658935879E-2</v>
      </c>
      <c r="Z6" s="33"/>
    </row>
    <row r="7" spans="1:26">
      <c r="B7">
        <v>0.11</v>
      </c>
      <c r="C7" s="26">
        <v>9070000000</v>
      </c>
      <c r="F7" s="26">
        <v>681000000</v>
      </c>
      <c r="G7" s="26">
        <v>157000000</v>
      </c>
      <c r="H7" s="26">
        <v>1020000000</v>
      </c>
      <c r="I7" s="26">
        <v>324000000</v>
      </c>
      <c r="J7" s="26">
        <v>3270000</v>
      </c>
      <c r="K7" s="26">
        <v>46100000</v>
      </c>
      <c r="L7" s="26">
        <v>1580000000</v>
      </c>
      <c r="M7" s="26">
        <v>9480000</v>
      </c>
      <c r="N7" s="26">
        <v>31900000</v>
      </c>
      <c r="O7" s="26">
        <v>649000000</v>
      </c>
      <c r="P7">
        <v>4260</v>
      </c>
      <c r="Q7" s="26">
        <v>3260000</v>
      </c>
      <c r="R7" s="26">
        <v>627000000</v>
      </c>
      <c r="S7" s="26">
        <v>20600000</v>
      </c>
      <c r="T7" s="276">
        <f t="shared" si="0"/>
        <v>2.925925925925926</v>
      </c>
      <c r="U7" s="277">
        <f t="shared" si="1"/>
        <v>3.1274509803921567E-2</v>
      </c>
      <c r="Z7" s="33"/>
    </row>
    <row r="8" spans="1:26">
      <c r="B8">
        <v>0.13</v>
      </c>
      <c r="C8" s="26">
        <v>5560000000</v>
      </c>
      <c r="D8" s="26">
        <v>2450000000</v>
      </c>
      <c r="E8" s="26">
        <v>29100000</v>
      </c>
      <c r="F8" s="26">
        <v>226000000</v>
      </c>
      <c r="G8" s="26">
        <v>142000000</v>
      </c>
      <c r="H8" s="26">
        <v>1020000000</v>
      </c>
      <c r="I8" s="26">
        <v>407000000</v>
      </c>
      <c r="J8" s="26">
        <v>4290000</v>
      </c>
      <c r="K8" s="26">
        <v>55100000</v>
      </c>
      <c r="L8" s="26">
        <v>2140000000</v>
      </c>
      <c r="M8" s="26">
        <v>9710000</v>
      </c>
      <c r="N8" s="26">
        <v>41200000</v>
      </c>
      <c r="O8" s="26">
        <v>838000000</v>
      </c>
      <c r="P8">
        <v>34900</v>
      </c>
      <c r="Q8" s="26">
        <v>2530000</v>
      </c>
      <c r="R8" s="26">
        <v>1260000000</v>
      </c>
      <c r="S8" s="26">
        <v>18600000</v>
      </c>
      <c r="T8" s="276">
        <f t="shared" si="0"/>
        <v>2.3857493857493859</v>
      </c>
      <c r="U8" s="277">
        <f t="shared" si="1"/>
        <v>4.0392156862745096E-2</v>
      </c>
      <c r="Z8" s="33"/>
    </row>
    <row r="9" spans="1:26">
      <c r="B9">
        <v>0.17</v>
      </c>
      <c r="C9" s="26">
        <v>5980000000</v>
      </c>
      <c r="F9" s="26">
        <v>121000000</v>
      </c>
      <c r="G9" s="26">
        <v>62200000</v>
      </c>
      <c r="H9" s="26">
        <v>456000000</v>
      </c>
      <c r="I9" s="26">
        <v>332000000</v>
      </c>
      <c r="J9" s="26">
        <v>3160000</v>
      </c>
      <c r="K9" s="26">
        <v>48600000</v>
      </c>
      <c r="L9" s="26">
        <v>1750000000</v>
      </c>
      <c r="M9" s="26">
        <v>5600000</v>
      </c>
      <c r="N9" s="26">
        <v>16200000</v>
      </c>
      <c r="O9" s="26">
        <v>275000000</v>
      </c>
      <c r="P9">
        <v>37200</v>
      </c>
      <c r="Q9" s="26">
        <v>1390000</v>
      </c>
      <c r="R9" s="26">
        <v>745000000</v>
      </c>
      <c r="S9" s="26">
        <v>23200000</v>
      </c>
      <c r="T9" s="276">
        <f t="shared" si="0"/>
        <v>1.6867469879518073</v>
      </c>
      <c r="U9" s="277">
        <f t="shared" si="1"/>
        <v>3.5526315789473684E-2</v>
      </c>
      <c r="Z9" s="33"/>
    </row>
    <row r="10" spans="1:26">
      <c r="B10">
        <v>0.22</v>
      </c>
      <c r="C10" s="26">
        <v>5220000000</v>
      </c>
      <c r="F10" s="26">
        <v>57700000</v>
      </c>
      <c r="G10" s="26">
        <v>52400000</v>
      </c>
      <c r="H10" s="26">
        <v>505000000</v>
      </c>
      <c r="I10" s="26">
        <v>259000000</v>
      </c>
      <c r="J10" s="26">
        <v>3740000</v>
      </c>
      <c r="K10" s="26">
        <v>66000000</v>
      </c>
      <c r="L10" s="26">
        <v>2220000000</v>
      </c>
      <c r="M10" s="26">
        <v>6290000</v>
      </c>
      <c r="N10" s="26">
        <v>8790000</v>
      </c>
      <c r="O10" s="26">
        <v>265000000</v>
      </c>
      <c r="Q10" s="26">
        <v>2750000</v>
      </c>
      <c r="R10" s="26">
        <v>186000000</v>
      </c>
      <c r="S10" s="26">
        <v>13700000</v>
      </c>
      <c r="T10" s="276">
        <f t="shared" si="0"/>
        <v>2.4285714285714284</v>
      </c>
      <c r="U10" s="277">
        <f t="shared" si="1"/>
        <v>1.7405940594059408E-2</v>
      </c>
      <c r="Z10" s="33"/>
    </row>
    <row r="11" spans="1:26">
      <c r="B11">
        <v>0.28000000000000003</v>
      </c>
      <c r="C11" s="26">
        <v>4450000000</v>
      </c>
      <c r="D11" s="26">
        <v>1690000000</v>
      </c>
      <c r="E11" s="26">
        <v>34500000</v>
      </c>
      <c r="F11" s="26">
        <v>39300000</v>
      </c>
      <c r="H11" s="26">
        <v>329000000</v>
      </c>
      <c r="I11" s="26">
        <v>286000000</v>
      </c>
      <c r="J11" s="26">
        <v>401000</v>
      </c>
      <c r="K11" s="26">
        <v>69500000</v>
      </c>
      <c r="L11" s="26">
        <v>2120000000</v>
      </c>
      <c r="M11" s="26">
        <v>4860000</v>
      </c>
      <c r="N11" s="26">
        <v>14500000</v>
      </c>
      <c r="O11" s="26">
        <v>287000000</v>
      </c>
      <c r="P11" s="26">
        <v>117000</v>
      </c>
      <c r="Q11" s="26">
        <v>502000</v>
      </c>
      <c r="R11" s="26">
        <v>131000000</v>
      </c>
      <c r="S11" s="26">
        <v>33600000</v>
      </c>
      <c r="T11" s="276">
        <f t="shared" si="0"/>
        <v>1.6993006993006994</v>
      </c>
      <c r="U11" s="277">
        <f t="shared" si="1"/>
        <v>4.4072948328267476E-2</v>
      </c>
      <c r="Z11" s="33"/>
    </row>
    <row r="12" spans="1:26">
      <c r="B12">
        <v>0.34</v>
      </c>
      <c r="C12" s="26">
        <v>2250000000</v>
      </c>
      <c r="F12" s="26">
        <v>1960000</v>
      </c>
      <c r="H12" s="26">
        <v>324000000</v>
      </c>
      <c r="I12" s="26">
        <v>804000000</v>
      </c>
      <c r="J12" s="26">
        <v>614000</v>
      </c>
      <c r="K12" s="26">
        <v>203000000</v>
      </c>
      <c r="L12" s="26">
        <v>1930000000</v>
      </c>
      <c r="M12" s="26">
        <v>6740000</v>
      </c>
      <c r="N12" s="26">
        <v>9740000</v>
      </c>
      <c r="O12" s="26">
        <v>222000000</v>
      </c>
      <c r="P12">
        <v>68800</v>
      </c>
      <c r="Q12" s="26">
        <v>586000</v>
      </c>
      <c r="R12" s="26">
        <v>279000000</v>
      </c>
      <c r="S12" s="26">
        <v>21400000</v>
      </c>
      <c r="T12" s="276">
        <f t="shared" si="0"/>
        <v>0.8383084577114428</v>
      </c>
      <c r="U12" s="277">
        <f t="shared" si="1"/>
        <v>3.0061728395061729E-2</v>
      </c>
      <c r="Z12" s="33"/>
    </row>
    <row r="13" spans="1:26">
      <c r="B13">
        <v>0.4</v>
      </c>
      <c r="C13" s="26">
        <v>2390000000</v>
      </c>
      <c r="D13" s="26">
        <v>1160000000</v>
      </c>
      <c r="E13" s="26">
        <v>32400000</v>
      </c>
      <c r="F13" s="26">
        <v>3930000</v>
      </c>
      <c r="H13" s="26">
        <v>451000000</v>
      </c>
      <c r="I13" s="26">
        <v>1480000000</v>
      </c>
      <c r="J13" s="26">
        <v>760000</v>
      </c>
      <c r="K13" s="26">
        <v>163000000</v>
      </c>
      <c r="L13" s="26">
        <v>2350000000</v>
      </c>
      <c r="M13" s="26">
        <v>13200000</v>
      </c>
      <c r="N13" s="26">
        <v>9270000</v>
      </c>
      <c r="O13" s="26">
        <v>206000000</v>
      </c>
      <c r="P13">
        <v>718</v>
      </c>
      <c r="Q13" s="26">
        <v>1540000</v>
      </c>
      <c r="R13" s="26">
        <v>526000000</v>
      </c>
      <c r="S13" s="26">
        <v>18000000</v>
      </c>
      <c r="T13" s="276">
        <f t="shared" si="0"/>
        <v>0.89189189189189189</v>
      </c>
      <c r="U13" s="277">
        <f t="shared" si="1"/>
        <v>2.0554323725055432E-2</v>
      </c>
      <c r="Z13" s="33"/>
    </row>
    <row r="14" spans="1:26">
      <c r="B14">
        <v>0.4</v>
      </c>
      <c r="C14" s="26">
        <v>1340000000</v>
      </c>
      <c r="D14" s="26">
        <v>719000000</v>
      </c>
      <c r="E14" s="26">
        <v>14700000</v>
      </c>
      <c r="F14" s="26">
        <v>47700000</v>
      </c>
      <c r="H14" s="26">
        <v>53600000</v>
      </c>
      <c r="I14" s="26">
        <v>1560000000</v>
      </c>
      <c r="J14" s="26">
        <v>745000</v>
      </c>
      <c r="K14" s="26">
        <v>244000000</v>
      </c>
      <c r="L14" s="26">
        <v>988000000</v>
      </c>
      <c r="M14" s="26">
        <v>631000</v>
      </c>
      <c r="N14" s="26">
        <v>2290000</v>
      </c>
      <c r="O14" s="26">
        <v>18700000</v>
      </c>
      <c r="P14">
        <v>822</v>
      </c>
      <c r="Q14" s="26">
        <v>242000</v>
      </c>
      <c r="R14" s="26">
        <v>133000000</v>
      </c>
      <c r="S14" s="26">
        <v>22300000</v>
      </c>
      <c r="T14" s="276">
        <f t="shared" si="0"/>
        <v>4.0448717948717947E-2</v>
      </c>
      <c r="U14" s="277">
        <f t="shared" si="1"/>
        <v>4.2723880597014922E-2</v>
      </c>
      <c r="Z14" s="33"/>
    </row>
    <row r="15" spans="1:26">
      <c r="B15">
        <v>1.4</v>
      </c>
      <c r="C15" s="26">
        <v>1100000000</v>
      </c>
      <c r="D15" s="26">
        <v>581000000</v>
      </c>
      <c r="E15" s="26">
        <v>17900000</v>
      </c>
      <c r="F15" s="26">
        <v>6930000</v>
      </c>
      <c r="G15" s="26">
        <v>2310000</v>
      </c>
      <c r="H15" s="26">
        <v>64000000</v>
      </c>
      <c r="I15" s="26">
        <v>1320000000</v>
      </c>
      <c r="J15" s="26">
        <v>1640000</v>
      </c>
      <c r="K15" s="26">
        <v>58400000</v>
      </c>
      <c r="L15" s="26">
        <v>600000000</v>
      </c>
      <c r="M15" s="26">
        <v>1430000</v>
      </c>
      <c r="N15" s="26">
        <v>1510000</v>
      </c>
      <c r="O15" s="26">
        <v>2300000</v>
      </c>
      <c r="P15">
        <v>1910</v>
      </c>
      <c r="Q15" s="26">
        <v>2770000</v>
      </c>
      <c r="R15" s="26">
        <v>102000000</v>
      </c>
      <c r="S15" s="26">
        <v>9930000</v>
      </c>
      <c r="T15" s="276">
        <f t="shared" si="0"/>
        <v>0.10833333333333334</v>
      </c>
      <c r="U15" s="277">
        <f t="shared" si="1"/>
        <v>2.359375E-2</v>
      </c>
      <c r="Z15" s="33"/>
    </row>
    <row r="16" spans="1:26">
      <c r="B16">
        <v>2.2999999999999998</v>
      </c>
      <c r="C16" s="26">
        <v>1780000000</v>
      </c>
      <c r="D16" s="26">
        <v>697000000</v>
      </c>
      <c r="E16" s="26">
        <v>13900000</v>
      </c>
      <c r="F16" s="26">
        <v>3270000</v>
      </c>
      <c r="H16" s="26">
        <v>68800000</v>
      </c>
      <c r="I16" s="26">
        <v>1900000000</v>
      </c>
      <c r="J16" s="26">
        <v>802000</v>
      </c>
      <c r="K16" s="26">
        <v>12200000</v>
      </c>
      <c r="L16" s="26">
        <v>733000000</v>
      </c>
      <c r="M16" s="26">
        <v>3520000</v>
      </c>
      <c r="N16" s="26">
        <v>1580000</v>
      </c>
      <c r="O16" s="26">
        <v>2930000</v>
      </c>
      <c r="P16">
        <v>1650</v>
      </c>
      <c r="Q16" s="26">
        <v>12900000</v>
      </c>
      <c r="R16" s="26">
        <v>128000000</v>
      </c>
      <c r="S16" s="26">
        <v>10300000</v>
      </c>
      <c r="T16" s="276">
        <f t="shared" si="0"/>
        <v>0.18526315789473685</v>
      </c>
      <c r="U16" s="277">
        <f t="shared" si="1"/>
        <v>2.2965116279069768E-2</v>
      </c>
      <c r="Z16" s="33"/>
    </row>
    <row r="17" spans="1:26">
      <c r="B17">
        <v>3.4</v>
      </c>
      <c r="C17" s="26">
        <v>2750000000</v>
      </c>
      <c r="D17" s="26">
        <v>1320000000</v>
      </c>
      <c r="E17" s="26">
        <v>16700000</v>
      </c>
      <c r="H17" s="26">
        <v>105000000</v>
      </c>
      <c r="I17" s="26">
        <v>1450000000</v>
      </c>
      <c r="J17" s="26">
        <v>247000</v>
      </c>
      <c r="K17" s="26">
        <v>16600000</v>
      </c>
      <c r="L17" s="26">
        <v>633000000</v>
      </c>
      <c r="M17" s="26">
        <v>549000</v>
      </c>
      <c r="N17" s="26">
        <v>1410000</v>
      </c>
      <c r="O17" s="26">
        <v>1830000</v>
      </c>
      <c r="Q17" s="26">
        <v>2110000</v>
      </c>
      <c r="R17" s="26">
        <v>92400000</v>
      </c>
      <c r="S17" s="26">
        <v>5670000</v>
      </c>
      <c r="T17" s="276">
        <f t="shared" si="0"/>
        <v>3.7862068965517241E-2</v>
      </c>
      <c r="U17" s="277">
        <f t="shared" si="1"/>
        <v>1.3428571428571429E-2</v>
      </c>
      <c r="Z17" s="33"/>
    </row>
    <row r="18" spans="1:26">
      <c r="U18" s="277"/>
      <c r="Z18" s="33"/>
    </row>
    <row r="19" spans="1:26">
      <c r="P19" t="s">
        <v>1023</v>
      </c>
      <c r="U19" s="277"/>
      <c r="Z19" s="33"/>
    </row>
    <row r="20" spans="1:26">
      <c r="A20" s="250" t="s">
        <v>1224</v>
      </c>
      <c r="B20">
        <v>0.01</v>
      </c>
      <c r="C20" s="26">
        <v>5960000000</v>
      </c>
      <c r="D20" s="26">
        <v>1940000000</v>
      </c>
      <c r="E20" s="26">
        <v>10800000</v>
      </c>
      <c r="F20" s="26">
        <v>401000000</v>
      </c>
      <c r="G20" s="26">
        <v>295000000</v>
      </c>
      <c r="H20" s="26">
        <v>1090000000</v>
      </c>
      <c r="I20" s="26">
        <v>373000000</v>
      </c>
      <c r="J20" s="26">
        <v>19600000</v>
      </c>
      <c r="K20" s="26">
        <v>583000000</v>
      </c>
      <c r="L20" s="26">
        <v>778000000</v>
      </c>
      <c r="M20" s="26">
        <v>1460000</v>
      </c>
      <c r="N20" s="26">
        <v>21800000</v>
      </c>
      <c r="O20" s="26">
        <v>496000000</v>
      </c>
      <c r="P20" s="26">
        <v>4790000</v>
      </c>
      <c r="Q20" s="26">
        <v>1150000</v>
      </c>
      <c r="R20" s="26">
        <v>892000000</v>
      </c>
      <c r="S20" s="26">
        <v>22400000</v>
      </c>
      <c r="T20" s="276">
        <f t="shared" si="0"/>
        <v>0.39142091152815012</v>
      </c>
      <c r="U20" s="277">
        <f t="shared" si="1"/>
        <v>0.02</v>
      </c>
      <c r="Z20" s="33"/>
    </row>
    <row r="21" spans="1:26">
      <c r="B21">
        <v>0.03</v>
      </c>
      <c r="C21" s="26">
        <v>4390000000</v>
      </c>
      <c r="F21" s="26">
        <v>232000000</v>
      </c>
      <c r="G21" s="26">
        <v>255000000</v>
      </c>
      <c r="H21" s="26">
        <v>597000000</v>
      </c>
      <c r="I21" s="26">
        <v>396000000</v>
      </c>
      <c r="J21" s="26">
        <v>10700000</v>
      </c>
      <c r="K21" s="26">
        <v>132000000</v>
      </c>
      <c r="L21" s="26">
        <v>1130000000</v>
      </c>
      <c r="M21" s="26">
        <v>2260000</v>
      </c>
      <c r="N21" s="26">
        <v>136000000</v>
      </c>
      <c r="O21" s="26">
        <v>117000000</v>
      </c>
      <c r="P21" s="26">
        <v>2830000</v>
      </c>
      <c r="Q21" s="26">
        <v>1600000</v>
      </c>
      <c r="R21" s="26">
        <v>1080000000</v>
      </c>
      <c r="S21" s="26">
        <v>90700000</v>
      </c>
      <c r="T21" s="276">
        <f t="shared" si="0"/>
        <v>0.57070707070707072</v>
      </c>
      <c r="U21" s="277">
        <f t="shared" si="1"/>
        <v>0.22780569514237856</v>
      </c>
      <c r="Z21" s="33"/>
    </row>
    <row r="22" spans="1:26">
      <c r="B22">
        <v>0.05</v>
      </c>
      <c r="C22" s="26">
        <v>4970000000</v>
      </c>
      <c r="D22" s="47"/>
      <c r="E22" s="47"/>
      <c r="F22" s="26">
        <v>149000000</v>
      </c>
      <c r="G22" s="26">
        <v>275000000</v>
      </c>
      <c r="H22" s="26">
        <v>1610000000</v>
      </c>
      <c r="I22" s="26">
        <v>708000000</v>
      </c>
      <c r="J22" s="26">
        <v>30900000</v>
      </c>
      <c r="K22" s="26">
        <v>270000000</v>
      </c>
      <c r="L22" s="26">
        <v>1260000000</v>
      </c>
      <c r="M22" s="26">
        <v>2130000</v>
      </c>
      <c r="N22" s="26">
        <v>78200000</v>
      </c>
      <c r="O22" s="26">
        <v>1210000000</v>
      </c>
      <c r="P22" s="26">
        <v>5650000</v>
      </c>
      <c r="Q22" s="26">
        <v>1690000</v>
      </c>
      <c r="R22" s="26">
        <v>1220000000</v>
      </c>
      <c r="S22" s="26">
        <v>34600000</v>
      </c>
      <c r="T22" s="276">
        <f t="shared" si="0"/>
        <v>0.30084745762711862</v>
      </c>
      <c r="U22" s="277">
        <f t="shared" si="1"/>
        <v>4.8571428571428571E-2</v>
      </c>
      <c r="Z22" s="33"/>
    </row>
    <row r="23" spans="1:26">
      <c r="B23">
        <v>7.0000000000000007E-2</v>
      </c>
      <c r="C23" s="26">
        <v>5320000000</v>
      </c>
      <c r="D23" s="26">
        <v>1200000000</v>
      </c>
      <c r="E23" s="26">
        <v>8490000</v>
      </c>
      <c r="F23" s="26">
        <v>114000000</v>
      </c>
      <c r="G23" s="26">
        <v>157000000</v>
      </c>
      <c r="H23" s="26">
        <v>1070000000</v>
      </c>
      <c r="I23" s="26">
        <v>985000000</v>
      </c>
      <c r="J23" s="26">
        <v>8520000</v>
      </c>
      <c r="K23" s="26">
        <v>94400000</v>
      </c>
      <c r="L23" s="26">
        <v>1210000000</v>
      </c>
      <c r="M23" s="26">
        <v>1960000</v>
      </c>
      <c r="N23" s="26">
        <v>128000000</v>
      </c>
      <c r="O23" s="26">
        <v>1260000000</v>
      </c>
      <c r="P23" s="26">
        <v>3110000</v>
      </c>
      <c r="Q23" s="26">
        <v>1350000</v>
      </c>
      <c r="R23" s="26">
        <v>877000000</v>
      </c>
      <c r="S23" s="26">
        <v>70000000</v>
      </c>
      <c r="T23" s="276">
        <f t="shared" si="0"/>
        <v>0.19898477157360406</v>
      </c>
      <c r="U23" s="277">
        <f t="shared" si="1"/>
        <v>0.11962616822429907</v>
      </c>
      <c r="Z23" s="33"/>
    </row>
    <row r="24" spans="1:26">
      <c r="B24">
        <v>0.08</v>
      </c>
      <c r="C24" s="26">
        <v>1150000000</v>
      </c>
      <c r="D24" s="26">
        <v>30000000</v>
      </c>
      <c r="E24" s="26">
        <v>6700000</v>
      </c>
      <c r="F24" s="26">
        <v>13700000</v>
      </c>
      <c r="G24" s="26">
        <v>7850000</v>
      </c>
      <c r="H24" s="26">
        <v>37500000</v>
      </c>
      <c r="I24" s="26">
        <v>237000000</v>
      </c>
      <c r="J24" s="26">
        <v>256000</v>
      </c>
      <c r="K24" s="26">
        <v>157000000</v>
      </c>
      <c r="L24" s="26">
        <v>255000000</v>
      </c>
      <c r="M24" s="26">
        <v>296000</v>
      </c>
      <c r="N24" s="26">
        <v>2380000</v>
      </c>
      <c r="O24" s="26">
        <v>10800000</v>
      </c>
      <c r="P24">
        <v>81900</v>
      </c>
      <c r="Q24" s="26">
        <v>1340000</v>
      </c>
      <c r="R24" s="26">
        <v>149000000</v>
      </c>
      <c r="S24" s="26">
        <v>6470000</v>
      </c>
      <c r="T24" s="276">
        <f t="shared" si="0"/>
        <v>0.12489451476793249</v>
      </c>
      <c r="U24" s="277">
        <f t="shared" si="1"/>
        <v>6.3466666666666671E-2</v>
      </c>
      <c r="Z24" s="33"/>
    </row>
    <row r="25" spans="1:26">
      <c r="B25">
        <v>0.09</v>
      </c>
      <c r="C25" s="26">
        <v>4260000000</v>
      </c>
      <c r="D25" s="47"/>
      <c r="E25" s="47"/>
      <c r="F25" s="26">
        <v>240000000</v>
      </c>
      <c r="G25" s="26">
        <v>123000000</v>
      </c>
      <c r="H25" s="26">
        <v>1040000000</v>
      </c>
      <c r="I25" s="26">
        <v>1200000000</v>
      </c>
      <c r="J25" s="26">
        <v>6950000</v>
      </c>
      <c r="K25" s="26">
        <v>116000000</v>
      </c>
      <c r="L25" s="26">
        <v>1530000000</v>
      </c>
      <c r="M25" s="26">
        <v>2400000</v>
      </c>
      <c r="N25" s="26">
        <v>158000000</v>
      </c>
      <c r="O25" s="26">
        <v>1680000000</v>
      </c>
      <c r="P25" s="26">
        <v>2210000</v>
      </c>
      <c r="Q25" s="26">
        <v>1500000</v>
      </c>
      <c r="R25" s="26">
        <v>1120000000</v>
      </c>
      <c r="S25" s="26">
        <v>101000000</v>
      </c>
      <c r="T25" s="276">
        <f t="shared" si="0"/>
        <v>0.2</v>
      </c>
      <c r="U25" s="277">
        <f t="shared" si="1"/>
        <v>0.15192307692307691</v>
      </c>
      <c r="Z25" s="33"/>
    </row>
    <row r="26" spans="1:26">
      <c r="B26">
        <v>0.11</v>
      </c>
      <c r="C26" s="26">
        <v>3530000000</v>
      </c>
      <c r="D26" s="47"/>
      <c r="E26" s="47"/>
      <c r="F26" s="26">
        <v>251000000</v>
      </c>
      <c r="G26" s="26">
        <v>42100000</v>
      </c>
      <c r="H26" s="26">
        <v>1430000000</v>
      </c>
      <c r="I26" s="26">
        <v>632000000</v>
      </c>
      <c r="J26" s="26">
        <v>6170000</v>
      </c>
      <c r="K26" s="26">
        <v>99200000</v>
      </c>
      <c r="L26" s="26">
        <v>1140000000</v>
      </c>
      <c r="M26" s="26">
        <v>2060000</v>
      </c>
      <c r="N26" s="26">
        <v>135000000</v>
      </c>
      <c r="O26" s="26">
        <v>1140000000</v>
      </c>
      <c r="P26" s="26">
        <v>3900000</v>
      </c>
      <c r="Q26" s="47">
        <v>73900</v>
      </c>
      <c r="R26" s="26">
        <v>913000000</v>
      </c>
      <c r="S26" s="26">
        <v>62900000</v>
      </c>
      <c r="T26" s="276">
        <f t="shared" si="0"/>
        <v>0.32594936708860761</v>
      </c>
      <c r="U26" s="277">
        <f t="shared" si="1"/>
        <v>9.4405594405594401E-2</v>
      </c>
      <c r="Z26" s="33"/>
    </row>
    <row r="27" spans="1:26">
      <c r="B27">
        <v>0.15</v>
      </c>
      <c r="C27" s="26">
        <v>4400000000</v>
      </c>
      <c r="D27" s="26">
        <v>947000000</v>
      </c>
      <c r="E27" s="26">
        <v>13100000</v>
      </c>
      <c r="F27" s="26">
        <v>163000000</v>
      </c>
      <c r="G27" s="26">
        <v>19600000</v>
      </c>
      <c r="H27" s="26">
        <v>1490000000</v>
      </c>
      <c r="I27" s="26">
        <v>342000000</v>
      </c>
      <c r="J27" s="26">
        <v>6640000</v>
      </c>
      <c r="K27" s="26">
        <v>152000000</v>
      </c>
      <c r="L27" s="26">
        <v>2030000000</v>
      </c>
      <c r="M27" s="26">
        <v>3280000</v>
      </c>
      <c r="N27" s="26">
        <v>173000000</v>
      </c>
      <c r="O27" s="26">
        <v>1350000000</v>
      </c>
      <c r="P27" s="26">
        <v>6380000</v>
      </c>
      <c r="Q27" s="47">
        <v>48900</v>
      </c>
      <c r="R27" s="26">
        <v>1460000000</v>
      </c>
      <c r="S27" s="26">
        <v>95000000</v>
      </c>
      <c r="T27" s="276">
        <f t="shared" si="0"/>
        <v>0.95906432748538006</v>
      </c>
      <c r="U27" s="277">
        <f t="shared" si="1"/>
        <v>0.11610738255033556</v>
      </c>
      <c r="Z27" s="33"/>
    </row>
    <row r="28" spans="1:26">
      <c r="B28">
        <v>0.19</v>
      </c>
      <c r="C28" s="26">
        <v>2980000000</v>
      </c>
      <c r="F28" s="26">
        <v>285000000</v>
      </c>
      <c r="G28" s="26">
        <v>19600000</v>
      </c>
      <c r="H28" s="26">
        <v>716000000</v>
      </c>
      <c r="I28" s="26">
        <v>317000000</v>
      </c>
      <c r="J28" s="26">
        <v>4900000</v>
      </c>
      <c r="K28" s="26">
        <v>139000000</v>
      </c>
      <c r="L28" s="26">
        <v>1430000000</v>
      </c>
      <c r="M28" s="26">
        <v>2180000</v>
      </c>
      <c r="N28" s="26">
        <v>128000000</v>
      </c>
      <c r="O28" s="26">
        <v>1460000000</v>
      </c>
      <c r="P28" s="26">
        <v>1370000</v>
      </c>
      <c r="Q28" s="47">
        <v>81100</v>
      </c>
      <c r="R28" s="26">
        <v>1190000000</v>
      </c>
      <c r="S28" s="26">
        <v>84300000</v>
      </c>
      <c r="T28" s="276">
        <f t="shared" si="0"/>
        <v>0.68769716088328081</v>
      </c>
      <c r="U28" s="277">
        <f t="shared" si="1"/>
        <v>0.1787709497206704</v>
      </c>
      <c r="Z28" s="33"/>
    </row>
    <row r="29" spans="1:26">
      <c r="B29">
        <v>0.23</v>
      </c>
      <c r="C29" s="26">
        <v>1990000000</v>
      </c>
      <c r="D29" s="26">
        <v>670000000</v>
      </c>
      <c r="E29" s="26">
        <v>13400000</v>
      </c>
      <c r="F29" s="26">
        <v>13700000</v>
      </c>
      <c r="G29" s="26">
        <v>7850000</v>
      </c>
      <c r="H29" s="26">
        <v>541000000</v>
      </c>
      <c r="I29" s="26">
        <v>36000000</v>
      </c>
      <c r="J29" s="26">
        <v>3380000</v>
      </c>
      <c r="K29" s="26">
        <v>88200000</v>
      </c>
      <c r="L29" s="26">
        <v>1180000000</v>
      </c>
      <c r="M29" s="26">
        <v>2780000</v>
      </c>
      <c r="N29" s="26">
        <v>149000000</v>
      </c>
      <c r="O29" s="26">
        <v>388000000</v>
      </c>
      <c r="P29" s="26">
        <v>1460000</v>
      </c>
      <c r="Q29" s="26">
        <v>172000</v>
      </c>
      <c r="R29" s="26">
        <v>1160000000</v>
      </c>
      <c r="S29" s="26">
        <v>96200000</v>
      </c>
      <c r="T29" s="276">
        <f t="shared" si="0"/>
        <v>7.7222222222222223</v>
      </c>
      <c r="U29" s="277">
        <f t="shared" si="1"/>
        <v>0.2754158964879852</v>
      </c>
      <c r="Z29" s="33"/>
    </row>
    <row r="30" spans="1:26">
      <c r="B30">
        <v>0.85</v>
      </c>
      <c r="C30" s="26">
        <v>753000000</v>
      </c>
      <c r="F30" s="26">
        <v>14700000</v>
      </c>
      <c r="G30" s="47"/>
      <c r="H30" s="26">
        <v>114000000</v>
      </c>
      <c r="I30" s="26">
        <v>265000000</v>
      </c>
      <c r="J30" s="26">
        <v>492000</v>
      </c>
      <c r="K30" s="26">
        <v>153000000</v>
      </c>
      <c r="L30" s="26">
        <v>282000000</v>
      </c>
      <c r="M30" s="26">
        <v>415000</v>
      </c>
      <c r="N30" s="26">
        <v>903000</v>
      </c>
      <c r="O30" s="26">
        <v>8960000</v>
      </c>
      <c r="P30" s="47">
        <v>59600</v>
      </c>
      <c r="Q30" s="26">
        <v>2640000</v>
      </c>
      <c r="R30" s="26">
        <v>159000000</v>
      </c>
      <c r="S30" s="26">
        <v>8070000</v>
      </c>
      <c r="T30" s="276">
        <f t="shared" si="0"/>
        <v>0.15660377358490565</v>
      </c>
      <c r="U30" s="277">
        <f t="shared" si="1"/>
        <v>7.9210526315789467E-3</v>
      </c>
      <c r="Z30" s="33"/>
    </row>
    <row r="31" spans="1:26">
      <c r="B31">
        <v>1.85</v>
      </c>
      <c r="C31" s="26">
        <v>337000000</v>
      </c>
      <c r="D31" s="26">
        <v>74200000</v>
      </c>
      <c r="E31" s="26">
        <v>10800000</v>
      </c>
      <c r="F31" s="26">
        <v>17700000</v>
      </c>
      <c r="G31" s="26">
        <v>2950000</v>
      </c>
      <c r="H31" s="26">
        <v>50100000</v>
      </c>
      <c r="I31" s="26">
        <v>83800000</v>
      </c>
      <c r="J31" s="26">
        <v>276000</v>
      </c>
      <c r="K31" s="26">
        <v>7870000</v>
      </c>
      <c r="L31" s="26">
        <v>146000000</v>
      </c>
      <c r="M31" s="26">
        <v>119000</v>
      </c>
      <c r="N31" s="26">
        <v>112000</v>
      </c>
      <c r="O31" s="26">
        <v>4570000</v>
      </c>
      <c r="P31" s="47">
        <v>23700</v>
      </c>
      <c r="Q31" s="26">
        <v>1080000</v>
      </c>
      <c r="R31" s="26">
        <v>65200000</v>
      </c>
      <c r="S31" s="26">
        <v>1900000</v>
      </c>
      <c r="T31" s="276">
        <f t="shared" si="0"/>
        <v>0.14200477326968974</v>
      </c>
      <c r="U31" s="277">
        <f t="shared" si="1"/>
        <v>2.2355289421157683E-3</v>
      </c>
      <c r="Z31" s="33"/>
    </row>
    <row r="32" spans="1:26">
      <c r="B32">
        <v>3.08</v>
      </c>
      <c r="C32" s="26">
        <v>482000000</v>
      </c>
      <c r="D32" s="26">
        <v>134000000</v>
      </c>
      <c r="E32" s="26">
        <v>8320000</v>
      </c>
      <c r="F32" s="26">
        <v>8840000</v>
      </c>
      <c r="G32" s="47"/>
      <c r="H32" s="26">
        <v>15600000</v>
      </c>
      <c r="I32" s="26">
        <v>26600000</v>
      </c>
      <c r="J32" s="47">
        <v>82800</v>
      </c>
      <c r="K32" s="26">
        <v>7960000</v>
      </c>
      <c r="L32" s="26">
        <v>59600000</v>
      </c>
      <c r="M32" s="47">
        <v>36600</v>
      </c>
      <c r="N32" s="47">
        <v>33900</v>
      </c>
      <c r="O32" s="26">
        <v>550000</v>
      </c>
      <c r="P32" s="47">
        <v>1050</v>
      </c>
      <c r="Q32" s="26">
        <v>1240000</v>
      </c>
      <c r="R32" s="26">
        <v>32900000</v>
      </c>
      <c r="S32" s="26">
        <v>756000</v>
      </c>
      <c r="T32" s="276">
        <f t="shared" si="0"/>
        <v>0.13759398496240602</v>
      </c>
      <c r="U32" s="277">
        <f t="shared" si="1"/>
        <v>2.173076923076923E-3</v>
      </c>
      <c r="Z32" s="33"/>
    </row>
    <row r="33" spans="1:26">
      <c r="B33">
        <v>4.41</v>
      </c>
      <c r="C33" s="26">
        <v>385000000</v>
      </c>
      <c r="F33" s="26">
        <v>5890000</v>
      </c>
      <c r="G33" s="47"/>
      <c r="H33" s="26">
        <v>14200000</v>
      </c>
      <c r="I33" s="26">
        <v>14500000</v>
      </c>
      <c r="J33" s="47">
        <v>78300</v>
      </c>
      <c r="K33" s="26">
        <v>5320000</v>
      </c>
      <c r="L33" s="26">
        <v>57500000</v>
      </c>
      <c r="M33" s="47">
        <v>44700</v>
      </c>
      <c r="N33" s="47">
        <v>25400</v>
      </c>
      <c r="O33" s="26">
        <v>1450000</v>
      </c>
      <c r="P33" s="47">
        <v>10400</v>
      </c>
      <c r="Q33" s="26">
        <v>1170000</v>
      </c>
      <c r="R33" s="26">
        <v>27200000</v>
      </c>
      <c r="S33" s="26">
        <v>749000</v>
      </c>
      <c r="T33" s="276">
        <f t="shared" si="0"/>
        <v>0.30827586206896551</v>
      </c>
      <c r="U33" s="277">
        <f t="shared" si="1"/>
        <v>1.7887323943661972E-3</v>
      </c>
      <c r="Z33" s="33"/>
    </row>
    <row r="34" spans="1:26">
      <c r="B34">
        <v>5.38</v>
      </c>
      <c r="C34" s="26">
        <v>155000000</v>
      </c>
      <c r="D34" s="26">
        <v>44700000</v>
      </c>
      <c r="E34" s="26">
        <v>7260000</v>
      </c>
      <c r="F34" s="26">
        <v>2950000</v>
      </c>
      <c r="G34" s="47"/>
      <c r="H34" s="26">
        <v>4030000</v>
      </c>
      <c r="I34" s="26">
        <v>4690000</v>
      </c>
      <c r="J34" s="47">
        <v>40200</v>
      </c>
      <c r="K34" s="26">
        <v>5490000</v>
      </c>
      <c r="L34" s="26">
        <v>31600000</v>
      </c>
      <c r="M34" s="47">
        <v>11600</v>
      </c>
      <c r="N34" s="47">
        <v>8190</v>
      </c>
      <c r="O34" s="26">
        <v>103000</v>
      </c>
      <c r="P34" s="47">
        <v>8270</v>
      </c>
      <c r="Q34" s="26">
        <v>1360000</v>
      </c>
      <c r="R34" s="26">
        <v>12300000</v>
      </c>
      <c r="S34" s="26">
        <v>568000</v>
      </c>
      <c r="T34" s="276">
        <f t="shared" si="0"/>
        <v>0.24733475479744135</v>
      </c>
      <c r="U34" s="277">
        <f t="shared" si="1"/>
        <v>2.0322580645161289E-3</v>
      </c>
      <c r="Z34" s="33"/>
    </row>
    <row r="35" spans="1:26">
      <c r="U35" s="277"/>
      <c r="Z35" s="33"/>
    </row>
    <row r="36" spans="1:26">
      <c r="P36" t="s">
        <v>1045</v>
      </c>
      <c r="U36" s="277"/>
      <c r="Z36" s="33"/>
    </row>
    <row r="37" spans="1:26">
      <c r="A37" s="250" t="s">
        <v>1228</v>
      </c>
      <c r="B37">
        <v>0.01</v>
      </c>
      <c r="C37" s="26">
        <v>2460000000</v>
      </c>
      <c r="D37" s="26">
        <v>409000000</v>
      </c>
      <c r="E37" s="26">
        <v>9900000</v>
      </c>
      <c r="F37" s="26">
        <v>350000000</v>
      </c>
      <c r="G37" s="26">
        <v>177000000</v>
      </c>
      <c r="H37" s="26">
        <v>314000000</v>
      </c>
      <c r="I37" s="26">
        <v>20700000</v>
      </c>
      <c r="J37" s="26">
        <v>17600000</v>
      </c>
      <c r="K37" s="26">
        <v>203000000</v>
      </c>
      <c r="L37" s="26">
        <v>251000000</v>
      </c>
      <c r="M37" s="26">
        <v>661000</v>
      </c>
      <c r="N37" s="26">
        <v>2260000</v>
      </c>
      <c r="O37" s="26">
        <v>521000000</v>
      </c>
      <c r="P37" s="26">
        <v>688000</v>
      </c>
      <c r="Q37">
        <v>75400</v>
      </c>
      <c r="R37" s="26">
        <v>327000000</v>
      </c>
      <c r="S37" s="26">
        <v>3960000</v>
      </c>
      <c r="T37" s="276">
        <f t="shared" si="0"/>
        <v>3.1932367149758454</v>
      </c>
      <c r="U37" s="277">
        <f t="shared" si="1"/>
        <v>7.1974522292993634E-3</v>
      </c>
      <c r="Z37" s="33"/>
    </row>
    <row r="38" spans="1:26">
      <c r="B38">
        <v>0.03</v>
      </c>
      <c r="C38" s="26">
        <v>1950000000</v>
      </c>
      <c r="F38" s="26">
        <v>32600000</v>
      </c>
      <c r="G38" s="26">
        <v>43200000</v>
      </c>
      <c r="H38" s="26">
        <v>326000000</v>
      </c>
      <c r="I38" s="26">
        <v>1980000</v>
      </c>
      <c r="J38" s="26">
        <v>3890000</v>
      </c>
      <c r="K38" s="26">
        <v>144000000</v>
      </c>
      <c r="L38" s="26">
        <v>169000000</v>
      </c>
      <c r="M38" s="26">
        <v>289000</v>
      </c>
      <c r="N38" s="26">
        <v>1440000</v>
      </c>
      <c r="O38" s="26">
        <v>89500000</v>
      </c>
      <c r="P38" s="26">
        <v>384000</v>
      </c>
      <c r="Q38">
        <v>77600</v>
      </c>
      <c r="R38" s="26">
        <v>155000000</v>
      </c>
      <c r="S38" s="26">
        <v>2810000</v>
      </c>
      <c r="T38" s="276">
        <f t="shared" si="0"/>
        <v>14.595959595959595</v>
      </c>
      <c r="U38" s="277">
        <f t="shared" si="1"/>
        <v>4.4171779141104293E-3</v>
      </c>
      <c r="Z38" s="33"/>
    </row>
    <row r="39" spans="1:26">
      <c r="B39">
        <v>0.05</v>
      </c>
      <c r="C39" s="26">
        <v>1530000000</v>
      </c>
      <c r="F39" s="26">
        <v>45600000</v>
      </c>
      <c r="G39" s="26">
        <v>22000000</v>
      </c>
      <c r="H39" s="26">
        <v>500000000</v>
      </c>
      <c r="I39" s="26">
        <v>28800000</v>
      </c>
      <c r="J39" s="26">
        <v>724000</v>
      </c>
      <c r="K39" s="26">
        <v>157000000</v>
      </c>
      <c r="L39" s="26">
        <v>238000000</v>
      </c>
      <c r="M39" s="26">
        <v>336000</v>
      </c>
      <c r="N39" s="26">
        <v>1810000</v>
      </c>
      <c r="O39" s="26">
        <v>454000000</v>
      </c>
      <c r="P39" s="26">
        <v>538000</v>
      </c>
      <c r="Q39">
        <v>83600</v>
      </c>
      <c r="R39" s="26">
        <v>239000000</v>
      </c>
      <c r="S39" s="26">
        <v>3610000</v>
      </c>
      <c r="T39" s="276">
        <f t="shared" si="0"/>
        <v>1.1666666666666667</v>
      </c>
      <c r="U39" s="277">
        <f t="shared" si="1"/>
        <v>3.62E-3</v>
      </c>
      <c r="Z39" s="33"/>
    </row>
    <row r="40" spans="1:26">
      <c r="B40">
        <v>7.0000000000000007E-2</v>
      </c>
      <c r="C40" s="26">
        <v>557000000</v>
      </c>
      <c r="D40" s="26">
        <v>160000000</v>
      </c>
      <c r="E40" s="26">
        <v>13500000</v>
      </c>
      <c r="F40" s="26">
        <v>9340000</v>
      </c>
      <c r="G40" s="26">
        <v>25100000</v>
      </c>
      <c r="H40" s="26">
        <v>31300000</v>
      </c>
      <c r="I40" s="26">
        <v>17500000</v>
      </c>
      <c r="J40">
        <v>30400</v>
      </c>
      <c r="K40" s="26">
        <v>22600000</v>
      </c>
      <c r="L40" s="26">
        <v>40500000</v>
      </c>
      <c r="M40">
        <v>53800</v>
      </c>
      <c r="N40" s="26">
        <v>483000</v>
      </c>
      <c r="O40" s="26">
        <v>18500000</v>
      </c>
      <c r="P40">
        <v>41300</v>
      </c>
      <c r="Q40">
        <v>95400</v>
      </c>
      <c r="R40" s="26">
        <v>25200000</v>
      </c>
      <c r="S40" s="26">
        <v>805000</v>
      </c>
      <c r="T40" s="276">
        <f t="shared" si="0"/>
        <v>0.30742857142857144</v>
      </c>
      <c r="U40" s="277">
        <f t="shared" si="1"/>
        <v>1.5431309904153355E-2</v>
      </c>
      <c r="Z40" s="33"/>
    </row>
    <row r="41" spans="1:26">
      <c r="B41">
        <v>0.09</v>
      </c>
      <c r="C41" s="26">
        <v>484000000</v>
      </c>
      <c r="F41" s="26">
        <v>2630000</v>
      </c>
      <c r="G41" s="26">
        <v>17300000</v>
      </c>
      <c r="H41" s="26">
        <v>48700000</v>
      </c>
      <c r="I41" s="26">
        <v>35000000</v>
      </c>
      <c r="J41">
        <v>28100</v>
      </c>
      <c r="K41" s="26">
        <v>2800000</v>
      </c>
      <c r="L41" s="26">
        <v>55800000</v>
      </c>
      <c r="M41">
        <v>31800</v>
      </c>
      <c r="N41">
        <v>56300</v>
      </c>
      <c r="O41" s="26">
        <v>15500000</v>
      </c>
      <c r="P41">
        <v>41100</v>
      </c>
      <c r="Q41" s="26">
        <v>108000</v>
      </c>
      <c r="R41" s="26">
        <v>19900000</v>
      </c>
      <c r="S41" s="26">
        <v>699000</v>
      </c>
      <c r="T41" s="276">
        <f t="shared" si="0"/>
        <v>9.0857142857142859E-2</v>
      </c>
      <c r="U41" s="277">
        <f t="shared" si="1"/>
        <v>1.1560574948665297E-3</v>
      </c>
      <c r="Z41" s="33"/>
    </row>
    <row r="42" spans="1:26">
      <c r="B42">
        <v>0.11</v>
      </c>
      <c r="C42" s="26">
        <v>498000000</v>
      </c>
      <c r="D42" s="26">
        <v>170000000</v>
      </c>
      <c r="E42" s="26">
        <v>8090000</v>
      </c>
      <c r="F42" s="26">
        <v>9640000</v>
      </c>
      <c r="G42" s="26">
        <v>23600000</v>
      </c>
      <c r="H42" s="26">
        <v>10900000</v>
      </c>
      <c r="I42" s="26">
        <v>2910000</v>
      </c>
      <c r="J42">
        <v>12100</v>
      </c>
      <c r="K42" s="26">
        <v>2160000</v>
      </c>
      <c r="L42" s="26">
        <v>15800000</v>
      </c>
      <c r="M42">
        <v>8510</v>
      </c>
      <c r="N42">
        <v>19200</v>
      </c>
      <c r="O42" s="26">
        <v>2470000</v>
      </c>
      <c r="P42">
        <v>25500</v>
      </c>
      <c r="Q42">
        <v>85100</v>
      </c>
      <c r="R42" s="26">
        <v>3520000</v>
      </c>
      <c r="S42">
        <v>33400</v>
      </c>
      <c r="T42" s="276">
        <f t="shared" si="0"/>
        <v>0.29243986254295534</v>
      </c>
      <c r="U42" s="277">
        <f t="shared" si="1"/>
        <v>1.761467889908257E-3</v>
      </c>
      <c r="Z42" s="33"/>
    </row>
    <row r="43" spans="1:26">
      <c r="B43">
        <v>0.56000000000000005</v>
      </c>
      <c r="C43" s="26">
        <v>320000000</v>
      </c>
      <c r="D43" s="26">
        <v>64200000</v>
      </c>
      <c r="E43" s="26">
        <v>17100000</v>
      </c>
      <c r="F43" s="26">
        <v>1240000</v>
      </c>
      <c r="H43" s="26">
        <v>40900000</v>
      </c>
      <c r="I43" s="26">
        <v>56900000</v>
      </c>
      <c r="J43" s="26">
        <v>2180000</v>
      </c>
      <c r="K43" s="26">
        <v>12100000</v>
      </c>
      <c r="L43" s="26">
        <v>198000000</v>
      </c>
      <c r="M43">
        <v>33500</v>
      </c>
      <c r="N43" s="26">
        <v>221000</v>
      </c>
      <c r="O43" s="26">
        <v>9810000</v>
      </c>
      <c r="Q43">
        <v>60300</v>
      </c>
      <c r="R43" s="26">
        <v>49900000</v>
      </c>
      <c r="S43" s="26">
        <v>2500000</v>
      </c>
      <c r="T43" s="276">
        <f t="shared" si="0"/>
        <v>5.8875219683655534E-2</v>
      </c>
      <c r="U43" s="277">
        <f t="shared" si="1"/>
        <v>5.4034229828850856E-3</v>
      </c>
    </row>
    <row r="44" spans="1:26">
      <c r="B44">
        <v>1.3</v>
      </c>
      <c r="C44" s="26">
        <v>220000000</v>
      </c>
      <c r="F44" s="26">
        <v>1370000</v>
      </c>
      <c r="H44" s="26">
        <v>23200000</v>
      </c>
      <c r="I44" s="26">
        <v>27400000</v>
      </c>
      <c r="J44" s="26">
        <v>746000</v>
      </c>
      <c r="K44" s="26">
        <v>9870000</v>
      </c>
      <c r="L44" s="26">
        <v>110000000</v>
      </c>
      <c r="M44">
        <v>17700</v>
      </c>
      <c r="N44">
        <v>80200</v>
      </c>
      <c r="O44" s="26">
        <v>577000</v>
      </c>
      <c r="P44">
        <v>740</v>
      </c>
      <c r="Q44">
        <v>25400</v>
      </c>
      <c r="R44" s="26">
        <v>24900000</v>
      </c>
      <c r="S44" s="26">
        <v>1070000</v>
      </c>
      <c r="T44" s="276">
        <f t="shared" si="0"/>
        <v>6.45985401459854E-2</v>
      </c>
      <c r="U44" s="277">
        <f t="shared" si="1"/>
        <v>3.4568965517241378E-3</v>
      </c>
    </row>
    <row r="45" spans="1:26">
      <c r="B45">
        <v>1.8</v>
      </c>
      <c r="C45" s="26">
        <v>171000000</v>
      </c>
      <c r="D45" s="26">
        <v>45900000</v>
      </c>
      <c r="E45" s="26">
        <v>10200000</v>
      </c>
      <c r="F45" s="26">
        <v>393000</v>
      </c>
      <c r="H45" s="26">
        <v>12600000</v>
      </c>
      <c r="I45" s="26">
        <v>7400000</v>
      </c>
      <c r="J45" s="26">
        <v>709000</v>
      </c>
      <c r="K45" s="26">
        <v>9720000</v>
      </c>
      <c r="L45" s="26">
        <v>104000000</v>
      </c>
      <c r="M45">
        <v>70000</v>
      </c>
      <c r="N45">
        <v>44000</v>
      </c>
      <c r="O45" s="26">
        <v>5670000</v>
      </c>
      <c r="P45">
        <v>15800</v>
      </c>
      <c r="Q45">
        <v>23500</v>
      </c>
      <c r="R45" s="26">
        <v>15900000</v>
      </c>
      <c r="S45" s="26">
        <v>349000</v>
      </c>
      <c r="T45" s="276">
        <f t="shared" si="0"/>
        <v>0.94594594594594594</v>
      </c>
      <c r="U45" s="277">
        <f t="shared" si="1"/>
        <v>3.4920634920634921E-3</v>
      </c>
    </row>
    <row r="46" spans="1:26">
      <c r="B46">
        <v>2.4700000000000002</v>
      </c>
      <c r="C46" s="26">
        <v>76300000</v>
      </c>
      <c r="H46" s="26">
        <v>3810000</v>
      </c>
      <c r="I46" s="26">
        <v>1420000</v>
      </c>
      <c r="K46" s="26">
        <v>8290000</v>
      </c>
      <c r="L46" s="26">
        <v>20300000</v>
      </c>
      <c r="M46">
        <v>18200</v>
      </c>
      <c r="N46">
        <v>4910</v>
      </c>
      <c r="O46" s="26">
        <v>4790000</v>
      </c>
      <c r="P46">
        <v>18800</v>
      </c>
      <c r="Q46">
        <v>10700</v>
      </c>
      <c r="R46" s="26">
        <v>4580000</v>
      </c>
      <c r="S46">
        <v>68400</v>
      </c>
      <c r="T46" s="276">
        <f t="shared" si="0"/>
        <v>1.2816901408450705</v>
      </c>
      <c r="U46" s="277">
        <f t="shared" si="1"/>
        <v>1.2887139107611548E-3</v>
      </c>
    </row>
    <row r="47" spans="1:26">
      <c r="B47">
        <v>3.06</v>
      </c>
      <c r="C47" s="26">
        <v>54100000</v>
      </c>
      <c r="D47" s="26">
        <v>13500000</v>
      </c>
      <c r="E47" s="26">
        <v>11000000</v>
      </c>
      <c r="F47" s="26">
        <v>196000</v>
      </c>
      <c r="H47" s="26">
        <v>11100000</v>
      </c>
      <c r="I47" s="26">
        <v>2260000</v>
      </c>
      <c r="J47" s="26">
        <v>114000</v>
      </c>
      <c r="K47" s="26">
        <v>9470000</v>
      </c>
      <c r="L47" s="26">
        <v>32200000</v>
      </c>
      <c r="M47">
        <v>42500</v>
      </c>
      <c r="N47">
        <v>15000</v>
      </c>
      <c r="O47" s="26">
        <v>4890000</v>
      </c>
      <c r="Q47">
        <v>28700</v>
      </c>
      <c r="R47" s="26">
        <v>6780000</v>
      </c>
      <c r="S47" s="26">
        <v>153000</v>
      </c>
      <c r="T47" s="276">
        <f t="shared" si="0"/>
        <v>1.8805309734513274</v>
      </c>
      <c r="U47" s="277">
        <f t="shared" si="1"/>
        <v>1.3513513513513514E-3</v>
      </c>
    </row>
    <row r="48" spans="1:26">
      <c r="B48">
        <v>3.52</v>
      </c>
      <c r="C48" s="26">
        <v>56800000</v>
      </c>
      <c r="H48" s="26">
        <v>1210000</v>
      </c>
      <c r="I48" s="26">
        <v>279000</v>
      </c>
      <c r="J48">
        <v>68500</v>
      </c>
      <c r="K48" s="26">
        <v>134000000</v>
      </c>
      <c r="L48" s="26">
        <v>3650000</v>
      </c>
      <c r="M48">
        <v>7510</v>
      </c>
      <c r="N48">
        <v>2950</v>
      </c>
      <c r="O48" s="26">
        <v>3210000</v>
      </c>
      <c r="P48">
        <v>19800</v>
      </c>
      <c r="Q48">
        <v>42500</v>
      </c>
      <c r="R48" s="26">
        <v>811000</v>
      </c>
      <c r="S48">
        <v>17200</v>
      </c>
      <c r="T48" s="276">
        <f t="shared" si="0"/>
        <v>2.6917562724014337</v>
      </c>
      <c r="U48" s="277">
        <f t="shared" si="1"/>
        <v>2.4380165289256198E-3</v>
      </c>
    </row>
    <row r="49" spans="2:21">
      <c r="B49">
        <v>3.99</v>
      </c>
      <c r="C49" s="26">
        <v>63800000</v>
      </c>
      <c r="F49" s="26">
        <v>3140000</v>
      </c>
      <c r="H49" s="26">
        <v>6520000</v>
      </c>
      <c r="I49" s="26">
        <v>1570000</v>
      </c>
      <c r="J49">
        <v>18900</v>
      </c>
      <c r="K49" s="26">
        <v>9740000</v>
      </c>
      <c r="L49" s="26">
        <v>14400000</v>
      </c>
      <c r="M49">
        <v>24100</v>
      </c>
      <c r="N49">
        <v>3290</v>
      </c>
      <c r="O49" s="26">
        <v>4770000</v>
      </c>
      <c r="P49">
        <v>6990</v>
      </c>
      <c r="Q49">
        <v>33700</v>
      </c>
      <c r="R49" s="26">
        <v>2540000</v>
      </c>
      <c r="S49">
        <v>73400</v>
      </c>
      <c r="T49" s="276">
        <f t="shared" si="0"/>
        <v>1.5350318471337581</v>
      </c>
      <c r="U49" s="277">
        <f t="shared" si="1"/>
        <v>5.0460122699386503E-4</v>
      </c>
    </row>
    <row r="50" spans="2:21">
      <c r="B50">
        <v>4.7300000000000004</v>
      </c>
      <c r="C50" s="26">
        <v>72100000</v>
      </c>
      <c r="D50" s="26">
        <v>35900000</v>
      </c>
      <c r="E50" s="26">
        <v>8410000</v>
      </c>
      <c r="H50" s="26">
        <v>6710000</v>
      </c>
      <c r="I50" s="26">
        <v>2370000</v>
      </c>
      <c r="J50">
        <v>84400</v>
      </c>
      <c r="K50" s="26">
        <v>9290000</v>
      </c>
      <c r="L50" s="26">
        <v>29000000</v>
      </c>
      <c r="M50">
        <v>37900</v>
      </c>
      <c r="N50">
        <v>8460</v>
      </c>
      <c r="O50" s="26">
        <v>5590000</v>
      </c>
      <c r="P50">
        <v>5620</v>
      </c>
      <c r="Q50">
        <v>41000</v>
      </c>
      <c r="R50" s="26">
        <v>5300000</v>
      </c>
      <c r="S50" s="26">
        <v>171000</v>
      </c>
      <c r="T50" s="276">
        <f t="shared" si="0"/>
        <v>1.5991561181434599</v>
      </c>
      <c r="U50" s="277">
        <f t="shared" si="1"/>
        <v>1.2608047690014902E-3</v>
      </c>
    </row>
    <row r="51" spans="2:21">
      <c r="B51">
        <v>5.0949999999999998</v>
      </c>
      <c r="C51" s="26">
        <v>66500000</v>
      </c>
      <c r="F51" s="26">
        <v>393000</v>
      </c>
      <c r="I51" s="26">
        <v>138000</v>
      </c>
      <c r="J51">
        <v>46100</v>
      </c>
      <c r="K51" s="26">
        <v>48800000</v>
      </c>
      <c r="L51" s="26">
        <v>1150000</v>
      </c>
      <c r="M51">
        <v>1090</v>
      </c>
      <c r="N51">
        <v>148</v>
      </c>
      <c r="O51" s="26">
        <v>4500000</v>
      </c>
      <c r="Q51">
        <v>43500</v>
      </c>
      <c r="R51" s="26">
        <v>448000</v>
      </c>
      <c r="S51">
        <v>567</v>
      </c>
      <c r="T51" s="276">
        <f t="shared" si="0"/>
        <v>0.78985507246376807</v>
      </c>
      <c r="U51" s="277" t="e">
        <f t="shared" si="1"/>
        <v>#DIV/0!</v>
      </c>
    </row>
    <row r="52" spans="2:21">
      <c r="B52">
        <v>5.375</v>
      </c>
      <c r="C52" s="26">
        <v>62400000</v>
      </c>
      <c r="D52" s="26">
        <v>13000000</v>
      </c>
      <c r="E52" s="26">
        <v>6500000</v>
      </c>
      <c r="I52" s="26">
        <v>819000</v>
      </c>
      <c r="J52" s="26">
        <v>100000</v>
      </c>
      <c r="K52" s="26">
        <v>139000000</v>
      </c>
      <c r="L52" s="26">
        <v>8760000</v>
      </c>
      <c r="M52">
        <v>12900</v>
      </c>
      <c r="N52">
        <v>551</v>
      </c>
      <c r="O52" s="26">
        <v>1060000</v>
      </c>
      <c r="P52">
        <v>11700</v>
      </c>
      <c r="Q52">
        <v>27800</v>
      </c>
      <c r="R52" s="26">
        <v>449000</v>
      </c>
      <c r="S52">
        <v>10600</v>
      </c>
      <c r="T52" s="276">
        <f t="shared" si="0"/>
        <v>1.575091575091575</v>
      </c>
      <c r="U52" s="277" t="e">
        <f t="shared" si="1"/>
        <v>#DIV/0!</v>
      </c>
    </row>
    <row r="53" spans="2:21">
      <c r="B53">
        <v>3.3</v>
      </c>
      <c r="C53" s="26">
        <v>37400000</v>
      </c>
      <c r="D53" s="26">
        <v>14100000</v>
      </c>
      <c r="E53" s="26">
        <v>6670000</v>
      </c>
      <c r="F53" s="26">
        <v>2750000</v>
      </c>
      <c r="I53" s="26">
        <v>1320000</v>
      </c>
      <c r="J53">
        <v>47300</v>
      </c>
      <c r="K53" s="26">
        <v>14300000</v>
      </c>
      <c r="L53" s="26">
        <v>10000000</v>
      </c>
      <c r="M53">
        <v>17900</v>
      </c>
      <c r="N53">
        <v>17000</v>
      </c>
      <c r="O53" s="26">
        <v>470000</v>
      </c>
      <c r="Q53">
        <v>43600</v>
      </c>
      <c r="R53" s="26">
        <v>5470000</v>
      </c>
      <c r="S53">
        <v>26800</v>
      </c>
      <c r="T53" s="276">
        <f t="shared" si="0"/>
        <v>1.356060606060606</v>
      </c>
      <c r="U53" s="277" t="e">
        <f t="shared" si="1"/>
        <v>#DIV/0!</v>
      </c>
    </row>
    <row r="54" spans="2:21">
      <c r="B54">
        <v>5.3150000000000004</v>
      </c>
      <c r="C54" s="26">
        <v>52700000</v>
      </c>
      <c r="F54" s="26">
        <v>1180000</v>
      </c>
      <c r="I54" s="26">
        <v>715000</v>
      </c>
      <c r="J54">
        <v>21600</v>
      </c>
      <c r="K54" s="26">
        <v>8070000</v>
      </c>
      <c r="L54" s="26">
        <v>4800000</v>
      </c>
      <c r="M54">
        <v>6860</v>
      </c>
      <c r="N54">
        <v>12300</v>
      </c>
      <c r="O54" s="26">
        <v>481000</v>
      </c>
      <c r="Q54">
        <v>39000</v>
      </c>
      <c r="R54" s="26">
        <v>874000</v>
      </c>
      <c r="S54">
        <v>7730</v>
      </c>
      <c r="T54" s="276">
        <f t="shared" si="0"/>
        <v>0.95944055944055939</v>
      </c>
      <c r="U54" s="277" t="e">
        <f t="shared" si="1"/>
        <v>#DIV/0!</v>
      </c>
    </row>
    <row r="55" spans="2:21">
      <c r="B55">
        <v>5.32</v>
      </c>
      <c r="C55" s="26">
        <v>16600000</v>
      </c>
      <c r="D55" s="26">
        <v>8830000</v>
      </c>
      <c r="E55" s="26">
        <v>8570000</v>
      </c>
      <c r="F55" s="26">
        <v>393000</v>
      </c>
      <c r="I55" s="26">
        <v>234000</v>
      </c>
      <c r="J55">
        <v>10400</v>
      </c>
      <c r="K55" s="26">
        <v>8750000</v>
      </c>
      <c r="L55" s="26">
        <v>1800000</v>
      </c>
      <c r="M55">
        <v>3440</v>
      </c>
      <c r="N55">
        <v>16100</v>
      </c>
      <c r="O55" s="26">
        <v>6600000</v>
      </c>
      <c r="Q55">
        <v>44000</v>
      </c>
      <c r="R55" s="26">
        <v>334000</v>
      </c>
      <c r="S55">
        <v>13800</v>
      </c>
      <c r="T55" s="276">
        <f t="shared" si="0"/>
        <v>1.4700854700854702</v>
      </c>
      <c r="U55" s="277" t="e">
        <f t="shared" si="1"/>
        <v>#DIV/0!</v>
      </c>
    </row>
  </sheetData>
  <sortState ref="A20:XFD34">
    <sortCondition ref="B20:B34"/>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P39" sqref="P39"/>
    </sheetView>
  </sheetViews>
  <sheetFormatPr baseColWidth="10" defaultRowHeight="13" x14ac:dyDescent="0"/>
  <cols>
    <col min="1" max="1" width="15" customWidth="1"/>
    <col min="3" max="3" width="10.7109375" style="286"/>
  </cols>
  <sheetData>
    <row r="1" spans="1:16">
      <c r="A1" t="s">
        <v>482</v>
      </c>
    </row>
    <row r="3" spans="1:16" ht="26">
      <c r="A3" t="s">
        <v>468</v>
      </c>
      <c r="B3" s="43" t="s">
        <v>445</v>
      </c>
      <c r="C3" s="43" t="s">
        <v>864</v>
      </c>
      <c r="D3" s="43" t="s">
        <v>469</v>
      </c>
      <c r="E3" s="43" t="s">
        <v>470</v>
      </c>
      <c r="F3" s="43" t="s">
        <v>471</v>
      </c>
      <c r="G3" s="43" t="s">
        <v>472</v>
      </c>
      <c r="H3" s="43" t="s">
        <v>473</v>
      </c>
      <c r="I3" s="43" t="s">
        <v>474</v>
      </c>
      <c r="J3" s="43" t="s">
        <v>475</v>
      </c>
      <c r="K3" s="43" t="s">
        <v>476</v>
      </c>
      <c r="L3" s="43" t="s">
        <v>477</v>
      </c>
      <c r="M3" s="43" t="s">
        <v>478</v>
      </c>
      <c r="N3" s="43" t="s">
        <v>479</v>
      </c>
      <c r="O3" s="43" t="s">
        <v>480</v>
      </c>
      <c r="P3" s="43" t="s">
        <v>446</v>
      </c>
    </row>
    <row r="4" spans="1:16">
      <c r="A4" s="272" t="s">
        <v>468</v>
      </c>
      <c r="B4" s="272">
        <v>6.4777327935227197E-2</v>
      </c>
      <c r="C4" s="286">
        <f>B4/100</f>
        <v>6.4777327935227193E-4</v>
      </c>
      <c r="D4" s="272">
        <v>9.4308807134894099</v>
      </c>
      <c r="E4" s="272">
        <v>7.89230769230769</v>
      </c>
      <c r="F4" s="272">
        <v>7.3076923076923004</v>
      </c>
      <c r="G4" s="272">
        <v>9.3719143647969201</v>
      </c>
      <c r="H4" s="272">
        <v>8.125</v>
      </c>
      <c r="I4" s="272">
        <v>6.375</v>
      </c>
      <c r="J4" s="282">
        <f>10^D4</f>
        <v>2696998553.2804017</v>
      </c>
      <c r="K4" s="282">
        <f t="shared" ref="K4:O11" si="0">10^E4</f>
        <v>78038280.634694979</v>
      </c>
      <c r="L4" s="282">
        <f t="shared" si="0"/>
        <v>20309176.209047072</v>
      </c>
      <c r="M4" s="282">
        <f t="shared" si="0"/>
        <v>2354584955.5427608</v>
      </c>
      <c r="N4" s="282">
        <f t="shared" si="0"/>
        <v>133352143.21633248</v>
      </c>
      <c r="O4" s="282">
        <f t="shared" si="0"/>
        <v>2371373.7056616582</v>
      </c>
      <c r="P4">
        <v>27.777787627093002</v>
      </c>
    </row>
    <row r="5" spans="1:16">
      <c r="A5" s="272" t="s">
        <v>468</v>
      </c>
      <c r="B5" s="272">
        <v>2.07287449392713</v>
      </c>
      <c r="C5" s="286">
        <f t="shared" ref="C5:C29" si="1">B5/100</f>
        <v>2.07287449392713E-2</v>
      </c>
      <c r="D5" s="272">
        <v>9.0957636566332205</v>
      </c>
      <c r="E5" s="272">
        <v>7.3726867335563</v>
      </c>
      <c r="F5" s="272">
        <v>7.4342251950947604</v>
      </c>
      <c r="G5" s="272">
        <v>9.0306646976702893</v>
      </c>
      <c r="H5" s="272">
        <v>7.9375</v>
      </c>
      <c r="I5" s="272">
        <v>5.625</v>
      </c>
      <c r="J5" s="282">
        <f t="shared" ref="J5:J11" si="2">10^D5</f>
        <v>1246704871.9204583</v>
      </c>
      <c r="K5" s="282">
        <f t="shared" si="0"/>
        <v>23587761.807200257</v>
      </c>
      <c r="L5" s="282">
        <f t="shared" si="0"/>
        <v>27178481.917050295</v>
      </c>
      <c r="M5" s="282">
        <f t="shared" si="0"/>
        <v>1073160545.7801516</v>
      </c>
      <c r="N5" s="282">
        <f t="shared" si="0"/>
        <v>86596432.336006731</v>
      </c>
      <c r="O5" s="282">
        <f t="shared" si="0"/>
        <v>421696.5034285828</v>
      </c>
      <c r="P5">
        <v>26.115449734511699</v>
      </c>
    </row>
    <row r="6" spans="1:16">
      <c r="A6" s="272" t="s">
        <v>468</v>
      </c>
      <c r="B6" s="272">
        <v>4.0161943319838</v>
      </c>
      <c r="C6" s="286">
        <f t="shared" si="1"/>
        <v>4.0161943319838002E-2</v>
      </c>
      <c r="D6" s="272">
        <v>8.7299888517279793</v>
      </c>
      <c r="E6" s="272">
        <v>7.0684503901895201</v>
      </c>
      <c r="F6" s="272">
        <v>6.9453734671125904</v>
      </c>
      <c r="G6" s="272">
        <v>8.6803447357590695</v>
      </c>
      <c r="H6" s="272">
        <v>7.4375</v>
      </c>
      <c r="I6" s="272">
        <v>6.65625</v>
      </c>
      <c r="J6" s="282">
        <f t="shared" si="2"/>
        <v>537018011.0242337</v>
      </c>
      <c r="K6" s="282">
        <f t="shared" si="0"/>
        <v>11707128.632030929</v>
      </c>
      <c r="L6" s="282">
        <f t="shared" si="0"/>
        <v>8818068.4786476549</v>
      </c>
      <c r="M6" s="282">
        <f t="shared" si="0"/>
        <v>479010171.78459936</v>
      </c>
      <c r="N6" s="282">
        <f t="shared" si="0"/>
        <v>27384196.342643615</v>
      </c>
      <c r="O6" s="282">
        <f t="shared" si="0"/>
        <v>4531583.637600828</v>
      </c>
      <c r="P6">
        <v>16.4427227841256</v>
      </c>
    </row>
    <row r="7" spans="1:16">
      <c r="A7" s="272" t="s">
        <v>468</v>
      </c>
      <c r="B7" s="272">
        <v>6.08906882591093</v>
      </c>
      <c r="C7" s="286">
        <f t="shared" si="1"/>
        <v>6.0890688259109302E-2</v>
      </c>
      <c r="D7" s="272">
        <v>9.0719063545150505</v>
      </c>
      <c r="E7" s="272">
        <v>6.82564102564102</v>
      </c>
      <c r="F7" s="272">
        <v>6.7025641025641001</v>
      </c>
      <c r="G7" s="272">
        <v>9.0193671774759707</v>
      </c>
      <c r="H7" s="272">
        <v>8.15625</v>
      </c>
      <c r="I7" s="272">
        <v>5.96875</v>
      </c>
      <c r="J7" s="282">
        <f t="shared" si="2"/>
        <v>1180066154.4483285</v>
      </c>
      <c r="K7" s="282">
        <f t="shared" si="0"/>
        <v>6693311.3233462498</v>
      </c>
      <c r="L7" s="282">
        <f t="shared" si="0"/>
        <v>5041550.2770415293</v>
      </c>
      <c r="M7" s="282">
        <f t="shared" si="0"/>
        <v>1045603859.1302559</v>
      </c>
      <c r="N7" s="282">
        <f t="shared" si="0"/>
        <v>143301257.0236963</v>
      </c>
      <c r="O7" s="282">
        <f t="shared" si="0"/>
        <v>930572.04092970048</v>
      </c>
      <c r="P7">
        <v>10.232690074549399</v>
      </c>
    </row>
    <row r="8" spans="1:16">
      <c r="A8" s="272" t="s">
        <v>468</v>
      </c>
      <c r="B8" s="272">
        <v>8.5506072874493899</v>
      </c>
      <c r="C8" s="286">
        <f t="shared" si="1"/>
        <v>8.5506072874493896E-2</v>
      </c>
      <c r="D8" s="272">
        <v>8.8607580824972096</v>
      </c>
      <c r="E8" s="272">
        <v>6.8298773690078001</v>
      </c>
      <c r="F8" s="272">
        <v>6.6453734671125897</v>
      </c>
      <c r="G8" s="272">
        <v>8.8059731603198799</v>
      </c>
      <c r="H8" s="272">
        <v>7.8437499999999902</v>
      </c>
      <c r="I8" s="272">
        <v>5.8124999999999902</v>
      </c>
      <c r="J8" s="282">
        <f t="shared" si="2"/>
        <v>725701603.17192292</v>
      </c>
      <c r="K8" s="282">
        <f t="shared" si="0"/>
        <v>6758920.9794536568</v>
      </c>
      <c r="L8" s="282">
        <f t="shared" si="0"/>
        <v>4419503.3467492647</v>
      </c>
      <c r="M8" s="282">
        <f t="shared" si="0"/>
        <v>639695300.67733848</v>
      </c>
      <c r="N8" s="282">
        <f t="shared" si="0"/>
        <v>69783058.48598513</v>
      </c>
      <c r="O8" s="282">
        <f t="shared" si="0"/>
        <v>649381.63157619722</v>
      </c>
      <c r="P8">
        <v>8.2580599409632107</v>
      </c>
    </row>
    <row r="9" spans="1:16">
      <c r="A9" s="272" t="s">
        <v>468</v>
      </c>
      <c r="B9" s="272">
        <v>11.0121457489878</v>
      </c>
      <c r="C9" s="286">
        <f t="shared" si="1"/>
        <v>0.11012145748987801</v>
      </c>
      <c r="D9" s="272">
        <v>8.6188405797101399</v>
      </c>
      <c r="E9" s="272">
        <v>6.4649944258639902</v>
      </c>
      <c r="F9" s="272">
        <v>6.49576365663322</v>
      </c>
      <c r="G9" s="272">
        <v>8.6106874541038199</v>
      </c>
      <c r="H9" s="272">
        <v>7.3437499999999902</v>
      </c>
      <c r="I9" s="272">
        <v>5.96875</v>
      </c>
      <c r="J9" s="282">
        <f t="shared" si="2"/>
        <v>415757966.55119556</v>
      </c>
      <c r="K9" s="282">
        <f t="shared" si="0"/>
        <v>2917389.569291899</v>
      </c>
      <c r="L9" s="282">
        <f t="shared" si="0"/>
        <v>3131581.0518738828</v>
      </c>
      <c r="M9" s="282">
        <f t="shared" si="0"/>
        <v>408025639.47738642</v>
      </c>
      <c r="N9" s="282">
        <f t="shared" si="0"/>
        <v>22067340.690845449</v>
      </c>
      <c r="O9" s="282">
        <f t="shared" si="0"/>
        <v>930572.04092970048</v>
      </c>
      <c r="P9">
        <v>5.7151341624486998</v>
      </c>
    </row>
    <row r="10" spans="1:16">
      <c r="A10" s="272" t="s">
        <v>468</v>
      </c>
      <c r="B10" s="272">
        <v>13.538461538461499</v>
      </c>
      <c r="C10" s="286">
        <f t="shared" si="1"/>
        <v>0.13538461538461499</v>
      </c>
      <c r="D10" s="272">
        <v>8.6538461538461497</v>
      </c>
      <c r="E10" s="272">
        <v>6.6846153846153804</v>
      </c>
      <c r="F10" s="272">
        <v>6.8078037904124802</v>
      </c>
      <c r="G10" s="272">
        <v>8.6239862493039805</v>
      </c>
      <c r="H10" s="272">
        <v>7.5937499999999902</v>
      </c>
      <c r="I10" s="272">
        <v>5.75</v>
      </c>
      <c r="J10" s="282">
        <f t="shared" si="2"/>
        <v>450657033.77454352</v>
      </c>
      <c r="K10" s="282">
        <f t="shared" si="0"/>
        <v>4837437.6967577655</v>
      </c>
      <c r="L10" s="282">
        <f t="shared" si="0"/>
        <v>6423974.2348228153</v>
      </c>
      <c r="M10" s="282">
        <f t="shared" si="0"/>
        <v>420713307.48669213</v>
      </c>
      <c r="N10" s="282">
        <f t="shared" si="0"/>
        <v>39241897.584844604</v>
      </c>
      <c r="O10" s="282">
        <f t="shared" si="0"/>
        <v>562341.32519035018</v>
      </c>
      <c r="P10">
        <v>7.926443343291</v>
      </c>
    </row>
    <row r="11" spans="1:16">
      <c r="A11" s="272" t="s">
        <v>468</v>
      </c>
      <c r="B11" s="272">
        <v>16</v>
      </c>
      <c r="C11" s="286">
        <f t="shared" si="1"/>
        <v>0.16</v>
      </c>
      <c r="D11" s="272">
        <v>8.7197324414715691</v>
      </c>
      <c r="E11" s="272">
        <v>7.1505016722408001</v>
      </c>
      <c r="F11" s="272">
        <v>6.81215161649944</v>
      </c>
      <c r="G11" s="272">
        <v>8.6554256340733104</v>
      </c>
      <c r="H11" s="272">
        <v>7.7812499999999902</v>
      </c>
      <c r="I11" s="272"/>
      <c r="J11" s="282">
        <f t="shared" si="2"/>
        <v>524484238.39731652</v>
      </c>
      <c r="K11" s="282">
        <f t="shared" si="0"/>
        <v>14141701.70289016</v>
      </c>
      <c r="L11" s="282">
        <f t="shared" si="0"/>
        <v>6488609.1777657568</v>
      </c>
      <c r="M11" s="282">
        <f t="shared" si="0"/>
        <v>452299006.78994316</v>
      </c>
      <c r="N11" s="282">
        <f t="shared" si="0"/>
        <v>60429639.023812011</v>
      </c>
      <c r="O11" s="282"/>
      <c r="P11">
        <v>4.3499304145872104</v>
      </c>
    </row>
    <row r="12" spans="1:16">
      <c r="A12" s="272" t="s">
        <v>481</v>
      </c>
      <c r="B12" s="272">
        <v>8.9552238805968895E-2</v>
      </c>
      <c r="C12" s="286">
        <f t="shared" si="1"/>
        <v>8.9552238805968892E-4</v>
      </c>
      <c r="D12" s="272">
        <v>9.0154817492204806</v>
      </c>
      <c r="E12" s="272">
        <v>5.9586119169135703</v>
      </c>
      <c r="F12" s="272"/>
      <c r="G12" s="272">
        <v>8.7692307692307701</v>
      </c>
      <c r="H12" s="272">
        <v>8.1538461538461497</v>
      </c>
      <c r="J12" s="282">
        <f t="shared" ref="J12:J28" si="3">10^D12</f>
        <v>1036291054.448835</v>
      </c>
      <c r="K12" s="282">
        <f t="shared" ref="K12:K28" si="4">10^E12</f>
        <v>909100.54247096321</v>
      </c>
      <c r="L12" s="282"/>
      <c r="M12" s="282">
        <f t="shared" ref="M12:M27" si="5">10^G12</f>
        <v>587801607.22749269</v>
      </c>
      <c r="N12" s="282">
        <f t="shared" ref="N12:N27" si="6">10^H12</f>
        <v>142510267.03029877</v>
      </c>
      <c r="P12">
        <v>26.897069700412501</v>
      </c>
    </row>
    <row r="13" spans="1:16">
      <c r="A13" s="272" t="s">
        <v>481</v>
      </c>
      <c r="B13" s="272">
        <v>2.0597014925373101</v>
      </c>
      <c r="C13" s="286">
        <f t="shared" si="1"/>
        <v>2.0597014925373101E-2</v>
      </c>
      <c r="D13" s="272">
        <v>8.7841862773994297</v>
      </c>
      <c r="E13" s="272">
        <v>6.0638660937281799</v>
      </c>
      <c r="F13" s="272"/>
      <c r="G13" s="272">
        <v>8.4375813241484892</v>
      </c>
      <c r="H13" s="272">
        <v>8.3094527363184092</v>
      </c>
      <c r="J13" s="282">
        <f t="shared" si="3"/>
        <v>608395898.22566783</v>
      </c>
      <c r="K13" s="282">
        <f t="shared" si="4"/>
        <v>1158420.12473013</v>
      </c>
      <c r="L13" s="282"/>
      <c r="M13" s="282">
        <f t="shared" si="5"/>
        <v>273893246.71610326</v>
      </c>
      <c r="N13" s="282">
        <f t="shared" si="6"/>
        <v>203916672.77731654</v>
      </c>
      <c r="P13">
        <v>27.4607120254371</v>
      </c>
    </row>
    <row r="14" spans="1:16">
      <c r="A14" s="272" t="s">
        <v>481</v>
      </c>
      <c r="B14" s="272">
        <v>4.1194029850746201</v>
      </c>
      <c r="C14" s="286">
        <f t="shared" si="1"/>
        <v>4.1194029850746203E-2</v>
      </c>
      <c r="D14" s="272">
        <v>8.9154243519538294</v>
      </c>
      <c r="E14" s="272">
        <v>6.2987295037463298</v>
      </c>
      <c r="F14" s="272"/>
      <c r="G14" s="272">
        <v>8.7470340604668895</v>
      </c>
      <c r="H14" s="272">
        <v>8.8752391886720208</v>
      </c>
      <c r="J14" s="282">
        <f t="shared" si="3"/>
        <v>823046461.21164072</v>
      </c>
      <c r="K14" s="282">
        <f t="shared" si="4"/>
        <v>1989433.8527691569</v>
      </c>
      <c r="L14" s="282"/>
      <c r="M14" s="282">
        <f t="shared" si="5"/>
        <v>558513995.66523373</v>
      </c>
      <c r="N14" s="282">
        <f t="shared" si="6"/>
        <v>750307329.02382398</v>
      </c>
      <c r="P14">
        <v>27.260173698216501</v>
      </c>
    </row>
    <row r="15" spans="1:16">
      <c r="A15" s="272" t="s">
        <v>481</v>
      </c>
      <c r="B15" s="272">
        <v>6.1791044776119399</v>
      </c>
      <c r="C15" s="286">
        <f t="shared" si="1"/>
        <v>6.1791044776119401E-2</v>
      </c>
      <c r="D15" s="272">
        <v>8.6320835207793607</v>
      </c>
      <c r="E15" s="272">
        <v>6.2227944712470702</v>
      </c>
      <c r="F15" s="272"/>
      <c r="G15" s="272">
        <v>8.6975124378109392</v>
      </c>
      <c r="H15" s="272">
        <v>8.9024875621890498</v>
      </c>
      <c r="J15" s="282">
        <f t="shared" si="3"/>
        <v>428630944.0750218</v>
      </c>
      <c r="K15" s="282">
        <f t="shared" si="4"/>
        <v>1670299.962052841</v>
      </c>
      <c r="L15" s="282"/>
      <c r="M15" s="282">
        <f t="shared" si="5"/>
        <v>498324727.34686685</v>
      </c>
      <c r="N15" s="282">
        <f t="shared" si="6"/>
        <v>798891061.8043232</v>
      </c>
      <c r="P15">
        <v>26.820971886509</v>
      </c>
    </row>
    <row r="16" spans="1:16">
      <c r="A16" s="272" t="s">
        <v>481</v>
      </c>
      <c r="B16" s="272">
        <v>8.0597014925373092</v>
      </c>
      <c r="C16" s="286">
        <f t="shared" si="1"/>
        <v>8.0597014925373092E-2</v>
      </c>
      <c r="D16" s="272">
        <v>8.9705722662612608</v>
      </c>
      <c r="E16" s="272">
        <v>6.06914043714999</v>
      </c>
      <c r="F16" s="272"/>
      <c r="G16" s="272">
        <v>8.9042479908151506</v>
      </c>
      <c r="H16" s="272">
        <v>8.7760428626100193</v>
      </c>
      <c r="J16" s="282">
        <f t="shared" si="3"/>
        <v>934484852.86749208</v>
      </c>
      <c r="K16" s="282">
        <f t="shared" si="4"/>
        <v>1172574.4778843985</v>
      </c>
      <c r="L16" s="282"/>
      <c r="M16" s="282">
        <f t="shared" si="5"/>
        <v>802135968.28266644</v>
      </c>
      <c r="N16" s="282">
        <f t="shared" si="6"/>
        <v>597094213.77400196</v>
      </c>
      <c r="P16">
        <v>27.384156709646401</v>
      </c>
    </row>
    <row r="17" spans="1:16">
      <c r="A17" s="272" t="s">
        <v>481</v>
      </c>
      <c r="B17" s="272">
        <v>12.089552238805901</v>
      </c>
      <c r="C17" s="286">
        <f t="shared" si="1"/>
        <v>0.12089552238805901</v>
      </c>
      <c r="D17" s="272">
        <v>8.8444534073809695</v>
      </c>
      <c r="E17" s="272">
        <v>6.1501946853233598</v>
      </c>
      <c r="F17" s="272"/>
      <c r="G17" s="272">
        <v>8.7025641025641001</v>
      </c>
      <c r="H17" s="272">
        <v>8.9846153846153793</v>
      </c>
      <c r="J17" s="282">
        <f t="shared" si="3"/>
        <v>698961745.69790828</v>
      </c>
      <c r="K17" s="282">
        <f t="shared" si="4"/>
        <v>1413170.8982291555</v>
      </c>
      <c r="L17" s="282"/>
      <c r="M17" s="282">
        <f t="shared" si="5"/>
        <v>504155027.70415223</v>
      </c>
      <c r="N17" s="282">
        <f t="shared" si="6"/>
        <v>965195713.73506176</v>
      </c>
      <c r="P17">
        <v>26.9356523595659</v>
      </c>
    </row>
    <row r="18" spans="1:16">
      <c r="A18" s="272" t="s">
        <v>481</v>
      </c>
      <c r="B18" s="272">
        <v>16.208955223880501</v>
      </c>
      <c r="C18" s="286">
        <f t="shared" si="1"/>
        <v>0.162089552238805</v>
      </c>
      <c r="D18" s="272">
        <v>8.6665994446426602</v>
      </c>
      <c r="E18" s="272">
        <v>6.0500597241828604</v>
      </c>
      <c r="F18" s="272"/>
      <c r="G18" s="272">
        <v>8.5009567546880902</v>
      </c>
      <c r="H18" s="272">
        <v>8.8855721393034806</v>
      </c>
      <c r="J18" s="282">
        <f t="shared" si="3"/>
        <v>464087044.35282683</v>
      </c>
      <c r="K18" s="282">
        <f t="shared" si="4"/>
        <v>1122172.7649047049</v>
      </c>
      <c r="L18" s="282"/>
      <c r="M18" s="282">
        <f t="shared" si="5"/>
        <v>316925186.58735871</v>
      </c>
      <c r="N18" s="282">
        <f t="shared" si="6"/>
        <v>768373077.1377908</v>
      </c>
      <c r="P18">
        <v>26.4868430082274</v>
      </c>
    </row>
    <row r="19" spans="1:16">
      <c r="A19" s="272" t="s">
        <v>481</v>
      </c>
      <c r="B19" s="272">
        <v>20.149253731343201</v>
      </c>
      <c r="C19" s="286">
        <f t="shared" si="1"/>
        <v>0.201492537313432</v>
      </c>
      <c r="D19" s="272">
        <v>8.6959185889579995</v>
      </c>
      <c r="E19" s="272">
        <v>5.4835331895816104</v>
      </c>
      <c r="F19" s="272"/>
      <c r="G19" s="272">
        <v>8.58124760811328</v>
      </c>
      <c r="H19" s="272">
        <v>8.8119402985074604</v>
      </c>
      <c r="J19" s="282">
        <f t="shared" si="3"/>
        <v>496499241.03827101</v>
      </c>
      <c r="K19" s="282">
        <f t="shared" si="4"/>
        <v>304462.06566321017</v>
      </c>
      <c r="L19" s="282"/>
      <c r="M19" s="282">
        <f t="shared" si="5"/>
        <v>381283145.73225409</v>
      </c>
      <c r="N19" s="282">
        <f t="shared" si="6"/>
        <v>648545273.34968877</v>
      </c>
      <c r="P19">
        <v>26.992535094207199</v>
      </c>
    </row>
    <row r="20" spans="1:16">
      <c r="A20" s="272" t="s">
        <v>481</v>
      </c>
      <c r="B20" s="272">
        <v>24.179104477611901</v>
      </c>
      <c r="C20" s="286">
        <f t="shared" si="1"/>
        <v>0.24179104477611901</v>
      </c>
      <c r="D20" s="272">
        <v>8.3122876688953298</v>
      </c>
      <c r="E20" s="272">
        <v>6.3417774537331404</v>
      </c>
      <c r="F20" s="272"/>
      <c r="G20" s="272">
        <v>8.7641791044776092</v>
      </c>
      <c r="H20" s="272">
        <v>8.4820512820512803</v>
      </c>
      <c r="J20" s="282">
        <f t="shared" si="3"/>
        <v>205252128.20308807</v>
      </c>
      <c r="K20" s="282">
        <f t="shared" si="4"/>
        <v>2196733.9081920539</v>
      </c>
      <c r="L20" s="282"/>
      <c r="M20" s="282">
        <f t="shared" si="5"/>
        <v>581003976.07772958</v>
      </c>
      <c r="N20" s="282">
        <f t="shared" si="6"/>
        <v>303424945.11212546</v>
      </c>
      <c r="P20">
        <v>27.4029142870214</v>
      </c>
    </row>
    <row r="21" spans="1:16">
      <c r="A21" s="272" t="s">
        <v>481</v>
      </c>
      <c r="B21" s="272">
        <v>28.119402985074601</v>
      </c>
      <c r="C21" s="286">
        <f t="shared" si="1"/>
        <v>0.28119402985074599</v>
      </c>
      <c r="D21" s="272">
        <v>8.6510091059987797</v>
      </c>
      <c r="E21" s="272">
        <v>6.5268448567395101</v>
      </c>
      <c r="F21" s="272"/>
      <c r="G21" s="272">
        <v>8.53677765021048</v>
      </c>
      <c r="H21" s="272">
        <v>8.6393417527745804</v>
      </c>
      <c r="J21" s="282">
        <f t="shared" si="3"/>
        <v>447722691.63052773</v>
      </c>
      <c r="K21" s="282">
        <f t="shared" si="4"/>
        <v>3363913.7862867443</v>
      </c>
      <c r="L21" s="282"/>
      <c r="M21" s="282">
        <f t="shared" si="5"/>
        <v>344173675.84640533</v>
      </c>
      <c r="N21" s="282">
        <f t="shared" si="6"/>
        <v>435854719.32128245</v>
      </c>
      <c r="P21">
        <v>27.240806118325199</v>
      </c>
    </row>
    <row r="22" spans="1:16">
      <c r="A22" s="272" t="s">
        <v>483</v>
      </c>
      <c r="B22" s="272">
        <v>5.0699618389969601</v>
      </c>
      <c r="C22" s="286">
        <f t="shared" si="1"/>
        <v>5.06996183899696E-2</v>
      </c>
      <c r="D22" s="272">
        <v>8.4150261473539594</v>
      </c>
      <c r="E22" s="272">
        <v>6.3174228198760201</v>
      </c>
      <c r="G22" s="272">
        <v>9.1219512195121908</v>
      </c>
      <c r="H22" s="272">
        <v>7.9268292682926802</v>
      </c>
      <c r="J22" s="282">
        <f t="shared" si="3"/>
        <v>260031611.44040376</v>
      </c>
      <c r="K22" s="282">
        <f t="shared" si="4"/>
        <v>2076934.5928285734</v>
      </c>
      <c r="M22" s="282">
        <f t="shared" si="5"/>
        <v>1324192791.8860357</v>
      </c>
      <c r="N22" s="282">
        <f t="shared" si="6"/>
        <v>84494661.082833067</v>
      </c>
      <c r="P22">
        <v>28.398836313228699</v>
      </c>
    </row>
    <row r="23" spans="1:16">
      <c r="A23" s="272" t="s">
        <v>483</v>
      </c>
      <c r="B23" s="272">
        <v>37.8036222666424</v>
      </c>
      <c r="C23" s="286">
        <f t="shared" si="1"/>
        <v>0.378036222666424</v>
      </c>
      <c r="D23" s="272">
        <v>8.2225654693399495</v>
      </c>
      <c r="E23" s="272">
        <v>6.2225250873261002</v>
      </c>
      <c r="G23" s="272">
        <v>8.8292682926829205</v>
      </c>
      <c r="H23" s="272">
        <v>8.1707317073170707</v>
      </c>
      <c r="J23" s="282">
        <f t="shared" si="3"/>
        <v>166941945.10988572</v>
      </c>
      <c r="K23" s="282">
        <f t="shared" si="4"/>
        <v>1669264.2306479961</v>
      </c>
      <c r="M23" s="282">
        <f t="shared" si="5"/>
        <v>674944857.41191602</v>
      </c>
      <c r="N23" s="282">
        <f t="shared" si="6"/>
        <v>148160251.76256546</v>
      </c>
      <c r="P23">
        <v>28.238418991076198</v>
      </c>
    </row>
    <row r="24" spans="1:16">
      <c r="A24" s="272" t="s">
        <v>483</v>
      </c>
      <c r="B24" s="272">
        <v>103.40420376764099</v>
      </c>
      <c r="C24" s="286">
        <f t="shared" si="1"/>
        <v>1.0340420376764099</v>
      </c>
      <c r="D24" s="272">
        <v>8.3742403133644192</v>
      </c>
      <c r="E24" s="272">
        <v>6.1059018313243199</v>
      </c>
      <c r="G24" s="272">
        <v>8.5365853658536501</v>
      </c>
      <c r="H24" s="272">
        <v>8.2926829268292597</v>
      </c>
      <c r="J24" s="282">
        <f t="shared" si="3"/>
        <v>236722922.24274933</v>
      </c>
      <c r="K24" s="282">
        <f t="shared" si="4"/>
        <v>1276150.3129830335</v>
      </c>
      <c r="M24" s="282">
        <f t="shared" si="5"/>
        <v>344021326.30397052</v>
      </c>
      <c r="N24" s="282">
        <f t="shared" si="6"/>
        <v>196192737.42800826</v>
      </c>
      <c r="P24">
        <v>28.400021887525401</v>
      </c>
    </row>
    <row r="25" spans="1:16">
      <c r="A25" s="272" t="s">
        <v>483</v>
      </c>
      <c r="B25" s="272">
        <v>153.92210309528099</v>
      </c>
      <c r="C25" s="286">
        <f t="shared" si="1"/>
        <v>1.5392210309528098</v>
      </c>
      <c r="D25" s="272">
        <v>7.79298160599269</v>
      </c>
      <c r="E25" s="272">
        <v>6.1344115331031501</v>
      </c>
      <c r="G25" s="272">
        <v>8.0487804878048692</v>
      </c>
      <c r="H25" s="272">
        <v>8.4634146341463392</v>
      </c>
      <c r="J25" s="282">
        <f t="shared" si="3"/>
        <v>62084273.864449412</v>
      </c>
      <c r="K25" s="282">
        <f t="shared" si="4"/>
        <v>1362735.3852490103</v>
      </c>
      <c r="M25" s="282">
        <f t="shared" si="5"/>
        <v>111887221.15873997</v>
      </c>
      <c r="N25" s="282">
        <f t="shared" si="6"/>
        <v>290679653.71321177</v>
      </c>
      <c r="P25">
        <v>27.1652918564725</v>
      </c>
    </row>
    <row r="26" spans="1:16">
      <c r="A26" s="272" t="s">
        <v>483</v>
      </c>
      <c r="B26" s="272">
        <v>203.54957901750501</v>
      </c>
      <c r="C26" s="286">
        <f t="shared" si="1"/>
        <v>2.0354957901750499</v>
      </c>
      <c r="D26" s="272">
        <v>7.6262846528156301</v>
      </c>
      <c r="E26" s="272">
        <v>5.6507157711955003</v>
      </c>
      <c r="G26" s="272">
        <v>8.2926829268292597</v>
      </c>
      <c r="H26" s="272">
        <v>8.6585365853658498</v>
      </c>
      <c r="J26" s="282">
        <f t="shared" si="3"/>
        <v>42294573.786224462</v>
      </c>
      <c r="K26" s="282">
        <f t="shared" si="4"/>
        <v>447420.38913710049</v>
      </c>
      <c r="M26" s="282">
        <f t="shared" si="5"/>
        <v>196192737.42800826</v>
      </c>
      <c r="N26" s="282">
        <f t="shared" si="6"/>
        <v>455550560.54679835</v>
      </c>
      <c r="P26">
        <v>27.189459332521601</v>
      </c>
    </row>
    <row r="27" spans="1:16">
      <c r="A27" s="272" t="s">
        <v>483</v>
      </c>
      <c r="B27" s="272">
        <v>243.30365255315201</v>
      </c>
      <c r="C27" s="286">
        <f t="shared" si="1"/>
        <v>2.4330365255315201</v>
      </c>
      <c r="D27" s="272">
        <v>7.7026874230217803</v>
      </c>
      <c r="E27" s="272">
        <v>5.8977729319361103</v>
      </c>
      <c r="G27" s="272">
        <v>8</v>
      </c>
      <c r="H27" s="272">
        <v>8.6341463414634099</v>
      </c>
      <c r="J27" s="282">
        <f t="shared" si="3"/>
        <v>50429820.579949059</v>
      </c>
      <c r="K27" s="282">
        <f t="shared" si="4"/>
        <v>790265.33484098851</v>
      </c>
      <c r="M27" s="282">
        <f t="shared" si="5"/>
        <v>100000000</v>
      </c>
      <c r="N27" s="282">
        <f t="shared" si="6"/>
        <v>430671706.76404732</v>
      </c>
      <c r="P27">
        <v>26.346880799624198</v>
      </c>
    </row>
    <row r="28" spans="1:16">
      <c r="A28" s="272" t="s">
        <v>483</v>
      </c>
      <c r="B28" s="272">
        <v>304.04022048579498</v>
      </c>
      <c r="C28" s="286">
        <f t="shared" si="1"/>
        <v>3.0404022048579495</v>
      </c>
      <c r="D28" s="272">
        <v>8.2686009651301298</v>
      </c>
      <c r="E28" s="272">
        <v>5.9026187735982401</v>
      </c>
      <c r="G28" s="272"/>
      <c r="H28" s="272"/>
      <c r="J28" s="282">
        <f t="shared" si="3"/>
        <v>185609826.64953527</v>
      </c>
      <c r="K28" s="282">
        <f t="shared" si="4"/>
        <v>799132.46357872616</v>
      </c>
      <c r="M28" s="282"/>
      <c r="N28" s="282"/>
      <c r="P28">
        <v>26.855309776883999</v>
      </c>
    </row>
    <row r="29" spans="1:16">
      <c r="A29" s="272" t="s">
        <v>483</v>
      </c>
      <c r="B29" s="272">
        <v>333.64225573929298</v>
      </c>
      <c r="C29" s="286">
        <f t="shared" si="1"/>
        <v>3.3364225573929298</v>
      </c>
      <c r="D29" s="272">
        <v>7.4661295858824497</v>
      </c>
      <c r="E29" s="272"/>
      <c r="G29" s="272">
        <v>8.6097560975609699</v>
      </c>
      <c r="H29" s="272">
        <v>8.4390243902438993</v>
      </c>
      <c r="J29" s="282">
        <f>10^D29</f>
        <v>29250250.239868872</v>
      </c>
      <c r="K29" s="282"/>
      <c r="M29" s="282">
        <f>10^G29</f>
        <v>407151554.77896404</v>
      </c>
      <c r="N29" s="282">
        <f>10^H29</f>
        <v>274804848.08533287</v>
      </c>
      <c r="P29">
        <v>26.932828096286801</v>
      </c>
    </row>
    <row r="30" spans="1:16">
      <c r="B30" s="272"/>
      <c r="D30" s="272"/>
      <c r="E30" s="272"/>
      <c r="G30" s="272"/>
      <c r="H30" s="272"/>
      <c r="J30" s="272"/>
      <c r="K30" s="272"/>
      <c r="M30" s="272"/>
      <c r="N30" s="272"/>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E6" sqref="E6"/>
    </sheetView>
  </sheetViews>
  <sheetFormatPr baseColWidth="10" defaultRowHeight="13" x14ac:dyDescent="0"/>
  <cols>
    <col min="1" max="1" width="17.7109375" style="173" customWidth="1"/>
    <col min="3" max="3" width="19.85546875" customWidth="1"/>
    <col min="4" max="4" width="21.85546875" customWidth="1"/>
    <col min="6" max="6" width="14.5703125" customWidth="1"/>
  </cols>
  <sheetData>
    <row r="1" spans="1:7">
      <c r="B1" s="173" t="s">
        <v>1256</v>
      </c>
    </row>
    <row r="5" spans="1:7" s="43" customFormat="1" ht="52">
      <c r="B5" s="43" t="s">
        <v>1257</v>
      </c>
      <c r="C5" s="51" t="s">
        <v>1111</v>
      </c>
      <c r="D5" s="43" t="s">
        <v>1249</v>
      </c>
      <c r="E5" s="43" t="s">
        <v>1280</v>
      </c>
      <c r="F5" s="51" t="s">
        <v>1197</v>
      </c>
      <c r="G5" s="51" t="s">
        <v>1258</v>
      </c>
    </row>
    <row r="6" spans="1:7">
      <c r="A6" s="173" t="s">
        <v>1120</v>
      </c>
      <c r="B6">
        <v>2</v>
      </c>
      <c r="C6" s="32">
        <f>B6/1000</f>
        <v>2E-3</v>
      </c>
      <c r="D6">
        <v>1749.3</v>
      </c>
      <c r="E6">
        <v>0.7</v>
      </c>
      <c r="F6" s="32">
        <f>(E6*D6)/100</f>
        <v>12.245100000000001</v>
      </c>
      <c r="G6" s="32">
        <f>D6-F6</f>
        <v>1737.0548999999999</v>
      </c>
    </row>
    <row r="7" spans="1:7">
      <c r="B7">
        <v>7</v>
      </c>
      <c r="C7" s="32">
        <f t="shared" ref="C7:C48" si="0">B7/1000</f>
        <v>7.0000000000000001E-3</v>
      </c>
      <c r="D7">
        <v>1051.3</v>
      </c>
      <c r="E7">
        <v>1.9</v>
      </c>
      <c r="F7" s="32">
        <f>(E7*D7)/100</f>
        <v>19.974699999999999</v>
      </c>
      <c r="G7" s="32">
        <f>D7-F7</f>
        <v>1031.3253</v>
      </c>
    </row>
    <row r="8" spans="1:7">
      <c r="B8">
        <v>12</v>
      </c>
      <c r="C8" s="32">
        <f t="shared" si="0"/>
        <v>1.2E-2</v>
      </c>
      <c r="D8">
        <v>48</v>
      </c>
      <c r="E8">
        <v>7.3</v>
      </c>
      <c r="F8" s="32">
        <f>(E8*D8)/100</f>
        <v>3.5039999999999996</v>
      </c>
      <c r="G8" s="32">
        <f>D8-F8</f>
        <v>44.496000000000002</v>
      </c>
    </row>
    <row r="9" spans="1:7">
      <c r="B9">
        <v>17</v>
      </c>
      <c r="C9" s="32">
        <f t="shared" si="0"/>
        <v>1.7000000000000001E-2</v>
      </c>
      <c r="D9">
        <v>14.7</v>
      </c>
      <c r="E9">
        <v>7.8</v>
      </c>
      <c r="F9" s="32">
        <f>(E9*D9)/100</f>
        <v>1.1466000000000001</v>
      </c>
      <c r="G9" s="32">
        <f>D9-F9</f>
        <v>13.5534</v>
      </c>
    </row>
    <row r="10" spans="1:7">
      <c r="B10">
        <v>27</v>
      </c>
      <c r="C10" s="32">
        <f t="shared" si="0"/>
        <v>2.7E-2</v>
      </c>
      <c r="D10">
        <v>2.2000000000000002</v>
      </c>
      <c r="E10" s="173">
        <v>11.9</v>
      </c>
      <c r="F10" s="32">
        <f>(E10*D10)/100</f>
        <v>0.26180000000000003</v>
      </c>
      <c r="G10" s="32">
        <f>D10-F10</f>
        <v>1.9382000000000001</v>
      </c>
    </row>
    <row r="11" spans="1:7">
      <c r="B11">
        <v>37</v>
      </c>
      <c r="C11" s="32">
        <f t="shared" si="0"/>
        <v>3.6999999999999998E-2</v>
      </c>
      <c r="D11" s="173" t="s">
        <v>1107</v>
      </c>
      <c r="E11" s="173" t="s">
        <v>1110</v>
      </c>
      <c r="F11" s="32"/>
      <c r="G11" s="32"/>
    </row>
    <row r="12" spans="1:7">
      <c r="B12">
        <v>57</v>
      </c>
      <c r="C12" s="32">
        <f t="shared" si="0"/>
        <v>5.7000000000000002E-2</v>
      </c>
      <c r="D12" s="173" t="s">
        <v>1107</v>
      </c>
      <c r="E12" s="173" t="s">
        <v>1110</v>
      </c>
      <c r="F12" s="32"/>
      <c r="G12" s="32"/>
    </row>
    <row r="13" spans="1:7">
      <c r="B13">
        <v>77</v>
      </c>
      <c r="C13" s="32">
        <f t="shared" si="0"/>
        <v>7.6999999999999999E-2</v>
      </c>
      <c r="D13" s="173" t="s">
        <v>1107</v>
      </c>
      <c r="E13" s="173" t="s">
        <v>1110</v>
      </c>
      <c r="F13" s="32"/>
      <c r="G13" s="32"/>
    </row>
    <row r="14" spans="1:7">
      <c r="B14">
        <v>97</v>
      </c>
      <c r="C14" s="32">
        <f t="shared" si="0"/>
        <v>9.7000000000000003E-2</v>
      </c>
      <c r="D14" s="173" t="s">
        <v>1108</v>
      </c>
      <c r="E14" s="173" t="s">
        <v>1110</v>
      </c>
      <c r="F14" s="32"/>
      <c r="G14" s="32"/>
    </row>
    <row r="15" spans="1:7">
      <c r="B15">
        <v>117</v>
      </c>
      <c r="C15" s="32">
        <f t="shared" si="0"/>
        <v>0.11700000000000001</v>
      </c>
      <c r="D15" s="173" t="s">
        <v>1108</v>
      </c>
      <c r="E15" s="173" t="s">
        <v>1110</v>
      </c>
      <c r="F15" s="32"/>
      <c r="G15" s="32"/>
    </row>
    <row r="16" spans="1:7">
      <c r="C16" s="32"/>
      <c r="F16" s="32"/>
      <c r="G16" s="32"/>
    </row>
    <row r="17" spans="1:7">
      <c r="A17" s="173" t="s">
        <v>1121</v>
      </c>
      <c r="B17">
        <v>2</v>
      </c>
      <c r="C17" s="32">
        <f t="shared" si="0"/>
        <v>2E-3</v>
      </c>
      <c r="D17">
        <v>2714.8</v>
      </c>
      <c r="E17">
        <v>1.1000000000000001</v>
      </c>
      <c r="F17" s="32">
        <f>(D17*E17)/100</f>
        <v>29.862800000000007</v>
      </c>
      <c r="G17" s="32">
        <f>D17-F17</f>
        <v>2684.9372000000003</v>
      </c>
    </row>
    <row r="18" spans="1:7">
      <c r="B18">
        <v>7</v>
      </c>
      <c r="C18" s="32">
        <f t="shared" si="0"/>
        <v>7.0000000000000001E-3</v>
      </c>
      <c r="D18">
        <v>354.8</v>
      </c>
      <c r="E18">
        <v>3.5</v>
      </c>
      <c r="F18" s="32">
        <f>(D18*E18)/100</f>
        <v>12.417999999999999</v>
      </c>
      <c r="G18" s="32">
        <f>D18-F18</f>
        <v>342.38200000000001</v>
      </c>
    </row>
    <row r="19" spans="1:7">
      <c r="B19">
        <v>12</v>
      </c>
      <c r="C19" s="32">
        <f t="shared" si="0"/>
        <v>1.2E-2</v>
      </c>
      <c r="D19">
        <v>99.4</v>
      </c>
      <c r="E19">
        <v>4.8</v>
      </c>
      <c r="F19" s="32">
        <f>(D19*E19)/100</f>
        <v>4.7712000000000003</v>
      </c>
      <c r="G19" s="32">
        <f>D19-F19</f>
        <v>94.628800000000012</v>
      </c>
    </row>
    <row r="20" spans="1:7">
      <c r="B20">
        <v>17</v>
      </c>
      <c r="C20" s="32">
        <f t="shared" si="0"/>
        <v>1.7000000000000001E-2</v>
      </c>
      <c r="D20">
        <v>45</v>
      </c>
      <c r="E20">
        <v>5.2</v>
      </c>
      <c r="F20" s="32">
        <f>(D20*E20)/100</f>
        <v>2.34</v>
      </c>
      <c r="G20" s="32">
        <f>D20-F20</f>
        <v>42.66</v>
      </c>
    </row>
    <row r="21" spans="1:7">
      <c r="B21">
        <v>27</v>
      </c>
      <c r="C21" s="32">
        <f t="shared" si="0"/>
        <v>2.7E-2</v>
      </c>
      <c r="D21">
        <v>17.5</v>
      </c>
      <c r="E21">
        <v>22.2</v>
      </c>
      <c r="F21" s="32">
        <f>(D21*E21)/100</f>
        <v>3.8849999999999998</v>
      </c>
      <c r="G21" s="32">
        <f>D21-F21</f>
        <v>13.615</v>
      </c>
    </row>
    <row r="22" spans="1:7">
      <c r="B22">
        <v>37</v>
      </c>
      <c r="C22" s="32">
        <f t="shared" si="0"/>
        <v>3.6999999999999998E-2</v>
      </c>
      <c r="D22" s="173" t="s">
        <v>1109</v>
      </c>
      <c r="E22" s="173" t="s">
        <v>1110</v>
      </c>
      <c r="F22" s="32"/>
      <c r="G22" s="32"/>
    </row>
    <row r="23" spans="1:7">
      <c r="B23">
        <v>57</v>
      </c>
      <c r="C23" s="32">
        <f t="shared" si="0"/>
        <v>5.7000000000000002E-2</v>
      </c>
      <c r="D23" s="173" t="s">
        <v>1109</v>
      </c>
      <c r="E23" s="173" t="s">
        <v>1110</v>
      </c>
      <c r="F23" s="32"/>
      <c r="G23" s="32"/>
    </row>
    <row r="24" spans="1:7">
      <c r="B24">
        <v>77</v>
      </c>
      <c r="C24" s="32">
        <f t="shared" si="0"/>
        <v>7.6999999999999999E-2</v>
      </c>
      <c r="D24" s="173" t="s">
        <v>1109</v>
      </c>
      <c r="E24" s="173" t="s">
        <v>1110</v>
      </c>
      <c r="F24" s="32"/>
      <c r="G24" s="32"/>
    </row>
    <row r="25" spans="1:7">
      <c r="B25">
        <v>97</v>
      </c>
      <c r="C25" s="32">
        <f t="shared" si="0"/>
        <v>9.7000000000000003E-2</v>
      </c>
      <c r="D25" s="173" t="s">
        <v>1109</v>
      </c>
      <c r="E25" s="173" t="s">
        <v>1110</v>
      </c>
      <c r="F25" s="32"/>
      <c r="G25" s="32"/>
    </row>
    <row r="26" spans="1:7">
      <c r="B26">
        <v>117</v>
      </c>
      <c r="C26" s="32">
        <f t="shared" si="0"/>
        <v>0.11700000000000001</v>
      </c>
      <c r="D26" s="173" t="s">
        <v>1107</v>
      </c>
      <c r="E26" s="173" t="s">
        <v>1110</v>
      </c>
      <c r="F26" s="32"/>
      <c r="G26" s="32"/>
    </row>
    <row r="27" spans="1:7">
      <c r="C27" s="32"/>
      <c r="F27" s="32"/>
      <c r="G27" s="32"/>
    </row>
    <row r="28" spans="1:7">
      <c r="A28" s="173" t="s">
        <v>1105</v>
      </c>
      <c r="B28">
        <v>2</v>
      </c>
      <c r="C28" s="32">
        <f t="shared" si="0"/>
        <v>2E-3</v>
      </c>
      <c r="D28">
        <v>111.6</v>
      </c>
      <c r="E28">
        <v>3.2</v>
      </c>
      <c r="F28" s="32">
        <f>(D28*E28)/100</f>
        <v>3.5712000000000002</v>
      </c>
      <c r="G28" s="32">
        <f>D28-F28</f>
        <v>108.02879999999999</v>
      </c>
    </row>
    <row r="29" spans="1:7">
      <c r="B29">
        <v>7</v>
      </c>
      <c r="C29" s="32">
        <f t="shared" si="0"/>
        <v>7.0000000000000001E-3</v>
      </c>
      <c r="D29">
        <v>122.8</v>
      </c>
      <c r="E29">
        <v>2.7</v>
      </c>
      <c r="F29" s="32">
        <f t="shared" ref="F29:F44" si="1">(D29*E29)/100</f>
        <v>3.3155999999999999</v>
      </c>
      <c r="G29" s="32">
        <f t="shared" ref="G29:G44" si="2">D29-F29</f>
        <v>119.48439999999999</v>
      </c>
    </row>
    <row r="30" spans="1:7">
      <c r="B30">
        <v>12</v>
      </c>
      <c r="C30" s="32">
        <f t="shared" si="0"/>
        <v>1.2E-2</v>
      </c>
      <c r="D30">
        <v>371.1</v>
      </c>
      <c r="E30">
        <v>2.2999999999999998</v>
      </c>
      <c r="F30" s="32">
        <f t="shared" si="1"/>
        <v>8.5352999999999994</v>
      </c>
      <c r="G30" s="32">
        <f t="shared" si="2"/>
        <v>362.56470000000002</v>
      </c>
    </row>
    <row r="31" spans="1:7">
      <c r="B31">
        <v>17</v>
      </c>
      <c r="C31" s="32">
        <f t="shared" si="0"/>
        <v>1.7000000000000001E-2</v>
      </c>
      <c r="D31">
        <v>123.9</v>
      </c>
      <c r="E31">
        <v>2.7</v>
      </c>
      <c r="F31" s="32">
        <f t="shared" si="1"/>
        <v>3.3453000000000004</v>
      </c>
      <c r="G31" s="32">
        <f t="shared" si="2"/>
        <v>120.55470000000001</v>
      </c>
    </row>
    <row r="32" spans="1:7">
      <c r="B32">
        <v>27</v>
      </c>
      <c r="C32" s="32">
        <f t="shared" si="0"/>
        <v>2.7E-2</v>
      </c>
      <c r="D32">
        <v>97.8</v>
      </c>
      <c r="E32">
        <v>3.4</v>
      </c>
      <c r="F32" s="32">
        <f t="shared" si="1"/>
        <v>3.3251999999999997</v>
      </c>
      <c r="G32" s="32">
        <f t="shared" si="2"/>
        <v>94.474800000000002</v>
      </c>
    </row>
    <row r="33" spans="1:7">
      <c r="B33">
        <v>37</v>
      </c>
      <c r="C33" s="32">
        <f t="shared" si="0"/>
        <v>3.6999999999999998E-2</v>
      </c>
      <c r="D33">
        <v>53.1</v>
      </c>
      <c r="E33">
        <v>4.9000000000000004</v>
      </c>
      <c r="F33" s="32">
        <f t="shared" si="1"/>
        <v>2.6019000000000001</v>
      </c>
      <c r="G33" s="32">
        <f t="shared" si="2"/>
        <v>50.498100000000001</v>
      </c>
    </row>
    <row r="34" spans="1:7">
      <c r="B34">
        <v>57</v>
      </c>
      <c r="C34" s="32">
        <f t="shared" si="0"/>
        <v>5.7000000000000002E-2</v>
      </c>
      <c r="D34">
        <v>29.6</v>
      </c>
      <c r="E34">
        <v>8.1999999999999993</v>
      </c>
      <c r="F34" s="32">
        <f t="shared" si="1"/>
        <v>2.4272</v>
      </c>
      <c r="G34" s="32">
        <f>D34-F34</f>
        <v>27.172800000000002</v>
      </c>
    </row>
    <row r="35" spans="1:7">
      <c r="B35">
        <v>77</v>
      </c>
      <c r="C35" s="32">
        <f t="shared" si="0"/>
        <v>7.6999999999999999E-2</v>
      </c>
      <c r="D35" s="173" t="s">
        <v>1259</v>
      </c>
      <c r="F35" s="32"/>
      <c r="G35" s="32"/>
    </row>
    <row r="36" spans="1:7">
      <c r="B36">
        <v>97</v>
      </c>
      <c r="C36" s="32">
        <f t="shared" si="0"/>
        <v>9.7000000000000003E-2</v>
      </c>
      <c r="D36" s="173" t="s">
        <v>1259</v>
      </c>
      <c r="F36" s="32"/>
      <c r="G36" s="32"/>
    </row>
    <row r="37" spans="1:7">
      <c r="B37">
        <v>117</v>
      </c>
      <c r="C37" s="32">
        <f t="shared" si="0"/>
        <v>0.11700000000000001</v>
      </c>
      <c r="D37" s="173" t="s">
        <v>1259</v>
      </c>
      <c r="F37" s="32"/>
      <c r="G37" s="32"/>
    </row>
    <row r="38" spans="1:7">
      <c r="C38" s="32"/>
      <c r="F38" s="32"/>
      <c r="G38" s="32"/>
    </row>
    <row r="39" spans="1:7">
      <c r="A39" s="173" t="s">
        <v>1106</v>
      </c>
      <c r="B39">
        <v>2</v>
      </c>
      <c r="C39" s="32">
        <f t="shared" si="0"/>
        <v>2E-3</v>
      </c>
      <c r="D39">
        <v>703.2</v>
      </c>
      <c r="E39">
        <v>2.4</v>
      </c>
      <c r="F39" s="32">
        <f t="shared" si="1"/>
        <v>16.876799999999999</v>
      </c>
      <c r="G39" s="32">
        <f t="shared" si="2"/>
        <v>686.32320000000004</v>
      </c>
    </row>
    <row r="40" spans="1:7">
      <c r="B40">
        <v>7</v>
      </c>
      <c r="C40" s="32">
        <f t="shared" si="0"/>
        <v>7.0000000000000001E-3</v>
      </c>
      <c r="D40">
        <v>435.4</v>
      </c>
      <c r="E40">
        <v>3</v>
      </c>
      <c r="F40" s="32">
        <f t="shared" si="1"/>
        <v>13.061999999999998</v>
      </c>
      <c r="G40" s="32">
        <f t="shared" si="2"/>
        <v>422.33799999999997</v>
      </c>
    </row>
    <row r="41" spans="1:7">
      <c r="B41">
        <v>12</v>
      </c>
      <c r="C41" s="32">
        <f t="shared" si="0"/>
        <v>1.2E-2</v>
      </c>
      <c r="D41">
        <v>182.2</v>
      </c>
      <c r="E41">
        <v>3.8</v>
      </c>
      <c r="F41" s="32">
        <f t="shared" si="1"/>
        <v>6.9235999999999986</v>
      </c>
      <c r="G41" s="32">
        <f t="shared" si="2"/>
        <v>175.2764</v>
      </c>
    </row>
    <row r="42" spans="1:7">
      <c r="B42">
        <v>17</v>
      </c>
      <c r="C42" s="32">
        <f t="shared" si="0"/>
        <v>1.7000000000000001E-2</v>
      </c>
      <c r="D42">
        <v>153</v>
      </c>
      <c r="E42">
        <v>2.5</v>
      </c>
      <c r="F42" s="32">
        <f t="shared" si="1"/>
        <v>3.8250000000000002</v>
      </c>
      <c r="G42" s="32">
        <f t="shared" si="2"/>
        <v>149.17500000000001</v>
      </c>
    </row>
    <row r="43" spans="1:7">
      <c r="B43">
        <v>27</v>
      </c>
      <c r="C43" s="32">
        <f t="shared" si="0"/>
        <v>2.7E-2</v>
      </c>
      <c r="D43">
        <v>176.7</v>
      </c>
      <c r="E43">
        <v>2.4</v>
      </c>
      <c r="F43" s="32">
        <f t="shared" si="1"/>
        <v>4.2408000000000001</v>
      </c>
      <c r="G43" s="32">
        <f t="shared" si="2"/>
        <v>172.45919999999998</v>
      </c>
    </row>
    <row r="44" spans="1:7">
      <c r="B44">
        <v>37</v>
      </c>
      <c r="C44" s="32">
        <f t="shared" si="0"/>
        <v>3.6999999999999998E-2</v>
      </c>
      <c r="D44">
        <v>26.9</v>
      </c>
      <c r="E44">
        <v>4.5999999999999996</v>
      </c>
      <c r="F44" s="32">
        <f t="shared" si="1"/>
        <v>1.2373999999999998</v>
      </c>
      <c r="G44" s="32">
        <f t="shared" si="2"/>
        <v>25.662599999999998</v>
      </c>
    </row>
    <row r="45" spans="1:7">
      <c r="B45">
        <v>57</v>
      </c>
      <c r="C45" s="32">
        <f t="shared" si="0"/>
        <v>5.7000000000000002E-2</v>
      </c>
      <c r="D45" s="173" t="s">
        <v>1108</v>
      </c>
      <c r="E45" s="173" t="s">
        <v>1110</v>
      </c>
      <c r="F45" s="32"/>
      <c r="G45" s="32"/>
    </row>
    <row r="46" spans="1:7">
      <c r="B46">
        <v>77</v>
      </c>
      <c r="C46" s="32">
        <f t="shared" si="0"/>
        <v>7.6999999999999999E-2</v>
      </c>
      <c r="D46" s="173" t="s">
        <v>1108</v>
      </c>
      <c r="E46" s="173" t="s">
        <v>1110</v>
      </c>
      <c r="F46" s="32"/>
      <c r="G46" s="32"/>
    </row>
    <row r="47" spans="1:7">
      <c r="B47">
        <v>97</v>
      </c>
      <c r="C47" s="32">
        <f t="shared" si="0"/>
        <v>9.7000000000000003E-2</v>
      </c>
      <c r="D47" s="173" t="s">
        <v>1108</v>
      </c>
      <c r="E47" s="173" t="s">
        <v>1260</v>
      </c>
      <c r="F47" s="32"/>
      <c r="G47" s="32"/>
    </row>
    <row r="48" spans="1:7">
      <c r="B48">
        <v>117</v>
      </c>
      <c r="C48" s="32">
        <f t="shared" si="0"/>
        <v>0.11700000000000001</v>
      </c>
      <c r="D48" s="173" t="s">
        <v>1108</v>
      </c>
      <c r="E48" s="173" t="s">
        <v>1110</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
  <sheetViews>
    <sheetView workbookViewId="0">
      <pane xSplit="2" ySplit="4" topLeftCell="G5" activePane="bottomRight" state="frozenSplit"/>
      <selection pane="topRight" activeCell="C1" sqref="C1"/>
      <selection pane="bottomLeft" activeCell="A4" sqref="A4"/>
      <selection pane="bottomRight" activeCell="P9" sqref="P9"/>
    </sheetView>
  </sheetViews>
  <sheetFormatPr baseColWidth="10" defaultRowHeight="13" x14ac:dyDescent="0"/>
  <sheetData>
    <row r="1" spans="1:20" s="286" customFormat="1">
      <c r="A1" t="s">
        <v>442</v>
      </c>
    </row>
    <row r="2" spans="1:20">
      <c r="A2" t="s">
        <v>447</v>
      </c>
    </row>
    <row r="4" spans="1:20" s="43" customFormat="1" ht="52">
      <c r="A4" s="43" t="s">
        <v>524</v>
      </c>
      <c r="B4" s="43" t="s">
        <v>465</v>
      </c>
      <c r="C4" s="43" t="s">
        <v>464</v>
      </c>
      <c r="D4" s="43" t="s">
        <v>444</v>
      </c>
      <c r="E4" s="43" t="s">
        <v>527</v>
      </c>
      <c r="F4" s="43" t="s">
        <v>528</v>
      </c>
      <c r="G4" s="43" t="s">
        <v>529</v>
      </c>
      <c r="H4" s="43" t="s">
        <v>530</v>
      </c>
      <c r="I4" s="43" t="s">
        <v>532</v>
      </c>
      <c r="J4" s="43" t="s">
        <v>531</v>
      </c>
      <c r="K4" s="43" t="s">
        <v>533</v>
      </c>
      <c r="L4" s="43" t="s">
        <v>455</v>
      </c>
      <c r="M4" s="43" t="s">
        <v>456</v>
      </c>
      <c r="N4" s="43" t="s">
        <v>457</v>
      </c>
      <c r="O4" s="43" t="s">
        <v>458</v>
      </c>
      <c r="P4" s="43" t="s">
        <v>459</v>
      </c>
      <c r="Q4" s="43" t="s">
        <v>462</v>
      </c>
      <c r="R4" s="43" t="s">
        <v>461</v>
      </c>
      <c r="S4" s="43" t="s">
        <v>463</v>
      </c>
      <c r="T4" s="43" t="s">
        <v>446</v>
      </c>
    </row>
    <row r="5" spans="1:20">
      <c r="A5" t="s">
        <v>467</v>
      </c>
      <c r="B5" s="272">
        <v>53.7116564417177</v>
      </c>
      <c r="C5">
        <f>-(B5-B$5)</f>
        <v>0</v>
      </c>
      <c r="D5" s="272">
        <v>7.4977432622165203</v>
      </c>
      <c r="E5" s="272">
        <v>5.0537324878674097</v>
      </c>
      <c r="F5" s="272">
        <v>7.27536231884058</v>
      </c>
      <c r="G5" s="272">
        <v>7.4637681159420204</v>
      </c>
      <c r="H5" s="272">
        <v>7.4511396239660499</v>
      </c>
      <c r="I5" s="272">
        <v>5.1014492753623104</v>
      </c>
      <c r="J5" s="272">
        <v>4.1159420289854998</v>
      </c>
      <c r="K5" s="272"/>
      <c r="L5" s="282">
        <f t="shared" ref="L5:R8" si="0">10^D5</f>
        <v>31458880.39255951</v>
      </c>
      <c r="M5" s="282">
        <f t="shared" si="0"/>
        <v>113170.30539907544</v>
      </c>
      <c r="N5" s="282">
        <f t="shared" si="0"/>
        <v>18852212.17040877</v>
      </c>
      <c r="O5" s="282">
        <f t="shared" si="0"/>
        <v>29091634.056238253</v>
      </c>
      <c r="P5" s="282">
        <f t="shared" si="0"/>
        <v>28257883.087107211</v>
      </c>
      <c r="Q5" s="282">
        <f t="shared" si="0"/>
        <v>126313.3563976814</v>
      </c>
      <c r="R5" s="282">
        <f t="shared" si="0"/>
        <v>13059.965479060316</v>
      </c>
      <c r="S5" s="289"/>
      <c r="T5">
        <v>20.9164018293155</v>
      </c>
    </row>
    <row r="6" spans="1:20">
      <c r="A6" s="272" t="s">
        <v>467</v>
      </c>
      <c r="B6" s="272">
        <v>50.644171779140997</v>
      </c>
      <c r="C6" s="289">
        <f t="shared" ref="C6:C29" si="1">-(B6-B$5)</f>
        <v>3.0674846625767032</v>
      </c>
      <c r="D6" s="272">
        <v>7.1710599609315304</v>
      </c>
      <c r="E6" s="272">
        <v>5.7718253059854003</v>
      </c>
      <c r="F6" s="272">
        <v>6.7246376811594102</v>
      </c>
      <c r="G6" s="272">
        <v>6.11594202898549</v>
      </c>
      <c r="H6" s="272">
        <v>6.7606694289289697</v>
      </c>
      <c r="I6" s="272">
        <v>4.1884057971014403</v>
      </c>
      <c r="J6" s="272">
        <v>2.9275362318840501</v>
      </c>
      <c r="K6" s="272"/>
      <c r="L6" s="282">
        <f t="shared" si="0"/>
        <v>14827227.83353984</v>
      </c>
      <c r="M6" s="282">
        <f t="shared" si="0"/>
        <v>591323.7276414393</v>
      </c>
      <c r="N6" s="282">
        <f t="shared" si="0"/>
        <v>5304417.2798438165</v>
      </c>
      <c r="O6" s="282">
        <f t="shared" si="0"/>
        <v>1305996.547906002</v>
      </c>
      <c r="P6" s="282">
        <f t="shared" si="0"/>
        <v>5763276.1424527587</v>
      </c>
      <c r="Q6" s="282">
        <f t="shared" si="0"/>
        <v>15431.416638680626</v>
      </c>
      <c r="R6" s="282">
        <f t="shared" si="0"/>
        <v>846.32317206209939</v>
      </c>
      <c r="S6" s="289"/>
      <c r="T6">
        <v>21.872723044725198</v>
      </c>
    </row>
    <row r="7" spans="1:20">
      <c r="A7" s="272" t="s">
        <v>467</v>
      </c>
      <c r="B7" s="272">
        <v>43.7423312883435</v>
      </c>
      <c r="C7" s="289">
        <f t="shared" si="1"/>
        <v>9.9693251533742</v>
      </c>
      <c r="D7" s="272">
        <v>7.4877949211000203</v>
      </c>
      <c r="E7" s="272">
        <v>5.3238924243811603</v>
      </c>
      <c r="F7" s="272">
        <v>5.2898550724637703</v>
      </c>
      <c r="G7" s="272">
        <v>3.0579710144927499</v>
      </c>
      <c r="H7" s="272">
        <v>5.3052833989561297</v>
      </c>
      <c r="I7" s="272">
        <v>2.5072463768115898</v>
      </c>
      <c r="J7" s="272">
        <v>0.98550724637681397</v>
      </c>
      <c r="K7" s="272"/>
      <c r="L7" s="282">
        <f t="shared" si="0"/>
        <v>30746445.889926754</v>
      </c>
      <c r="M7" s="282">
        <f t="shared" si="0"/>
        <v>210810.59031723649</v>
      </c>
      <c r="N7" s="282">
        <f t="shared" si="0"/>
        <v>194919.4029602865</v>
      </c>
      <c r="O7" s="282">
        <f t="shared" si="0"/>
        <v>1142.8020598100234</v>
      </c>
      <c r="P7" s="282">
        <f t="shared" si="0"/>
        <v>201968.38789052473</v>
      </c>
      <c r="Q7" s="282">
        <f t="shared" si="0"/>
        <v>321.54841769776743</v>
      </c>
      <c r="R7" s="282">
        <f t="shared" si="0"/>
        <v>9.6717986429754976</v>
      </c>
      <c r="S7" s="289"/>
      <c r="T7">
        <v>18.427408728005499</v>
      </c>
    </row>
    <row r="8" spans="1:20">
      <c r="A8" s="272" t="s">
        <v>467</v>
      </c>
      <c r="B8" s="272">
        <v>34.079754601226902</v>
      </c>
      <c r="C8" s="289">
        <f t="shared" si="1"/>
        <v>19.631901840490798</v>
      </c>
      <c r="D8" s="272">
        <v>7.36592535787321</v>
      </c>
      <c r="E8" s="272">
        <v>5.3326389524768798</v>
      </c>
      <c r="F8" s="272">
        <v>6.1014492753623202</v>
      </c>
      <c r="G8" s="272">
        <v>5.0289855072463698</v>
      </c>
      <c r="H8" s="272">
        <v>6.0043188963159597</v>
      </c>
      <c r="I8" s="272">
        <v>3.0869565217391299</v>
      </c>
      <c r="J8" s="272">
        <v>2.88405797101449</v>
      </c>
      <c r="K8" s="272"/>
      <c r="L8" s="282">
        <f t="shared" si="0"/>
        <v>23223376.222399008</v>
      </c>
      <c r="M8" s="282">
        <f t="shared" si="0"/>
        <v>215099.27791843336</v>
      </c>
      <c r="N8" s="282">
        <f t="shared" si="0"/>
        <v>1263133.5639768445</v>
      </c>
      <c r="O8" s="282">
        <f t="shared" si="0"/>
        <v>106901.92046029841</v>
      </c>
      <c r="P8" s="282">
        <f t="shared" si="0"/>
        <v>1009994.2383928036</v>
      </c>
      <c r="Q8" s="282">
        <f t="shared" si="0"/>
        <v>1221.6773489967909</v>
      </c>
      <c r="R8" s="282">
        <f t="shared" si="0"/>
        <v>765.69880801241527</v>
      </c>
      <c r="S8" s="272"/>
      <c r="T8">
        <v>18.645763894271699</v>
      </c>
    </row>
    <row r="9" spans="1:20">
      <c r="A9" s="272" t="s">
        <v>467</v>
      </c>
      <c r="B9" s="272">
        <v>24.4171779141104</v>
      </c>
      <c r="C9" s="289">
        <f t="shared" si="1"/>
        <v>29.2944785276073</v>
      </c>
      <c r="D9" s="272">
        <v>7.3093543021090799</v>
      </c>
      <c r="E9" s="272"/>
      <c r="F9" s="272"/>
      <c r="G9" s="272"/>
      <c r="H9" s="272"/>
      <c r="I9" s="272"/>
      <c r="J9" s="272"/>
      <c r="K9" s="272"/>
      <c r="L9" s="282">
        <f t="shared" ref="L9:L40" si="2">10^D9</f>
        <v>20387045.965988476</v>
      </c>
      <c r="M9" s="289"/>
      <c r="N9" s="289"/>
      <c r="O9" s="289"/>
      <c r="P9" s="289"/>
      <c r="Q9" s="289"/>
      <c r="R9" s="289"/>
      <c r="S9" s="289"/>
      <c r="T9">
        <v>18.1311526238276</v>
      </c>
    </row>
    <row r="10" spans="1:20">
      <c r="A10" s="272" t="s">
        <v>467</v>
      </c>
      <c r="B10" s="272">
        <v>14.9079754601226</v>
      </c>
      <c r="C10" s="289">
        <f t="shared" si="1"/>
        <v>38.8036809815951</v>
      </c>
      <c r="D10" s="272">
        <v>7.5419718890211502</v>
      </c>
      <c r="E10" s="272">
        <v>5.3588403839697198</v>
      </c>
      <c r="F10" s="272">
        <v>5.6666666666666599</v>
      </c>
      <c r="G10" s="272">
        <v>5.4347826086956497</v>
      </c>
      <c r="H10" s="272">
        <v>6.1704647773402899</v>
      </c>
      <c r="I10" s="272">
        <v>3.01449275362318</v>
      </c>
      <c r="J10" s="272">
        <v>1.7971014492753501</v>
      </c>
      <c r="K10" s="272"/>
      <c r="L10" s="282">
        <f t="shared" si="2"/>
        <v>34831476.861555547</v>
      </c>
      <c r="M10" s="282">
        <f t="shared" ref="M10:R10" si="3">10^E10</f>
        <v>228475.89327565458</v>
      </c>
      <c r="N10" s="282">
        <f t="shared" si="3"/>
        <v>464158.88336127147</v>
      </c>
      <c r="O10" s="282">
        <f t="shared" si="3"/>
        <v>272133.87683752971</v>
      </c>
      <c r="P10" s="282">
        <f t="shared" si="3"/>
        <v>1480692.1615677362</v>
      </c>
      <c r="Q10" s="282">
        <f t="shared" si="3"/>
        <v>1033.9338492393797</v>
      </c>
      <c r="R10" s="282">
        <f t="shared" si="3"/>
        <v>62.67602560047213</v>
      </c>
      <c r="S10" s="272"/>
      <c r="T10">
        <v>16.263390434849999</v>
      </c>
    </row>
    <row r="11" spans="1:20">
      <c r="A11" s="272" t="s">
        <v>467</v>
      </c>
      <c r="B11" s="272">
        <v>5.3987730061349701</v>
      </c>
      <c r="C11" s="289">
        <f t="shared" si="1"/>
        <v>48.312883435582734</v>
      </c>
      <c r="D11" s="272">
        <v>6.83242529682874</v>
      </c>
      <c r="E11" s="272"/>
      <c r="F11" s="272"/>
      <c r="G11" s="272"/>
      <c r="H11" s="272"/>
      <c r="I11" s="272"/>
      <c r="J11" s="272"/>
      <c r="K11" s="272"/>
      <c r="L11" s="282">
        <f t="shared" si="2"/>
        <v>6798690.9038491379</v>
      </c>
      <c r="M11" s="289"/>
      <c r="N11" s="289"/>
      <c r="O11" s="289"/>
      <c r="P11" s="289"/>
      <c r="Q11" s="289"/>
      <c r="R11" s="289"/>
      <c r="S11" s="289"/>
      <c r="T11">
        <v>15.071854894969301</v>
      </c>
    </row>
    <row r="12" spans="1:20">
      <c r="A12" s="272" t="s">
        <v>467</v>
      </c>
      <c r="B12" s="272">
        <v>-1.04294478527606</v>
      </c>
      <c r="C12" s="289">
        <f t="shared" si="1"/>
        <v>54.754601226993763</v>
      </c>
      <c r="D12" s="272">
        <v>6.2536664835332498</v>
      </c>
      <c r="E12" s="272"/>
      <c r="F12" s="272"/>
      <c r="G12" s="272"/>
      <c r="H12" s="272"/>
      <c r="I12" s="272"/>
      <c r="J12" s="272"/>
      <c r="K12" s="272"/>
      <c r="L12" s="282">
        <f t="shared" si="2"/>
        <v>1793355.8901479279</v>
      </c>
      <c r="M12" s="272"/>
      <c r="N12" s="272"/>
      <c r="O12" s="272"/>
      <c r="P12" s="272"/>
      <c r="Q12" s="272"/>
      <c r="R12" s="272"/>
      <c r="S12" s="272"/>
      <c r="T12">
        <v>14.277730408495399</v>
      </c>
    </row>
    <row r="13" spans="1:20">
      <c r="A13" s="272" t="s">
        <v>467</v>
      </c>
      <c r="B13" s="272">
        <v>-11.1656441717791</v>
      </c>
      <c r="C13" s="289">
        <f t="shared" si="1"/>
        <v>64.8773006134968</v>
      </c>
      <c r="D13" s="272">
        <v>6.0664697982480202</v>
      </c>
      <c r="E13" s="272"/>
      <c r="F13" s="272"/>
      <c r="G13" s="272"/>
      <c r="H13" s="272"/>
      <c r="I13" s="272"/>
      <c r="J13" s="272"/>
      <c r="K13" s="272"/>
      <c r="L13" s="282">
        <f t="shared" si="2"/>
        <v>1165386.0046245637</v>
      </c>
      <c r="M13" s="289"/>
      <c r="N13" s="289"/>
      <c r="O13" s="289"/>
      <c r="P13" s="289"/>
      <c r="Q13" s="289"/>
      <c r="R13" s="289"/>
      <c r="S13" s="289"/>
      <c r="T13">
        <v>12.127083171847101</v>
      </c>
    </row>
    <row r="14" spans="1:20">
      <c r="A14" s="272" t="s">
        <v>467</v>
      </c>
      <c r="B14" s="272">
        <v>-22.361963190183999</v>
      </c>
      <c r="C14" s="289">
        <f t="shared" si="1"/>
        <v>76.073619631901693</v>
      </c>
      <c r="D14" s="272">
        <v>6.1030869425876704</v>
      </c>
      <c r="E14" s="272"/>
      <c r="F14" s="272"/>
      <c r="G14" s="272"/>
      <c r="H14" s="272"/>
      <c r="I14" s="272"/>
      <c r="J14" s="272"/>
      <c r="K14" s="272"/>
      <c r="L14" s="282">
        <f t="shared" si="2"/>
        <v>1267905.6659191523</v>
      </c>
      <c r="M14" s="272"/>
      <c r="N14" s="272"/>
      <c r="O14" s="272"/>
      <c r="P14" s="272"/>
      <c r="Q14" s="272"/>
      <c r="R14" s="272"/>
      <c r="S14" s="272"/>
      <c r="T14">
        <v>11.8926827377722</v>
      </c>
    </row>
    <row r="15" spans="1:20">
      <c r="A15" s="272" t="s">
        <v>467</v>
      </c>
      <c r="B15" s="272">
        <v>-23.588957055214699</v>
      </c>
      <c r="C15" s="289">
        <f t="shared" si="1"/>
        <v>77.300613496932399</v>
      </c>
      <c r="D15" s="272">
        <v>5.4873389952080096</v>
      </c>
      <c r="E15" s="272"/>
      <c r="F15" s="272"/>
      <c r="G15" s="272"/>
      <c r="H15" s="272"/>
      <c r="I15" s="272"/>
      <c r="J15" s="272"/>
      <c r="K15" s="272"/>
      <c r="L15" s="282">
        <f t="shared" si="2"/>
        <v>307141.84956923377</v>
      </c>
      <c r="M15" s="272"/>
      <c r="N15" s="272"/>
      <c r="O15" s="272"/>
      <c r="P15" s="272"/>
      <c r="Q15" s="272"/>
      <c r="R15" s="272"/>
      <c r="S15" s="272"/>
      <c r="T15">
        <v>11.102511433222199</v>
      </c>
    </row>
    <row r="16" spans="1:20">
      <c r="A16" s="272" t="s">
        <v>467</v>
      </c>
      <c r="B16" s="272">
        <v>-26.042944785275999</v>
      </c>
      <c r="C16" s="289">
        <f t="shared" si="1"/>
        <v>79.754601226993699</v>
      </c>
      <c r="D16" s="272">
        <v>5.7017386228367304</v>
      </c>
      <c r="E16" s="272"/>
      <c r="F16" s="272"/>
      <c r="G16" s="272"/>
      <c r="H16" s="272"/>
      <c r="I16" s="272"/>
      <c r="J16" s="272"/>
      <c r="K16" s="272"/>
      <c r="L16" s="282">
        <f t="shared" si="2"/>
        <v>503197.67156004795</v>
      </c>
      <c r="M16" s="272"/>
      <c r="N16" s="272"/>
      <c r="O16" s="272"/>
      <c r="P16" s="272"/>
      <c r="Q16" s="272"/>
      <c r="R16" s="272"/>
      <c r="S16" s="272"/>
      <c r="T16" s="286">
        <v>8.6760716223548506</v>
      </c>
    </row>
    <row r="17" spans="1:20">
      <c r="A17" s="272" t="s">
        <v>467</v>
      </c>
      <c r="B17" s="272">
        <v>-29.570552147239201</v>
      </c>
      <c r="C17" s="289">
        <f t="shared" si="1"/>
        <v>83.282208588956905</v>
      </c>
      <c r="D17" s="272">
        <v>6.36383267710527</v>
      </c>
      <c r="E17" s="272"/>
      <c r="F17" s="272"/>
      <c r="G17" s="272"/>
      <c r="H17" s="272"/>
      <c r="I17" s="272"/>
      <c r="J17" s="272"/>
      <c r="K17" s="272"/>
      <c r="L17" s="282">
        <f t="shared" si="2"/>
        <v>2311174.1805198584</v>
      </c>
      <c r="M17" s="289"/>
      <c r="N17" s="289"/>
      <c r="O17" s="289"/>
      <c r="P17" s="289"/>
      <c r="Q17" s="289"/>
      <c r="R17" s="289"/>
      <c r="S17" s="289"/>
      <c r="T17">
        <v>8.89884505077125</v>
      </c>
    </row>
    <row r="18" spans="1:20">
      <c r="A18" s="272" t="s">
        <v>467</v>
      </c>
      <c r="B18" s="272">
        <v>-30.6441717791411</v>
      </c>
      <c r="C18" s="289">
        <f t="shared" si="1"/>
        <v>84.355828220858797</v>
      </c>
      <c r="D18" s="272">
        <v>6.2424972529988096</v>
      </c>
      <c r="E18" s="272">
        <v>6.0745772670390297</v>
      </c>
      <c r="F18" s="272">
        <v>5.8405797101449197</v>
      </c>
      <c r="G18" s="282">
        <v>-1.60901623597659E-18</v>
      </c>
      <c r="H18" s="272">
        <v>5.8227592863901299</v>
      </c>
      <c r="I18" s="272">
        <v>2.5942028985507202</v>
      </c>
      <c r="J18" s="272">
        <v>-1.4492753623187299E-2</v>
      </c>
      <c r="K18" s="272"/>
      <c r="L18" s="282">
        <f t="shared" si="2"/>
        <v>1747822.2070512569</v>
      </c>
      <c r="M18" s="282">
        <f t="shared" ref="M18:R18" si="4">10^E18</f>
        <v>1187345.9276358916</v>
      </c>
      <c r="N18" s="282">
        <f t="shared" si="4"/>
        <v>692755.06561292731</v>
      </c>
      <c r="O18" s="282">
        <f t="shared" si="4"/>
        <v>1</v>
      </c>
      <c r="P18" s="282">
        <f t="shared" si="4"/>
        <v>664904.52169709082</v>
      </c>
      <c r="Q18" s="282">
        <f t="shared" si="4"/>
        <v>392.8284185071218</v>
      </c>
      <c r="R18" s="282">
        <f t="shared" si="4"/>
        <v>0.96717986429754699</v>
      </c>
      <c r="S18" s="272"/>
      <c r="T18">
        <v>9.8565615068599293</v>
      </c>
    </row>
    <row r="19" spans="1:20">
      <c r="A19" s="272" t="s">
        <v>467</v>
      </c>
      <c r="B19" s="272">
        <v>-35.705521472392597</v>
      </c>
      <c r="C19" s="289">
        <f t="shared" si="1"/>
        <v>89.417177914110297</v>
      </c>
      <c r="D19" s="272">
        <v>6.4660630894606701</v>
      </c>
      <c r="E19" s="272"/>
      <c r="F19" s="272"/>
      <c r="G19" s="272"/>
      <c r="H19" s="272"/>
      <c r="I19" s="272"/>
      <c r="J19" s="272"/>
      <c r="K19" s="272"/>
      <c r="L19" s="282">
        <f t="shared" si="2"/>
        <v>2924577.1969571048</v>
      </c>
      <c r="M19" s="272"/>
      <c r="N19" s="272"/>
      <c r="O19" s="272"/>
      <c r="P19" s="272"/>
      <c r="Q19" s="272"/>
      <c r="R19" s="272"/>
      <c r="S19" s="272"/>
      <c r="T19">
        <v>6.4132237811022401</v>
      </c>
    </row>
    <row r="20" spans="1:20">
      <c r="A20" s="272" t="s">
        <v>467</v>
      </c>
      <c r="B20" s="272">
        <v>-39.233128834355803</v>
      </c>
      <c r="C20" s="289">
        <f t="shared" si="1"/>
        <v>92.944785276073503</v>
      </c>
      <c r="D20" s="272">
        <v>6.6430825168635304</v>
      </c>
      <c r="E20" s="272"/>
      <c r="F20" s="272"/>
      <c r="G20" s="272"/>
      <c r="H20" s="272"/>
      <c r="I20" s="272"/>
      <c r="J20" s="272"/>
      <c r="K20" s="272"/>
      <c r="L20" s="282">
        <f t="shared" si="2"/>
        <v>4396251.3720214954</v>
      </c>
      <c r="M20" s="289"/>
      <c r="N20" s="289"/>
      <c r="O20" s="289"/>
      <c r="P20" s="289"/>
      <c r="Q20" s="289"/>
      <c r="R20" s="289"/>
      <c r="S20" s="289"/>
      <c r="T20">
        <v>7.2562979613983298</v>
      </c>
    </row>
    <row r="21" spans="1:20">
      <c r="A21" s="272" t="s">
        <v>467</v>
      </c>
      <c r="B21" s="272">
        <v>-48.282208588956998</v>
      </c>
      <c r="C21" s="289">
        <f t="shared" si="1"/>
        <v>101.9938650306747</v>
      </c>
      <c r="D21" s="272">
        <v>6.2320720019534201</v>
      </c>
      <c r="E21" s="272">
        <v>6.8011018526996896</v>
      </c>
      <c r="F21" s="272">
        <v>6.63768115942029</v>
      </c>
      <c r="G21" s="272">
        <v>3.6521739130434701</v>
      </c>
      <c r="H21" s="272">
        <v>7.2862146323596697</v>
      </c>
      <c r="I21" s="272">
        <v>2.5652173913043401</v>
      </c>
      <c r="J21" s="272">
        <v>1.3333333333333299</v>
      </c>
      <c r="K21" s="272"/>
      <c r="L21" s="282">
        <f t="shared" si="2"/>
        <v>1706365.2649164759</v>
      </c>
      <c r="M21" s="282">
        <f t="shared" ref="M21:R21" si="5">10^E21</f>
        <v>6325601.8484774642</v>
      </c>
      <c r="N21" s="282">
        <f t="shared" si="5"/>
        <v>4341913.4227214577</v>
      </c>
      <c r="O21" s="282">
        <f t="shared" si="5"/>
        <v>4489.2512582185245</v>
      </c>
      <c r="P21" s="282">
        <f t="shared" si="5"/>
        <v>19329233.49645669</v>
      </c>
      <c r="Q21" s="282">
        <f t="shared" si="5"/>
        <v>367.46619407366251</v>
      </c>
      <c r="R21" s="282">
        <f t="shared" si="5"/>
        <v>21.544346900318672</v>
      </c>
      <c r="S21" s="272"/>
      <c r="T21">
        <v>5.6704906596387801</v>
      </c>
    </row>
    <row r="22" spans="1:20">
      <c r="A22" s="272" t="s">
        <v>467</v>
      </c>
      <c r="B22" s="272">
        <v>-48.128834355828197</v>
      </c>
      <c r="C22" s="289">
        <f t="shared" si="1"/>
        <v>101.8404907975459</v>
      </c>
      <c r="D22" s="272">
        <v>6.5492457192564704</v>
      </c>
      <c r="E22" s="272"/>
      <c r="F22" s="272"/>
      <c r="G22" s="272"/>
      <c r="H22" s="272"/>
      <c r="I22" s="272"/>
      <c r="J22" s="272"/>
      <c r="K22" s="272"/>
      <c r="L22" s="282">
        <f t="shared" si="2"/>
        <v>3541976.8573209452</v>
      </c>
      <c r="M22" s="272"/>
      <c r="N22" s="272"/>
      <c r="O22" s="272"/>
      <c r="P22" s="272"/>
      <c r="Q22" s="272"/>
      <c r="R22" s="272"/>
      <c r="S22" s="272"/>
      <c r="T22">
        <v>5.6704906596387801</v>
      </c>
    </row>
    <row r="23" spans="1:20">
      <c r="A23" s="272" t="s">
        <v>467</v>
      </c>
      <c r="B23" s="272">
        <v>-53.6503067484662</v>
      </c>
      <c r="C23" s="289">
        <f t="shared" si="1"/>
        <v>107.3619631901839</v>
      </c>
      <c r="D23" s="272">
        <v>6.3343501053017102</v>
      </c>
      <c r="E23" s="272"/>
      <c r="F23" s="272"/>
      <c r="G23" s="272"/>
      <c r="H23" s="272"/>
      <c r="I23" s="272"/>
      <c r="J23" s="272"/>
      <c r="K23" s="272"/>
      <c r="L23" s="282">
        <f t="shared" si="2"/>
        <v>2159484.5701902714</v>
      </c>
      <c r="M23" s="272"/>
      <c r="N23" s="272"/>
      <c r="O23" s="272"/>
      <c r="P23" s="272"/>
      <c r="Q23" s="272"/>
      <c r="R23" s="272"/>
      <c r="S23" s="272"/>
      <c r="T23">
        <v>7.7530036431284399</v>
      </c>
    </row>
    <row r="24" spans="1:20">
      <c r="A24" s="272" t="s">
        <v>467</v>
      </c>
      <c r="B24" s="272">
        <v>-58.251533742331198</v>
      </c>
      <c r="C24" s="289">
        <f t="shared" si="1"/>
        <v>111.9631901840489</v>
      </c>
      <c r="D24" s="272">
        <v>6.5859296309861701</v>
      </c>
      <c r="E24" s="272"/>
      <c r="F24" s="272"/>
      <c r="G24" s="272"/>
      <c r="H24" s="272"/>
      <c r="I24" s="272"/>
      <c r="J24" s="272"/>
      <c r="K24" s="272"/>
      <c r="L24" s="282">
        <f t="shared" si="2"/>
        <v>3854159.0341979209</v>
      </c>
      <c r="M24" s="272"/>
      <c r="N24" s="272"/>
      <c r="O24" s="272"/>
      <c r="P24" s="272"/>
      <c r="Q24" s="272"/>
      <c r="R24" s="272"/>
      <c r="S24" s="272"/>
      <c r="T24">
        <v>6.3398573753972496</v>
      </c>
    </row>
    <row r="25" spans="1:20">
      <c r="A25" s="272" t="s">
        <v>467</v>
      </c>
      <c r="B25" s="272">
        <v>-61.472392638036801</v>
      </c>
      <c r="C25" s="289">
        <f t="shared" si="1"/>
        <v>115.1840490797545</v>
      </c>
      <c r="D25" s="272">
        <v>6.5390875377712598</v>
      </c>
      <c r="E25" s="272"/>
      <c r="F25" s="272"/>
      <c r="G25" s="272"/>
      <c r="H25" s="272"/>
      <c r="I25" s="272"/>
      <c r="J25" s="272"/>
      <c r="K25" s="272"/>
      <c r="L25" s="282">
        <f t="shared" si="2"/>
        <v>3460091.1349060284</v>
      </c>
      <c r="M25" s="272"/>
      <c r="N25" s="272"/>
      <c r="O25" s="272"/>
      <c r="P25" s="272"/>
      <c r="Q25" s="272"/>
      <c r="R25" s="272"/>
      <c r="S25" s="272"/>
      <c r="T25">
        <v>4.08154406635144</v>
      </c>
    </row>
    <row r="26" spans="1:20">
      <c r="A26" s="272" t="s">
        <v>467</v>
      </c>
      <c r="B26" s="272">
        <v>-64.386503067484597</v>
      </c>
      <c r="C26" s="289">
        <f t="shared" si="1"/>
        <v>118.0981595092023</v>
      </c>
      <c r="D26" s="272">
        <v>6.5668913866251497</v>
      </c>
      <c r="E26" s="272"/>
      <c r="F26" s="272"/>
      <c r="G26" s="272"/>
      <c r="H26" s="272"/>
      <c r="I26" s="272"/>
      <c r="J26" s="272"/>
      <c r="K26" s="272"/>
      <c r="L26" s="282">
        <f t="shared" si="2"/>
        <v>3688853.3193313321</v>
      </c>
      <c r="M26" s="272"/>
      <c r="N26" s="272"/>
      <c r="O26" s="272"/>
      <c r="P26" s="272"/>
      <c r="Q26" s="272"/>
      <c r="R26" s="272"/>
      <c r="S26" s="272"/>
      <c r="T26">
        <v>4.3050151151073504</v>
      </c>
    </row>
    <row r="27" spans="1:20">
      <c r="A27" s="272" t="s">
        <v>467</v>
      </c>
      <c r="B27" s="272">
        <v>-70.981595092024506</v>
      </c>
      <c r="C27" s="289">
        <f t="shared" si="1"/>
        <v>124.6932515337422</v>
      </c>
      <c r="D27" s="272">
        <v>6.4825260202057198</v>
      </c>
      <c r="E27" s="272">
        <v>6.6597648261758602</v>
      </c>
      <c r="F27" s="272">
        <v>5.5217391304347796</v>
      </c>
      <c r="G27" s="272">
        <v>-2.8985507246376802E-2</v>
      </c>
      <c r="H27" s="272">
        <v>5.6523498306015902</v>
      </c>
      <c r="I27" s="272">
        <v>2.3043478260869499</v>
      </c>
      <c r="J27" s="272">
        <v>-2.8985507246377801E-2</v>
      </c>
      <c r="K27" s="272"/>
      <c r="L27" s="282">
        <f t="shared" si="2"/>
        <v>3037568.0785517329</v>
      </c>
      <c r="M27" s="282">
        <f t="shared" ref="M27:R27" si="6">10^E27</f>
        <v>4568407.3982558213</v>
      </c>
      <c r="N27" s="282">
        <f t="shared" si="6"/>
        <v>332459.7932270923</v>
      </c>
      <c r="O27" s="282">
        <f t="shared" si="6"/>
        <v>0.93543688990261642</v>
      </c>
      <c r="P27" s="282">
        <f t="shared" si="6"/>
        <v>449107.006578192</v>
      </c>
      <c r="Q27" s="282">
        <f t="shared" si="6"/>
        <v>201.53376859417034</v>
      </c>
      <c r="R27" s="282">
        <f t="shared" si="6"/>
        <v>0.93543688990261431</v>
      </c>
      <c r="S27" s="272"/>
      <c r="T27">
        <v>7.0070149600806104</v>
      </c>
    </row>
    <row r="28" spans="1:20">
      <c r="A28" s="272" t="s">
        <v>467</v>
      </c>
      <c r="B28" s="272">
        <v>-74.9693251533742</v>
      </c>
      <c r="C28" s="289">
        <f t="shared" si="1"/>
        <v>128.68098159509191</v>
      </c>
      <c r="D28" s="272">
        <v>6.4263078777889602</v>
      </c>
      <c r="E28" s="272"/>
      <c r="F28" s="272"/>
      <c r="G28" s="272"/>
      <c r="H28" s="272"/>
      <c r="I28" s="272"/>
      <c r="J28" s="272"/>
      <c r="K28" s="272"/>
      <c r="L28" s="282">
        <f t="shared" si="2"/>
        <v>2668749.9104046999</v>
      </c>
      <c r="M28" s="289"/>
      <c r="N28" s="289"/>
      <c r="O28" s="289"/>
      <c r="P28" s="289"/>
      <c r="Q28" s="289"/>
      <c r="R28" s="289"/>
      <c r="S28" s="289"/>
      <c r="T28">
        <v>6.0454615921246404</v>
      </c>
    </row>
    <row r="29" spans="1:20">
      <c r="A29" s="272" t="s">
        <v>467</v>
      </c>
      <c r="B29" s="272">
        <v>-86.012269938650306</v>
      </c>
      <c r="C29" s="289">
        <f t="shared" si="1"/>
        <v>139.723926380368</v>
      </c>
      <c r="D29" s="272">
        <v>6.5468897842077904</v>
      </c>
      <c r="E29" s="272">
        <v>6.3789888746451702</v>
      </c>
      <c r="F29" s="272">
        <v>4.9855072463768098</v>
      </c>
      <c r="G29" s="282">
        <v>-1.0056351474853599E-19</v>
      </c>
      <c r="H29" s="272">
        <v>5.3809022372798498</v>
      </c>
      <c r="I29" s="272">
        <v>2.2463768115942</v>
      </c>
      <c r="J29" s="272">
        <v>1.50724637681159</v>
      </c>
      <c r="K29" s="272"/>
      <c r="L29" s="282">
        <f t="shared" si="2"/>
        <v>3522814.5727208881</v>
      </c>
      <c r="M29" s="282">
        <f t="shared" ref="M29:R29" si="7">10^E29</f>
        <v>2393254.4474386042</v>
      </c>
      <c r="N29" s="282">
        <f t="shared" si="7"/>
        <v>96717.986429754121</v>
      </c>
      <c r="O29" s="282">
        <f t="shared" si="7"/>
        <v>1</v>
      </c>
      <c r="P29" s="282">
        <f t="shared" si="7"/>
        <v>240382.16220669809</v>
      </c>
      <c r="Q29" s="282">
        <f t="shared" si="7"/>
        <v>176.35054720471274</v>
      </c>
      <c r="R29" s="282">
        <f t="shared" si="7"/>
        <v>32.154841769776752</v>
      </c>
      <c r="S29" s="289"/>
      <c r="T29">
        <v>6.9388807069219398</v>
      </c>
    </row>
    <row r="30" spans="1:20">
      <c r="A30" t="s">
        <v>466</v>
      </c>
      <c r="B30" s="272">
        <v>145.869336143308</v>
      </c>
      <c r="C30" s="272">
        <f t="shared" ref="C30:C65" si="8">-(B30-B$30)</f>
        <v>0</v>
      </c>
      <c r="D30" s="272">
        <v>7.1710526315789398</v>
      </c>
      <c r="E30" s="272"/>
      <c r="F30" s="272"/>
      <c r="G30" s="272"/>
      <c r="H30" s="272"/>
      <c r="I30" s="272"/>
      <c r="J30" s="272"/>
      <c r="K30" s="272"/>
      <c r="L30" s="282">
        <f t="shared" si="2"/>
        <v>14826977.604563309</v>
      </c>
      <c r="M30" s="272"/>
      <c r="N30" s="272"/>
      <c r="O30" s="272"/>
      <c r="P30" s="272"/>
      <c r="Q30" s="272"/>
      <c r="R30" s="272"/>
    </row>
    <row r="31" spans="1:20">
      <c r="A31" s="272" t="s">
        <v>466</v>
      </c>
      <c r="B31" s="272">
        <v>138.78819810326601</v>
      </c>
      <c r="C31" s="272">
        <f t="shared" si="8"/>
        <v>7.0811380400419921</v>
      </c>
      <c r="D31" s="272">
        <v>7.1710526315789398</v>
      </c>
      <c r="E31" s="272"/>
      <c r="F31" s="272"/>
      <c r="G31" s="272"/>
      <c r="H31" s="272"/>
      <c r="I31" s="272"/>
      <c r="J31" s="272"/>
      <c r="K31" s="272"/>
      <c r="L31" s="282">
        <f t="shared" si="2"/>
        <v>14826977.604563309</v>
      </c>
      <c r="M31" s="272"/>
      <c r="N31" s="272"/>
      <c r="O31" s="272"/>
      <c r="P31" s="272"/>
      <c r="Q31" s="272"/>
      <c r="R31" s="272"/>
    </row>
    <row r="32" spans="1:20">
      <c r="A32" s="272" t="s">
        <v>466</v>
      </c>
      <c r="B32" s="272">
        <v>136.427818756585</v>
      </c>
      <c r="C32" s="272">
        <f t="shared" si="8"/>
        <v>9.4415173867230067</v>
      </c>
      <c r="D32" s="272">
        <v>6.8289473684210504</v>
      </c>
      <c r="E32" s="272"/>
      <c r="F32" s="272"/>
      <c r="G32" s="272"/>
      <c r="H32" s="272"/>
      <c r="I32" s="272"/>
      <c r="J32" s="272"/>
      <c r="K32" s="272"/>
      <c r="L32" s="282">
        <f t="shared" si="2"/>
        <v>6744462.8748357268</v>
      </c>
      <c r="M32" s="272"/>
      <c r="N32" s="272"/>
      <c r="O32" s="272"/>
      <c r="P32" s="272"/>
      <c r="Q32" s="272"/>
      <c r="R32" s="272"/>
    </row>
    <row r="33" spans="1:20">
      <c r="A33" s="272" t="s">
        <v>466</v>
      </c>
      <c r="B33" s="272">
        <v>132.00210748155899</v>
      </c>
      <c r="C33" s="272">
        <f t="shared" si="8"/>
        <v>13.86722866174901</v>
      </c>
      <c r="D33" s="272">
        <v>6.6842105263157796</v>
      </c>
      <c r="E33" s="272"/>
      <c r="F33" s="272"/>
      <c r="G33" s="272"/>
      <c r="H33" s="272"/>
      <c r="I33" s="272"/>
      <c r="J33" s="272"/>
      <c r="K33" s="272"/>
      <c r="L33" s="282">
        <f t="shared" si="2"/>
        <v>4832930.2385716531</v>
      </c>
      <c r="M33" s="272"/>
      <c r="N33" s="272"/>
      <c r="O33" s="272"/>
      <c r="P33" s="272"/>
      <c r="Q33" s="272"/>
      <c r="R33" s="272"/>
    </row>
    <row r="34" spans="1:20">
      <c r="A34" s="272" t="s">
        <v>466</v>
      </c>
      <c r="B34" s="272">
        <v>126.396206533192</v>
      </c>
      <c r="C34" s="272">
        <f t="shared" si="8"/>
        <v>19.473129610116004</v>
      </c>
      <c r="D34" s="272">
        <v>6.6052631578947301</v>
      </c>
      <c r="E34" s="272">
        <v>6.4736842105263097</v>
      </c>
      <c r="F34" s="272">
        <v>6.14990512333965</v>
      </c>
      <c r="G34" s="272">
        <v>5.5123339658443999</v>
      </c>
      <c r="H34" s="272">
        <v>6.2236842105263097</v>
      </c>
      <c r="I34" s="272">
        <v>3.04174573055028</v>
      </c>
      <c r="J34" s="272">
        <v>1.3017077798861401</v>
      </c>
      <c r="K34" s="272"/>
      <c r="L34" s="282">
        <f t="shared" si="2"/>
        <v>4029611.3202003464</v>
      </c>
      <c r="M34" s="282">
        <f t="shared" ref="M34:R34" si="9">10^E34</f>
        <v>2976351.4416312799</v>
      </c>
      <c r="N34" s="282">
        <f t="shared" si="9"/>
        <v>1412228.993138138</v>
      </c>
      <c r="O34" s="282">
        <f t="shared" si="9"/>
        <v>325337.38071044331</v>
      </c>
      <c r="P34" s="282">
        <f t="shared" si="9"/>
        <v>1673725.4139191408</v>
      </c>
      <c r="Q34" s="282">
        <f t="shared" si="9"/>
        <v>1100.8945723198713</v>
      </c>
      <c r="R34" s="282">
        <f t="shared" si="9"/>
        <v>20.03123748606653</v>
      </c>
      <c r="T34">
        <v>27.226304417429599</v>
      </c>
    </row>
    <row r="35" spans="1:20">
      <c r="A35" s="272" t="s">
        <v>466</v>
      </c>
      <c r="B35" s="272">
        <v>123.15068493150601</v>
      </c>
      <c r="C35" s="272">
        <f t="shared" si="8"/>
        <v>22.718651211801998</v>
      </c>
      <c r="D35" s="272">
        <v>6.4736842105263097</v>
      </c>
      <c r="E35" s="272"/>
      <c r="F35" s="272"/>
      <c r="G35" s="272"/>
      <c r="H35" s="272"/>
      <c r="I35" s="272"/>
      <c r="J35" s="272"/>
      <c r="K35" s="272"/>
      <c r="L35" s="282">
        <f t="shared" si="2"/>
        <v>2976351.4416312799</v>
      </c>
      <c r="M35" s="282"/>
      <c r="N35" s="282"/>
      <c r="O35" s="282"/>
      <c r="P35" s="282"/>
      <c r="Q35" s="282"/>
      <c r="R35" s="282"/>
      <c r="T35">
        <v>25.955867990600101</v>
      </c>
    </row>
    <row r="36" spans="1:20">
      <c r="A36" s="272" t="s">
        <v>466</v>
      </c>
      <c r="B36" s="272">
        <v>117.249736564805</v>
      </c>
      <c r="C36" s="272">
        <f t="shared" si="8"/>
        <v>28.619599578502999</v>
      </c>
      <c r="D36" s="272">
        <v>6.9342105263157796</v>
      </c>
      <c r="E36" s="272">
        <v>6.3815789473684204</v>
      </c>
      <c r="F36" s="272">
        <v>5.9639468690701998</v>
      </c>
      <c r="G36" s="272">
        <v>3.01518026565464</v>
      </c>
      <c r="H36" s="272">
        <v>5.7105263157894699</v>
      </c>
      <c r="I36" s="272">
        <v>3.12144212523719</v>
      </c>
      <c r="J36" s="272">
        <v>2.1385199240986701</v>
      </c>
      <c r="K36" s="272"/>
      <c r="L36" s="282">
        <f t="shared" si="2"/>
        <v>8594300.3334064651</v>
      </c>
      <c r="M36" s="282">
        <f t="shared" ref="M36:R37" si="10">10^E36</f>
        <v>2407570.1346762404</v>
      </c>
      <c r="N36" s="282">
        <f t="shared" si="10"/>
        <v>920336.97223303292</v>
      </c>
      <c r="O36" s="282">
        <f t="shared" si="10"/>
        <v>1035.5719195780416</v>
      </c>
      <c r="P36" s="282">
        <f t="shared" si="10"/>
        <v>513483.29074375163</v>
      </c>
      <c r="Q36" s="282">
        <f t="shared" si="10"/>
        <v>1322.641438995696</v>
      </c>
      <c r="R36" s="282">
        <f t="shared" si="10"/>
        <v>137.56879211696528</v>
      </c>
      <c r="T36">
        <v>25.147452381288002</v>
      </c>
    </row>
    <row r="37" spans="1:20">
      <c r="A37" s="272" t="s">
        <v>466</v>
      </c>
      <c r="B37" s="272">
        <v>111.643835616438</v>
      </c>
      <c r="C37" s="272">
        <f t="shared" si="8"/>
        <v>34.225500526870007</v>
      </c>
      <c r="D37" s="272">
        <v>6.3947368421052602</v>
      </c>
      <c r="E37" s="272">
        <v>5.8421052631578902</v>
      </c>
      <c r="F37" s="272">
        <v>6.3889943074003801</v>
      </c>
      <c r="G37" s="272">
        <v>6.0037950664136597</v>
      </c>
      <c r="H37" s="272">
        <v>6.8157894736842097</v>
      </c>
      <c r="I37" s="272">
        <v>3.5996204933586302</v>
      </c>
      <c r="J37" s="272">
        <v>3.2409867172675502</v>
      </c>
      <c r="K37" s="272"/>
      <c r="L37" s="282">
        <f t="shared" si="2"/>
        <v>2481628.9228368113</v>
      </c>
      <c r="M37" s="282">
        <f t="shared" si="10"/>
        <v>695192.79617755406</v>
      </c>
      <c r="N37" s="282">
        <f t="shared" si="10"/>
        <v>2449031.1404810669</v>
      </c>
      <c r="O37" s="282">
        <f t="shared" si="10"/>
        <v>1008776.7551778578</v>
      </c>
      <c r="P37" s="282">
        <f t="shared" si="10"/>
        <v>6543189.1297129681</v>
      </c>
      <c r="Q37" s="282">
        <f t="shared" si="10"/>
        <v>3977.5943801605754</v>
      </c>
      <c r="R37" s="282">
        <f t="shared" si="10"/>
        <v>1741.7536017019124</v>
      </c>
      <c r="T37">
        <v>23.588494586196902</v>
      </c>
    </row>
    <row r="38" spans="1:20">
      <c r="A38" s="272" t="s">
        <v>466</v>
      </c>
      <c r="B38" s="272">
        <v>103.972602739726</v>
      </c>
      <c r="C38" s="272">
        <f t="shared" si="8"/>
        <v>41.896733403582004</v>
      </c>
      <c r="D38" s="272">
        <v>6.5789473684210504</v>
      </c>
      <c r="E38" s="272"/>
      <c r="F38" s="272"/>
      <c r="G38" s="272"/>
      <c r="H38" s="272"/>
      <c r="I38" s="272"/>
      <c r="J38" s="272"/>
      <c r="K38" s="272"/>
      <c r="L38" s="282">
        <f t="shared" si="2"/>
        <v>3792690.1907322365</v>
      </c>
      <c r="M38" s="282"/>
      <c r="N38" s="282"/>
      <c r="O38" s="282"/>
      <c r="P38" s="282"/>
      <c r="Q38" s="282"/>
      <c r="R38" s="282"/>
      <c r="T38">
        <v>21.740411316126998</v>
      </c>
    </row>
    <row r="39" spans="1:20">
      <c r="A39" s="272" t="s">
        <v>466</v>
      </c>
      <c r="B39" s="272">
        <v>93.940990516332903</v>
      </c>
      <c r="C39" s="272">
        <f t="shared" si="8"/>
        <v>51.928345626975101</v>
      </c>
      <c r="D39" s="272">
        <v>6.6184210526315699</v>
      </c>
      <c r="E39" s="272"/>
      <c r="F39" s="272">
        <v>5.5521821631878501</v>
      </c>
      <c r="G39" s="272">
        <v>2.8956356736242799</v>
      </c>
      <c r="H39" s="272">
        <v>4.7499999999999902</v>
      </c>
      <c r="I39" s="272">
        <v>3.1347248576850002</v>
      </c>
      <c r="J39" s="272">
        <v>2.1518026565464901</v>
      </c>
      <c r="K39" s="272"/>
      <c r="L39" s="282">
        <f t="shared" si="2"/>
        <v>4153565.3960687481</v>
      </c>
      <c r="M39" s="282"/>
      <c r="N39" s="282">
        <f>10^F39</f>
        <v>356600.67687472812</v>
      </c>
      <c r="O39" s="282">
        <f>10^G39</f>
        <v>786.38581975996863</v>
      </c>
      <c r="P39" s="282">
        <f>10^H39</f>
        <v>56234.132519033657</v>
      </c>
      <c r="Q39" s="282">
        <f>10^I39</f>
        <v>1363.7188943029078</v>
      </c>
      <c r="R39" s="282">
        <f>10^J39</f>
        <v>141.84128482984065</v>
      </c>
      <c r="T39">
        <v>20.873095301862001</v>
      </c>
    </row>
    <row r="40" spans="1:20">
      <c r="A40" s="272" t="s">
        <v>466</v>
      </c>
      <c r="B40" s="272">
        <v>85.384615384615401</v>
      </c>
      <c r="C40" s="272">
        <f t="shared" si="8"/>
        <v>60.484720758692603</v>
      </c>
      <c r="D40" s="272">
        <v>6.5394736842105203</v>
      </c>
      <c r="E40" s="272"/>
      <c r="F40" s="272"/>
      <c r="G40" s="272"/>
      <c r="H40" s="272"/>
      <c r="I40" s="272"/>
      <c r="J40" s="272"/>
      <c r="K40" s="272"/>
      <c r="L40" s="282">
        <f t="shared" si="2"/>
        <v>3463168.9912697081</v>
      </c>
      <c r="M40" s="282"/>
      <c r="N40" s="282"/>
      <c r="O40" s="282"/>
      <c r="P40" s="282"/>
      <c r="Q40" s="282"/>
      <c r="R40" s="282"/>
      <c r="T40">
        <v>20.0056584662535</v>
      </c>
    </row>
    <row r="41" spans="1:20">
      <c r="A41" s="272" t="s">
        <v>466</v>
      </c>
      <c r="B41" s="272">
        <v>75.353003161222304</v>
      </c>
      <c r="C41" s="272">
        <f t="shared" si="8"/>
        <v>70.5163329820857</v>
      </c>
      <c r="D41" s="272">
        <v>6.2631578947368398</v>
      </c>
      <c r="E41" s="272">
        <v>5.2894736842105203</v>
      </c>
      <c r="F41" s="272">
        <v>3.69259962049335</v>
      </c>
      <c r="G41" s="272">
        <v>0</v>
      </c>
      <c r="H41" s="272">
        <v>3.5394736842105199</v>
      </c>
      <c r="I41" s="272">
        <v>2.4705882352941102</v>
      </c>
      <c r="J41" s="272">
        <v>1.8462998102466699</v>
      </c>
      <c r="K41" s="272"/>
      <c r="L41" s="282">
        <f t="shared" ref="L41:L72" si="11">10^D41</f>
        <v>1832980.7108324296</v>
      </c>
      <c r="M41" s="282">
        <f t="shared" ref="M41:R41" si="12">10^E41</f>
        <v>194748.3039908731</v>
      </c>
      <c r="N41" s="282">
        <f t="shared" si="12"/>
        <v>4927.1935265041539</v>
      </c>
      <c r="O41" s="282">
        <f t="shared" si="12"/>
        <v>1</v>
      </c>
      <c r="P41" s="282">
        <f t="shared" si="12"/>
        <v>3463.1689912697025</v>
      </c>
      <c r="Q41" s="282">
        <f t="shared" si="12"/>
        <v>295.52092352028393</v>
      </c>
      <c r="R41" s="282">
        <f t="shared" si="12"/>
        <v>70.193970727577735</v>
      </c>
      <c r="T41">
        <v>19.196034643506501</v>
      </c>
    </row>
    <row r="42" spans="1:20">
      <c r="A42" s="272" t="s">
        <v>466</v>
      </c>
      <c r="B42" s="272">
        <v>65.911485774499496</v>
      </c>
      <c r="C42" s="272">
        <f t="shared" si="8"/>
        <v>79.957850368808508</v>
      </c>
      <c r="D42" s="272">
        <v>6.3421052631578902</v>
      </c>
      <c r="E42" s="272"/>
      <c r="F42" s="272"/>
      <c r="G42" s="272"/>
      <c r="H42" s="272"/>
      <c r="I42" s="272"/>
      <c r="J42" s="272"/>
      <c r="K42" s="272"/>
      <c r="L42" s="282">
        <f t="shared" si="11"/>
        <v>2198392.6488622702</v>
      </c>
      <c r="M42" s="282"/>
      <c r="N42" s="282"/>
      <c r="O42" s="282"/>
      <c r="P42" s="282"/>
      <c r="Q42" s="282"/>
      <c r="R42" s="282"/>
      <c r="T42">
        <v>16.655645075221301</v>
      </c>
    </row>
    <row r="43" spans="1:20">
      <c r="A43" s="272" t="s">
        <v>466</v>
      </c>
      <c r="B43" s="272">
        <v>56.174920969441501</v>
      </c>
      <c r="C43" s="272">
        <f t="shared" si="8"/>
        <v>89.694415173866503</v>
      </c>
      <c r="D43" s="272">
        <v>6.6315789473684204</v>
      </c>
      <c r="E43" s="272"/>
      <c r="F43" s="272">
        <v>3.70588235294117</v>
      </c>
      <c r="G43" s="272">
        <v>-2.6565464895635899E-2</v>
      </c>
      <c r="H43" s="272">
        <v>3.8947368421052602</v>
      </c>
      <c r="I43" s="272">
        <v>2.2314990512333899</v>
      </c>
      <c r="J43" s="272">
        <v>1.7931688804554</v>
      </c>
      <c r="K43" s="272"/>
      <c r="L43" s="282">
        <f t="shared" si="11"/>
        <v>4281332.3987193918</v>
      </c>
      <c r="M43" s="282"/>
      <c r="N43" s="282">
        <f>10^F43</f>
        <v>5080.2180469129471</v>
      </c>
      <c r="O43" s="282">
        <f>10^G43</f>
        <v>0.94066402507174862</v>
      </c>
      <c r="P43" s="282">
        <f>10^H43</f>
        <v>7847.5997035145592</v>
      </c>
      <c r="Q43" s="282">
        <f>10^I43</f>
        <v>170.41155964735245</v>
      </c>
      <c r="R43" s="282">
        <f>10^J43</f>
        <v>62.111051331589607</v>
      </c>
      <c r="T43">
        <v>14.1728872877823</v>
      </c>
    </row>
    <row r="44" spans="1:20">
      <c r="A44" s="272" t="s">
        <v>466</v>
      </c>
      <c r="B44" s="272">
        <v>46.733403582718601</v>
      </c>
      <c r="C44" s="272">
        <f t="shared" si="8"/>
        <v>99.135932560589396</v>
      </c>
      <c r="D44" s="272">
        <v>6.5526315789473601</v>
      </c>
      <c r="E44" s="272"/>
      <c r="F44" s="272"/>
      <c r="G44" s="272"/>
      <c r="H44" s="272"/>
      <c r="I44" s="272"/>
      <c r="J44" s="272"/>
      <c r="K44" s="272"/>
      <c r="L44" s="282">
        <f t="shared" si="11"/>
        <v>3569698.8468259997</v>
      </c>
      <c r="M44" s="282"/>
      <c r="N44" s="282"/>
      <c r="O44" s="282"/>
      <c r="P44" s="282"/>
      <c r="Q44" s="282"/>
      <c r="R44" s="282"/>
      <c r="T44">
        <v>12.7864019605276</v>
      </c>
    </row>
    <row r="45" spans="1:20">
      <c r="A45" s="272" t="s">
        <v>466</v>
      </c>
      <c r="B45" s="272">
        <v>37.586933614330803</v>
      </c>
      <c r="C45" s="272">
        <f t="shared" si="8"/>
        <v>108.2824025289772</v>
      </c>
      <c r="D45" s="272">
        <v>6.5263157894736796</v>
      </c>
      <c r="E45" s="272"/>
      <c r="F45" s="272"/>
      <c r="G45" s="272"/>
      <c r="H45" s="272"/>
      <c r="I45" s="272"/>
      <c r="J45" s="272"/>
      <c r="K45" s="272"/>
      <c r="L45" s="282">
        <f t="shared" si="11"/>
        <v>3359818.2862837487</v>
      </c>
      <c r="M45" s="282"/>
      <c r="N45" s="282"/>
      <c r="O45" s="282"/>
      <c r="P45" s="282"/>
      <c r="Q45" s="282"/>
      <c r="R45" s="282"/>
      <c r="T45">
        <v>11.919025535590899</v>
      </c>
    </row>
    <row r="46" spans="1:20">
      <c r="A46" s="272" t="s">
        <v>466</v>
      </c>
      <c r="B46" s="272">
        <v>28.145416227607999</v>
      </c>
      <c r="C46" s="272">
        <f t="shared" si="8"/>
        <v>117.72391991570001</v>
      </c>
      <c r="D46" s="272">
        <v>6.7105263157894699</v>
      </c>
      <c r="E46" s="272">
        <v>5.5789473684210504</v>
      </c>
      <c r="F46" s="272">
        <v>5.6451612903225801</v>
      </c>
      <c r="G46" s="272">
        <v>5.3396584440227599</v>
      </c>
      <c r="H46" s="272">
        <v>6.0263157894736796</v>
      </c>
      <c r="I46" s="272">
        <v>3.02846299810246</v>
      </c>
      <c r="J46" s="272">
        <v>1.4611005692599599</v>
      </c>
      <c r="K46" s="272"/>
      <c r="L46" s="282">
        <f t="shared" si="11"/>
        <v>5134832.9074375127</v>
      </c>
      <c r="M46" s="282">
        <f t="shared" ref="M46:R47" si="13">10^E46</f>
        <v>379269.01907322323</v>
      </c>
      <c r="N46" s="282">
        <f t="shared" si="13"/>
        <v>441734.47031400725</v>
      </c>
      <c r="O46" s="282">
        <f t="shared" si="13"/>
        <v>218604.17096320743</v>
      </c>
      <c r="P46" s="282">
        <f t="shared" si="13"/>
        <v>1062467.830894032</v>
      </c>
      <c r="Q46" s="282">
        <f t="shared" si="13"/>
        <v>1067.7338177234706</v>
      </c>
      <c r="R46" s="282">
        <f t="shared" si="13"/>
        <v>28.913493525324395</v>
      </c>
      <c r="T46">
        <v>11.4555548619515</v>
      </c>
    </row>
    <row r="47" spans="1:20">
      <c r="A47" s="272" t="s">
        <v>466</v>
      </c>
      <c r="B47" s="272">
        <v>17.8187565858798</v>
      </c>
      <c r="C47" s="272">
        <f t="shared" si="8"/>
        <v>128.05057955742819</v>
      </c>
      <c r="D47" s="272">
        <v>6.8421052631578902</v>
      </c>
      <c r="E47" s="272">
        <v>5.9210526315789398</v>
      </c>
      <c r="F47" s="272">
        <v>4.90132827324478</v>
      </c>
      <c r="G47" s="272">
        <v>2.0322580645161201</v>
      </c>
      <c r="H47" s="272">
        <v>4.8289473684210504</v>
      </c>
      <c r="I47" s="272">
        <v>2.7628083491461002</v>
      </c>
      <c r="J47" s="272">
        <v>2.2580645161290298</v>
      </c>
      <c r="K47" s="272"/>
      <c r="L47" s="282">
        <f t="shared" si="11"/>
        <v>6951927.9617755488</v>
      </c>
      <c r="M47" s="282">
        <f t="shared" si="13"/>
        <v>833782.22347177542</v>
      </c>
      <c r="N47" s="282">
        <f t="shared" si="13"/>
        <v>79676.137652241945</v>
      </c>
      <c r="O47" s="282">
        <f t="shared" si="13"/>
        <v>107.71050560367473</v>
      </c>
      <c r="P47" s="282">
        <f t="shared" si="13"/>
        <v>67444.628748357238</v>
      </c>
      <c r="Q47" s="282">
        <f t="shared" si="13"/>
        <v>579.17305535762034</v>
      </c>
      <c r="R47" s="282">
        <f t="shared" si="13"/>
        <v>181.16091942004053</v>
      </c>
      <c r="T47">
        <v>8.6279125495115707</v>
      </c>
    </row>
    <row r="48" spans="1:20">
      <c r="A48" s="272" t="s">
        <v>466</v>
      </c>
      <c r="B48" s="272">
        <v>16.638566912539499</v>
      </c>
      <c r="C48" s="272">
        <f t="shared" si="8"/>
        <v>129.23076923076852</v>
      </c>
      <c r="D48" s="272">
        <v>6.5394736842105203</v>
      </c>
      <c r="E48" s="272"/>
      <c r="F48" s="272"/>
      <c r="G48" s="272"/>
      <c r="H48" s="272"/>
      <c r="I48" s="272"/>
      <c r="J48" s="272"/>
      <c r="K48" s="272"/>
      <c r="L48" s="282">
        <f t="shared" si="11"/>
        <v>3463168.9912697081</v>
      </c>
      <c r="M48" s="282"/>
      <c r="N48" s="282"/>
      <c r="O48" s="282"/>
      <c r="P48" s="282"/>
      <c r="Q48" s="282"/>
      <c r="R48" s="282"/>
      <c r="T48">
        <v>8.1074142017434507</v>
      </c>
    </row>
    <row r="49" spans="1:20">
      <c r="A49" s="272" t="s">
        <v>466</v>
      </c>
      <c r="B49" s="272">
        <v>10.7376185458377</v>
      </c>
      <c r="C49" s="272">
        <f t="shared" si="8"/>
        <v>135.1317175974703</v>
      </c>
      <c r="D49" s="272">
        <v>6.7894736842105203</v>
      </c>
      <c r="E49" s="272"/>
      <c r="F49" s="272"/>
      <c r="G49" s="272"/>
      <c r="H49" s="272"/>
      <c r="I49" s="272"/>
      <c r="J49" s="272"/>
      <c r="K49" s="272"/>
      <c r="L49" s="282">
        <f t="shared" si="11"/>
        <v>6158482.1106601842</v>
      </c>
      <c r="M49" s="282"/>
      <c r="N49" s="282"/>
      <c r="O49" s="282"/>
      <c r="P49" s="282"/>
      <c r="Q49" s="282"/>
      <c r="R49" s="282"/>
      <c r="T49">
        <v>5.3363162780582396</v>
      </c>
    </row>
    <row r="50" spans="1:20">
      <c r="A50" s="272" t="s">
        <v>466</v>
      </c>
      <c r="B50" s="272">
        <v>10.4425711275026</v>
      </c>
      <c r="C50" s="272">
        <f t="shared" si="8"/>
        <v>135.42676501580542</v>
      </c>
      <c r="D50" s="272">
        <v>6.6973684210526301</v>
      </c>
      <c r="E50" s="272"/>
      <c r="F50" s="272"/>
      <c r="G50" s="272"/>
      <c r="H50" s="272"/>
      <c r="I50" s="272"/>
      <c r="J50" s="272"/>
      <c r="K50" s="272"/>
      <c r="L50" s="282">
        <f t="shared" si="11"/>
        <v>4981595.0486132624</v>
      </c>
      <c r="M50" s="282"/>
      <c r="N50" s="282"/>
      <c r="O50" s="282"/>
      <c r="P50" s="282"/>
      <c r="Q50" s="282"/>
      <c r="R50" s="282"/>
      <c r="T50">
        <v>8.6247107839090091</v>
      </c>
    </row>
    <row r="51" spans="1:20">
      <c r="A51" s="272" t="s">
        <v>466</v>
      </c>
      <c r="B51" s="272">
        <v>7.1970495258166798</v>
      </c>
      <c r="C51" s="272">
        <f t="shared" si="8"/>
        <v>138.67228661749132</v>
      </c>
      <c r="D51" s="272">
        <v>6.7894736842105203</v>
      </c>
      <c r="E51" s="272"/>
      <c r="F51" s="272"/>
      <c r="G51" s="272"/>
      <c r="H51" s="272"/>
      <c r="I51" s="272"/>
      <c r="J51" s="272"/>
      <c r="K51" s="272"/>
      <c r="L51" s="282">
        <f t="shared" si="11"/>
        <v>6158482.1106601842</v>
      </c>
      <c r="M51" s="282"/>
      <c r="N51" s="282"/>
      <c r="O51" s="282"/>
      <c r="P51" s="282"/>
      <c r="Q51" s="282"/>
      <c r="R51" s="282"/>
      <c r="T51" s="289">
        <v>8.6247107839090091</v>
      </c>
    </row>
    <row r="52" spans="1:20">
      <c r="A52" s="272" t="s">
        <v>466</v>
      </c>
      <c r="B52" s="272">
        <v>-1.9494204425710899</v>
      </c>
      <c r="C52" s="272">
        <f t="shared" si="8"/>
        <v>147.8187565858791</v>
      </c>
      <c r="D52" s="272">
        <v>6.5526315789473601</v>
      </c>
      <c r="E52" s="272"/>
      <c r="F52" s="272">
        <v>5.3529411764705799</v>
      </c>
      <c r="G52" s="272">
        <v>0</v>
      </c>
      <c r="H52" s="272">
        <v>4.9868421052631504</v>
      </c>
      <c r="I52" s="272">
        <v>2.6963946869070199</v>
      </c>
      <c r="J52" s="272">
        <v>1.8330170777988599</v>
      </c>
      <c r="K52" s="272"/>
      <c r="L52" s="282">
        <f t="shared" si="11"/>
        <v>3569698.8468259997</v>
      </c>
      <c r="M52" s="282"/>
      <c r="N52" s="282">
        <f>10^F52</f>
        <v>225393.3904734751</v>
      </c>
      <c r="O52" s="282">
        <f>10^G52</f>
        <v>1</v>
      </c>
      <c r="P52" s="282">
        <f>10^H52</f>
        <v>97015.718688676163</v>
      </c>
      <c r="Q52" s="282">
        <f>10^I52</f>
        <v>497.0438297800319</v>
      </c>
      <c r="R52" s="282">
        <f>10^J52</f>
        <v>68.079612917149646</v>
      </c>
      <c r="T52">
        <v>3.8342653357524399</v>
      </c>
    </row>
    <row r="53" spans="1:20">
      <c r="A53" s="272" t="s">
        <v>466</v>
      </c>
      <c r="B53" s="272">
        <v>-6.08008429926236</v>
      </c>
      <c r="C53" s="272">
        <f t="shared" si="8"/>
        <v>151.94942044257036</v>
      </c>
      <c r="D53" s="272">
        <v>6.7105263157894699</v>
      </c>
      <c r="E53" s="272"/>
      <c r="F53" s="272"/>
      <c r="G53" s="272"/>
      <c r="H53" s="272"/>
      <c r="I53" s="272"/>
      <c r="J53" s="272"/>
      <c r="K53" s="272"/>
      <c r="L53" s="282">
        <f t="shared" si="11"/>
        <v>5134832.9074375127</v>
      </c>
      <c r="M53" s="282"/>
      <c r="N53" s="282"/>
      <c r="O53" s="282"/>
      <c r="P53" s="282"/>
      <c r="Q53" s="282"/>
      <c r="R53" s="282"/>
      <c r="T53">
        <v>6.0831734128606199</v>
      </c>
    </row>
    <row r="54" spans="1:20">
      <c r="A54" s="272" t="s">
        <v>466</v>
      </c>
      <c r="B54" s="272">
        <v>-12.276080084299201</v>
      </c>
      <c r="C54" s="272">
        <f t="shared" si="8"/>
        <v>158.1454162276072</v>
      </c>
      <c r="D54" s="272">
        <v>6.6842105263157796</v>
      </c>
      <c r="E54" s="272">
        <v>5.7763157894736796</v>
      </c>
      <c r="F54" s="272">
        <v>4.4364326375711496</v>
      </c>
      <c r="G54" s="272">
        <v>0</v>
      </c>
      <c r="H54" s="272">
        <v>4.2499999999999902</v>
      </c>
      <c r="I54" s="272">
        <v>2.6299810246679298</v>
      </c>
      <c r="J54" s="272">
        <v>1.77988614800759</v>
      </c>
      <c r="K54" s="272"/>
      <c r="L54" s="282">
        <f t="shared" si="11"/>
        <v>4832930.2385716531</v>
      </c>
      <c r="M54" s="282">
        <f t="shared" ref="M54:R55" si="14">10^E54</f>
        <v>597469.56799706491</v>
      </c>
      <c r="N54" s="282">
        <f t="shared" si="14"/>
        <v>27316.977036018197</v>
      </c>
      <c r="O54" s="282">
        <f t="shared" si="14"/>
        <v>1</v>
      </c>
      <c r="P54" s="282">
        <f t="shared" si="14"/>
        <v>17782.794100388852</v>
      </c>
      <c r="Q54" s="282">
        <f t="shared" si="14"/>
        <v>426.56088096130259</v>
      </c>
      <c r="R54" s="282">
        <f t="shared" si="14"/>
        <v>60.240164343211049</v>
      </c>
      <c r="T54">
        <v>2.9088342552672999</v>
      </c>
    </row>
    <row r="55" spans="1:20">
      <c r="A55" s="272" t="s">
        <v>466</v>
      </c>
      <c r="B55" s="272">
        <v>-22.012644889357201</v>
      </c>
      <c r="C55" s="272">
        <f t="shared" si="8"/>
        <v>167.88198103266521</v>
      </c>
      <c r="D55" s="272">
        <v>6.4868421052631504</v>
      </c>
      <c r="E55" s="272">
        <v>4.9342105263157796</v>
      </c>
      <c r="F55" s="272">
        <v>5.48576850094876</v>
      </c>
      <c r="G55" s="272">
        <v>-2.6565464895635601E-2</v>
      </c>
      <c r="H55" s="272">
        <v>5.1973684210526301</v>
      </c>
      <c r="I55" s="272">
        <v>2.7893738140417401</v>
      </c>
      <c r="J55" s="272">
        <v>1.23529411764705</v>
      </c>
      <c r="K55" s="272"/>
      <c r="L55" s="282">
        <f t="shared" si="11"/>
        <v>3067906.3989438107</v>
      </c>
      <c r="M55" s="282">
        <f t="shared" si="14"/>
        <v>85943.003334064604</v>
      </c>
      <c r="N55" s="282">
        <f t="shared" si="14"/>
        <v>306033.17004538287</v>
      </c>
      <c r="O55" s="282">
        <f t="shared" si="14"/>
        <v>0.94066402507174918</v>
      </c>
      <c r="P55" s="282">
        <f t="shared" si="14"/>
        <v>157531.86734235132</v>
      </c>
      <c r="Q55" s="282">
        <f t="shared" si="14"/>
        <v>615.706607163434</v>
      </c>
      <c r="R55" s="282">
        <f t="shared" si="14"/>
        <v>17.190722018585397</v>
      </c>
      <c r="T55">
        <v>1.69530468122295</v>
      </c>
    </row>
    <row r="56" spans="1:20">
      <c r="A56" s="272" t="s">
        <v>466</v>
      </c>
      <c r="B56" s="272">
        <v>-29.978925184404599</v>
      </c>
      <c r="C56" s="272">
        <f t="shared" si="8"/>
        <v>175.84826132771261</v>
      </c>
      <c r="D56" s="272">
        <v>6.6184210526315699</v>
      </c>
      <c r="E56" s="272"/>
      <c r="F56" s="272"/>
      <c r="G56" s="272"/>
      <c r="H56" s="272"/>
      <c r="I56" s="272"/>
      <c r="J56" s="272"/>
      <c r="K56" s="272"/>
      <c r="L56" s="282">
        <f t="shared" si="11"/>
        <v>4153565.3960687481</v>
      </c>
      <c r="M56" s="282"/>
      <c r="N56" s="282"/>
      <c r="O56" s="282"/>
      <c r="P56" s="282"/>
      <c r="Q56" s="282"/>
      <c r="R56" s="282"/>
      <c r="T56">
        <v>1.92450276982929</v>
      </c>
    </row>
    <row r="57" spans="1:20">
      <c r="A57" s="272" t="s">
        <v>466</v>
      </c>
      <c r="B57" s="272">
        <v>-40.010537407797599</v>
      </c>
      <c r="C57" s="272">
        <f t="shared" si="8"/>
        <v>185.87987355110562</v>
      </c>
      <c r="D57" s="272">
        <v>6.4868421052631504</v>
      </c>
      <c r="E57" s="272">
        <v>5.6973684210526301</v>
      </c>
      <c r="F57" s="272">
        <v>5.5521821631878501</v>
      </c>
      <c r="G57" s="272">
        <v>-1.32827324478185E-2</v>
      </c>
      <c r="H57" s="272">
        <v>5.5526315789473601</v>
      </c>
      <c r="I57" s="272">
        <v>2.8557874762808302</v>
      </c>
      <c r="J57" s="272">
        <v>1.80645161290322</v>
      </c>
      <c r="K57" s="272"/>
      <c r="L57" s="282">
        <f t="shared" si="11"/>
        <v>3067906.3989438107</v>
      </c>
      <c r="M57" s="282">
        <f t="shared" ref="M57:R57" si="15">10^E57</f>
        <v>498159.50486132567</v>
      </c>
      <c r="N57" s="282">
        <f t="shared" si="15"/>
        <v>356600.67687472812</v>
      </c>
      <c r="O57" s="282">
        <f t="shared" si="15"/>
        <v>0.96987835581156578</v>
      </c>
      <c r="P57" s="282">
        <f t="shared" si="15"/>
        <v>356969.88468260021</v>
      </c>
      <c r="Q57" s="282">
        <f t="shared" si="15"/>
        <v>717.44312173142305</v>
      </c>
      <c r="R57" s="282">
        <f t="shared" si="15"/>
        <v>64.040042711971992</v>
      </c>
      <c r="T57">
        <v>0.88362689563653596</v>
      </c>
    </row>
    <row r="58" spans="1:20">
      <c r="A58" s="272" t="s">
        <v>466</v>
      </c>
      <c r="B58" s="272">
        <v>-50.927291886195903</v>
      </c>
      <c r="C58" s="272">
        <f t="shared" si="8"/>
        <v>196.79662802950389</v>
      </c>
      <c r="D58" s="272">
        <v>6.5657894736842097</v>
      </c>
      <c r="E58" s="272"/>
      <c r="F58" s="272"/>
      <c r="G58" s="272"/>
      <c r="H58" s="272"/>
      <c r="I58" s="272"/>
      <c r="J58" s="272"/>
      <c r="K58" s="272"/>
      <c r="L58" s="282">
        <f t="shared" si="11"/>
        <v>3679505.646173873</v>
      </c>
      <c r="M58" s="282"/>
      <c r="N58" s="282"/>
      <c r="O58" s="282"/>
      <c r="P58" s="282"/>
      <c r="Q58" s="282"/>
      <c r="R58" s="282"/>
      <c r="T58">
        <v>0.59323279655095396</v>
      </c>
    </row>
    <row r="59" spans="1:20">
      <c r="A59" s="272" t="s">
        <v>466</v>
      </c>
      <c r="B59" s="272">
        <v>-61.548998946259204</v>
      </c>
      <c r="C59" s="272">
        <f t="shared" si="8"/>
        <v>207.41833508956722</v>
      </c>
      <c r="D59" s="272">
        <v>6.6052631578947301</v>
      </c>
      <c r="E59" s="272">
        <v>6</v>
      </c>
      <c r="F59" s="272">
        <v>4.1707779886148</v>
      </c>
      <c r="G59" s="272">
        <v>-1.3282732447818101E-2</v>
      </c>
      <c r="H59" s="272">
        <v>2.8421052631578898</v>
      </c>
      <c r="I59" s="272">
        <v>2.6831119544591999</v>
      </c>
      <c r="J59" s="272">
        <v>1.87286527514231</v>
      </c>
      <c r="K59" s="272"/>
      <c r="L59" s="282">
        <f t="shared" si="11"/>
        <v>4029611.3202003464</v>
      </c>
      <c r="M59" s="282">
        <f t="shared" ref="M59:R59" si="16">10^E59</f>
        <v>1000000</v>
      </c>
      <c r="N59" s="282">
        <f t="shared" si="16"/>
        <v>14817.604154205483</v>
      </c>
      <c r="O59" s="282">
        <f t="shared" si="16"/>
        <v>0.96987835581156667</v>
      </c>
      <c r="P59" s="282">
        <f t="shared" si="16"/>
        <v>695.19279617755308</v>
      </c>
      <c r="Q59" s="282">
        <f t="shared" si="16"/>
        <v>482.07205239333922</v>
      </c>
      <c r="R59" s="282">
        <f t="shared" si="16"/>
        <v>74.621723438636295</v>
      </c>
      <c r="T59">
        <v>0.36028924629632197</v>
      </c>
    </row>
    <row r="60" spans="1:20">
      <c r="A60" s="272" t="s">
        <v>466</v>
      </c>
      <c r="B60" s="272">
        <v>-74.236037934668005</v>
      </c>
      <c r="C60" s="272">
        <f t="shared" si="8"/>
        <v>220.10537407797602</v>
      </c>
      <c r="D60" s="272">
        <v>6.4605263157894699</v>
      </c>
      <c r="E60" s="272"/>
      <c r="F60" s="272"/>
      <c r="G60" s="272"/>
      <c r="H60" s="272"/>
      <c r="I60" s="272"/>
      <c r="J60" s="272"/>
      <c r="K60" s="272"/>
      <c r="L60" s="282">
        <f t="shared" si="11"/>
        <v>2887528.7417994258</v>
      </c>
      <c r="M60" s="282"/>
      <c r="N60" s="282"/>
      <c r="O60" s="282"/>
      <c r="P60" s="282"/>
      <c r="Q60" s="282"/>
      <c r="R60" s="282"/>
      <c r="T60" s="289">
        <v>1.22162460405838</v>
      </c>
    </row>
    <row r="61" spans="1:20">
      <c r="A61" s="272" t="s">
        <v>466</v>
      </c>
      <c r="B61" s="272">
        <v>-81.317175974710196</v>
      </c>
      <c r="C61" s="272">
        <f t="shared" si="8"/>
        <v>227.18651211801819</v>
      </c>
      <c r="D61" s="272">
        <v>6.4473684210526301</v>
      </c>
      <c r="E61" s="272">
        <v>5.1973684210526301</v>
      </c>
      <c r="F61" s="272">
        <v>5.56546489563567</v>
      </c>
      <c r="G61" s="272">
        <v>-1.3282732447818101E-2</v>
      </c>
      <c r="H61" s="272">
        <v>5.8421052631578902</v>
      </c>
      <c r="I61" s="272">
        <v>2.64326375711574</v>
      </c>
      <c r="J61" s="272">
        <v>1.70018975332068</v>
      </c>
      <c r="K61" s="272"/>
      <c r="L61" s="282">
        <f t="shared" si="11"/>
        <v>2801356.7611988601</v>
      </c>
      <c r="M61" s="282">
        <f t="shared" ref="M61:R61" si="17">10^E61</f>
        <v>157531.86734235132</v>
      </c>
      <c r="N61" s="282">
        <f t="shared" si="17"/>
        <v>367675.67266344087</v>
      </c>
      <c r="O61" s="282">
        <f t="shared" si="17"/>
        <v>0.96987835581156667</v>
      </c>
      <c r="P61" s="282">
        <f t="shared" si="17"/>
        <v>695192.79617755406</v>
      </c>
      <c r="Q61" s="282">
        <f t="shared" si="17"/>
        <v>439.80864033650977</v>
      </c>
      <c r="R61" s="282">
        <f t="shared" si="17"/>
        <v>50.140626178667574</v>
      </c>
      <c r="T61" s="289">
        <v>1.22162460405838</v>
      </c>
    </row>
    <row r="62" spans="1:20">
      <c r="A62" s="272" t="s">
        <v>466</v>
      </c>
      <c r="B62" s="272">
        <v>-86.923076923076906</v>
      </c>
      <c r="C62" s="272">
        <f t="shared" si="8"/>
        <v>232.79241306638491</v>
      </c>
      <c r="D62" s="272">
        <v>6.5</v>
      </c>
      <c r="E62" s="272"/>
      <c r="F62" s="272"/>
      <c r="G62" s="272"/>
      <c r="H62" s="272"/>
      <c r="I62" s="272"/>
      <c r="J62" s="272"/>
      <c r="K62" s="272"/>
      <c r="L62" s="282">
        <f t="shared" si="11"/>
        <v>3162277.6601683851</v>
      </c>
      <c r="M62" s="282"/>
      <c r="N62" s="282"/>
      <c r="O62" s="282"/>
      <c r="P62" s="282"/>
      <c r="Q62" s="282"/>
      <c r="R62" s="282"/>
      <c r="T62">
        <v>1.22162460405838</v>
      </c>
    </row>
    <row r="63" spans="1:20">
      <c r="A63" s="272" t="s">
        <v>466</v>
      </c>
      <c r="B63" s="272">
        <v>-100.495258166491</v>
      </c>
      <c r="C63" s="272">
        <f t="shared" si="8"/>
        <v>246.364594309799</v>
      </c>
      <c r="D63" s="272">
        <v>6.1973684210526301</v>
      </c>
      <c r="E63" s="272"/>
      <c r="F63" s="272"/>
      <c r="G63" s="272"/>
      <c r="H63" s="272"/>
      <c r="I63" s="272"/>
      <c r="J63" s="272"/>
      <c r="K63" s="272"/>
      <c r="L63" s="282">
        <f t="shared" si="11"/>
        <v>1575318.6734235121</v>
      </c>
      <c r="M63" s="282"/>
      <c r="N63" s="282"/>
      <c r="O63" s="282"/>
      <c r="P63" s="282"/>
      <c r="Q63" s="282"/>
      <c r="R63" s="282"/>
      <c r="T63">
        <v>1.7368672233845599</v>
      </c>
    </row>
    <row r="64" spans="1:20">
      <c r="A64" s="272" t="s">
        <v>466</v>
      </c>
      <c r="B64" s="272">
        <v>-108.166491043203</v>
      </c>
      <c r="C64" s="272">
        <f t="shared" si="8"/>
        <v>254.035827186511</v>
      </c>
      <c r="D64" s="272">
        <v>6.2894736842105203</v>
      </c>
      <c r="E64" s="272">
        <v>5.9473684210526301</v>
      </c>
      <c r="F64" s="272">
        <v>5.5920303605313002</v>
      </c>
      <c r="G64" s="272">
        <v>-2.6565464895635701E-2</v>
      </c>
      <c r="H64" s="272">
        <v>5.5789473684210504</v>
      </c>
      <c r="I64" s="272">
        <v>2.7760910815939202</v>
      </c>
      <c r="J64" s="272">
        <v>1.2087286527514201</v>
      </c>
      <c r="K64" s="272"/>
      <c r="L64" s="282">
        <f t="shared" si="11"/>
        <v>1947483.0399087332</v>
      </c>
      <c r="M64" s="282">
        <f t="shared" ref="M64:R68" si="18">10^E64</f>
        <v>885866.79041008116</v>
      </c>
      <c r="N64" s="282">
        <f t="shared" si="18"/>
        <v>390868.21953820536</v>
      </c>
      <c r="O64" s="282">
        <f t="shared" si="18"/>
        <v>0.94066402507174895</v>
      </c>
      <c r="P64" s="282">
        <f t="shared" si="18"/>
        <v>379269.01907322323</v>
      </c>
      <c r="Q64" s="282">
        <f t="shared" si="18"/>
        <v>597.16051181798673</v>
      </c>
      <c r="R64" s="282">
        <f t="shared" si="18"/>
        <v>16.170693767892299</v>
      </c>
      <c r="T64">
        <v>0.580788198171167</v>
      </c>
    </row>
    <row r="65" spans="1:20">
      <c r="A65" s="272" t="s">
        <v>466</v>
      </c>
      <c r="B65" s="272">
        <v>-119.67334035827101</v>
      </c>
      <c r="C65" s="272">
        <f t="shared" si="8"/>
        <v>265.54267650157902</v>
      </c>
      <c r="D65" s="272">
        <v>6.2763157894736796</v>
      </c>
      <c r="E65" s="272">
        <v>5.5394736842105203</v>
      </c>
      <c r="F65" s="272">
        <v>5.4193548387096699</v>
      </c>
      <c r="G65" s="272">
        <v>2.8425047438330102</v>
      </c>
      <c r="H65" s="272">
        <v>5.4210526315789398</v>
      </c>
      <c r="I65" s="272">
        <v>2.6831119544591999</v>
      </c>
      <c r="J65" s="272">
        <v>1.5407969639468599</v>
      </c>
      <c r="K65" s="272"/>
      <c r="L65" s="282">
        <f t="shared" si="11"/>
        <v>1889364.6675075719</v>
      </c>
      <c r="M65" s="282">
        <f t="shared" si="18"/>
        <v>346316.89912697102</v>
      </c>
      <c r="N65" s="282">
        <f t="shared" si="18"/>
        <v>262636.35276532912</v>
      </c>
      <c r="O65" s="282">
        <f t="shared" si="18"/>
        <v>695.83255529318751</v>
      </c>
      <c r="P65" s="282">
        <f t="shared" si="18"/>
        <v>263665.08987303136</v>
      </c>
      <c r="Q65" s="282">
        <f t="shared" si="18"/>
        <v>482.07205239333922</v>
      </c>
      <c r="R65" s="282">
        <f t="shared" si="18"/>
        <v>34.737372355411544</v>
      </c>
      <c r="T65">
        <v>1.55986395516722</v>
      </c>
    </row>
    <row r="66" spans="1:20">
      <c r="A66" t="s">
        <v>443</v>
      </c>
      <c r="B66" s="272">
        <v>4.35295309337556</v>
      </c>
      <c r="C66" s="272">
        <f t="shared" ref="C66:C90" si="19">B66</f>
        <v>4.35295309337556</v>
      </c>
      <c r="D66" s="272">
        <v>7.4409180648700097</v>
      </c>
      <c r="E66" s="272">
        <v>5.24050632911392</v>
      </c>
      <c r="F66" s="272">
        <v>6.4849926987417597</v>
      </c>
      <c r="G66" s="272">
        <v>6.5585046417843804</v>
      </c>
      <c r="H66" s="272">
        <v>7.1772151898734098</v>
      </c>
      <c r="I66" s="272">
        <v>4.2055222228106901</v>
      </c>
      <c r="J66" s="272">
        <v>4.0437571089539297</v>
      </c>
      <c r="K66" s="272">
        <v>5.8378792808197497</v>
      </c>
      <c r="L66" s="282">
        <f t="shared" si="11"/>
        <v>27600570.875262398</v>
      </c>
      <c r="M66" s="282">
        <f t="shared" si="18"/>
        <v>173982.80529303511</v>
      </c>
      <c r="N66" s="282">
        <f t="shared" si="18"/>
        <v>3054869.7550210431</v>
      </c>
      <c r="O66" s="282">
        <f t="shared" si="18"/>
        <v>3618300.5798887969</v>
      </c>
      <c r="P66" s="282">
        <f t="shared" si="18"/>
        <v>15038869.469553836</v>
      </c>
      <c r="Q66" s="282">
        <f t="shared" si="18"/>
        <v>16051.743926288766</v>
      </c>
      <c r="R66" s="282">
        <f t="shared" si="18"/>
        <v>11060.050474523183</v>
      </c>
      <c r="S66" s="282">
        <f>10^K66</f>
        <v>688460.90089471464</v>
      </c>
      <c r="T66">
        <v>18.600825772750401</v>
      </c>
    </row>
    <row r="67" spans="1:20">
      <c r="A67" s="272" t="s">
        <v>443</v>
      </c>
      <c r="B67" s="272">
        <v>13.1716966311246</v>
      </c>
      <c r="C67" s="272">
        <f t="shared" si="19"/>
        <v>13.1716966311246</v>
      </c>
      <c r="D67" s="272">
        <v>7.0591975628355303</v>
      </c>
      <c r="E67" s="272">
        <v>5.3164556962025298</v>
      </c>
      <c r="F67" s="272">
        <v>6.67671693059643</v>
      </c>
      <c r="G67" s="272">
        <v>6.8</v>
      </c>
      <c r="H67" s="272">
        <v>7.1645569620253102</v>
      </c>
      <c r="I67" s="272">
        <v>4.58842340740516</v>
      </c>
      <c r="J67" s="272">
        <v>4.0590103075103299</v>
      </c>
      <c r="K67" s="272">
        <v>6.6325638639418703</v>
      </c>
      <c r="L67" s="282">
        <f t="shared" si="11"/>
        <v>11460341.598286109</v>
      </c>
      <c r="M67" s="282">
        <f t="shared" si="18"/>
        <v>207231.4645219025</v>
      </c>
      <c r="N67" s="282">
        <f t="shared" si="18"/>
        <v>4750255.0748255271</v>
      </c>
      <c r="O67" s="282">
        <f t="shared" si="18"/>
        <v>6309573.4448019378</v>
      </c>
      <c r="P67" s="282">
        <f t="shared" si="18"/>
        <v>14606863.203649685</v>
      </c>
      <c r="Q67" s="282">
        <f t="shared" si="18"/>
        <v>38763.537873140056</v>
      </c>
      <c r="R67" s="282">
        <f t="shared" si="18"/>
        <v>11455.401292802619</v>
      </c>
      <c r="S67" s="282">
        <f>10^K67</f>
        <v>4291052.8545887666</v>
      </c>
      <c r="T67">
        <v>11.307747633635699</v>
      </c>
    </row>
    <row r="68" spans="1:20">
      <c r="A68" s="272" t="s">
        <v>443</v>
      </c>
      <c r="B68" s="272">
        <v>22.007411640365302</v>
      </c>
      <c r="C68" s="272">
        <f t="shared" si="19"/>
        <v>22.007411640365302</v>
      </c>
      <c r="D68" s="272">
        <v>7.0924295387696796</v>
      </c>
      <c r="E68" s="272">
        <v>5.7721518987341698</v>
      </c>
      <c r="F68" s="272">
        <v>5.4714317780013904</v>
      </c>
      <c r="G68" s="272">
        <v>5.3096490099796396</v>
      </c>
      <c r="H68" s="272">
        <v>6.0379746835442996</v>
      </c>
      <c r="I68" s="272">
        <v>3.2654732451129398</v>
      </c>
      <c r="J68" s="272">
        <v>2.39782399806308</v>
      </c>
      <c r="K68" s="272">
        <v>6.26548081118366</v>
      </c>
      <c r="L68" s="282">
        <f t="shared" si="11"/>
        <v>12371704.51432549</v>
      </c>
      <c r="M68" s="282">
        <f t="shared" si="18"/>
        <v>591768.57481887285</v>
      </c>
      <c r="N68" s="282">
        <f t="shared" si="18"/>
        <v>296095.48014801135</v>
      </c>
      <c r="O68" s="282">
        <f t="shared" si="18"/>
        <v>204008.8510550124</v>
      </c>
      <c r="P68" s="282">
        <f t="shared" si="18"/>
        <v>1091376.7146512649</v>
      </c>
      <c r="Q68" s="282">
        <f t="shared" si="18"/>
        <v>1842.7789603310675</v>
      </c>
      <c r="R68" s="282">
        <f t="shared" si="18"/>
        <v>249.93322784392615</v>
      </c>
      <c r="S68" s="282">
        <f>10^K68</f>
        <v>1842811.0646242779</v>
      </c>
      <c r="T68">
        <v>13.735050665724</v>
      </c>
    </row>
    <row r="69" spans="1:20">
      <c r="A69" s="272" t="s">
        <v>443</v>
      </c>
      <c r="B69" s="272">
        <v>29.8652029409572</v>
      </c>
      <c r="C69" s="272">
        <f t="shared" si="19"/>
        <v>29.8652029409572</v>
      </c>
      <c r="D69" s="272">
        <v>7.2154268382416102</v>
      </c>
      <c r="E69" s="272"/>
      <c r="F69" s="272"/>
      <c r="G69" s="272"/>
      <c r="H69" s="272"/>
      <c r="I69" s="272"/>
      <c r="J69" s="272"/>
      <c r="K69" s="272"/>
      <c r="L69" s="282">
        <f t="shared" si="11"/>
        <v>16422029.889272939</v>
      </c>
      <c r="M69" s="289"/>
      <c r="N69" s="289"/>
      <c r="O69" s="289"/>
      <c r="P69" s="289"/>
      <c r="Q69" s="289"/>
      <c r="R69" s="289"/>
      <c r="S69" s="272"/>
      <c r="T69">
        <v>14.1962339460351</v>
      </c>
    </row>
    <row r="70" spans="1:20">
      <c r="A70" s="272" t="s">
        <v>443</v>
      </c>
      <c r="B70" s="272">
        <v>40.659976186426199</v>
      </c>
      <c r="C70" s="272">
        <f t="shared" si="19"/>
        <v>40.659976186426199</v>
      </c>
      <c r="D70" s="272">
        <v>7.1476326899591198</v>
      </c>
      <c r="E70" s="272">
        <v>5.1898734177215102</v>
      </c>
      <c r="F70" s="272">
        <v>4.9873369196508497</v>
      </c>
      <c r="G70" s="272">
        <v>3.0166907519917601</v>
      </c>
      <c r="H70" s="272">
        <v>5.8987341772151796</v>
      </c>
      <c r="I70" s="272">
        <v>2.8990080881295901</v>
      </c>
      <c r="J70" s="272">
        <v>1.9137114855475399</v>
      </c>
      <c r="K70" s="272">
        <v>4.8107599613625904</v>
      </c>
      <c r="L70" s="282">
        <f t="shared" si="11"/>
        <v>14048588.444268299</v>
      </c>
      <c r="M70" s="282">
        <f t="shared" ref="M70:S70" si="20">10^E70</f>
        <v>154836.5256585468</v>
      </c>
      <c r="N70" s="282">
        <f t="shared" si="20"/>
        <v>97126.316757506313</v>
      </c>
      <c r="O70" s="282">
        <f t="shared" si="20"/>
        <v>1039.1799336084046</v>
      </c>
      <c r="P70" s="282">
        <f t="shared" si="20"/>
        <v>792016.40501923661</v>
      </c>
      <c r="Q70" s="282">
        <f t="shared" si="20"/>
        <v>792.51608985093628</v>
      </c>
      <c r="R70" s="282">
        <f t="shared" si="20"/>
        <v>81.980674192934771</v>
      </c>
      <c r="S70" s="282">
        <f t="shared" si="20"/>
        <v>64678.503277816395</v>
      </c>
      <c r="T70">
        <v>13.325539550685299</v>
      </c>
    </row>
    <row r="71" spans="1:20">
      <c r="A71" s="272" t="s">
        <v>443</v>
      </c>
      <c r="B71" s="272">
        <v>49.495232507248197</v>
      </c>
      <c r="C71" s="272">
        <f t="shared" si="19"/>
        <v>49.495232507248197</v>
      </c>
      <c r="D71" s="272">
        <v>7.1696497340562697</v>
      </c>
      <c r="E71" s="272"/>
      <c r="F71" s="272"/>
      <c r="G71" s="272"/>
      <c r="H71" s="272"/>
      <c r="I71" s="272"/>
      <c r="J71" s="272"/>
      <c r="K71" s="272"/>
      <c r="L71" s="282">
        <f t="shared" si="11"/>
        <v>14779159.428287629</v>
      </c>
      <c r="M71" s="289"/>
      <c r="N71" s="289"/>
      <c r="O71" s="289"/>
      <c r="P71" s="289"/>
      <c r="Q71" s="289"/>
      <c r="R71" s="289"/>
      <c r="S71" s="272"/>
      <c r="T71">
        <v>11.992311770943701</v>
      </c>
    </row>
    <row r="72" spans="1:20">
      <c r="A72" s="272" t="s">
        <v>443</v>
      </c>
      <c r="B72" s="272">
        <v>59.310705978812301</v>
      </c>
      <c r="C72" s="272">
        <f t="shared" si="19"/>
        <v>59.310705978812301</v>
      </c>
      <c r="D72" s="272">
        <v>7.15797611380059</v>
      </c>
      <c r="E72" s="272">
        <v>5.0506329113924</v>
      </c>
      <c r="F72" s="272">
        <v>4.98846678621058</v>
      </c>
      <c r="G72" s="272">
        <v>3.5031336142867602</v>
      </c>
      <c r="H72" s="272">
        <v>5.3417721518987298</v>
      </c>
      <c r="I72" s="272">
        <v>2.8413495852532198</v>
      </c>
      <c r="J72" s="272">
        <v>2.4442897603320901</v>
      </c>
      <c r="K72" s="272">
        <v>4.6648835960020802</v>
      </c>
      <c r="L72" s="282">
        <f t="shared" si="11"/>
        <v>14387194.465005619</v>
      </c>
      <c r="M72" s="282">
        <f t="shared" ref="M72:S72" si="21">10^E72</f>
        <v>112365.48001387389</v>
      </c>
      <c r="N72" s="282">
        <f t="shared" si="21"/>
        <v>97379.330912859456</v>
      </c>
      <c r="O72" s="282">
        <f t="shared" si="21"/>
        <v>3185.1773171241239</v>
      </c>
      <c r="P72" s="282">
        <f t="shared" si="21"/>
        <v>219670.70907932142</v>
      </c>
      <c r="Q72" s="282">
        <f t="shared" si="21"/>
        <v>693.98420368633447</v>
      </c>
      <c r="R72" s="282">
        <f t="shared" si="21"/>
        <v>278.15685052315115</v>
      </c>
      <c r="S72" s="282">
        <f t="shared" si="21"/>
        <v>46225.710597033511</v>
      </c>
      <c r="T72">
        <v>11.1218628490632</v>
      </c>
    </row>
    <row r="73" spans="1:20">
      <c r="A73" s="272" t="s">
        <v>443</v>
      </c>
      <c r="B73" s="272">
        <v>67.1602408878679</v>
      </c>
      <c r="C73" s="272">
        <f t="shared" si="19"/>
        <v>67.1602408878679</v>
      </c>
      <c r="D73" s="272">
        <v>7.0791046402067099</v>
      </c>
      <c r="E73" s="272"/>
      <c r="F73" s="272"/>
      <c r="G73" s="272"/>
      <c r="H73" s="272"/>
      <c r="I73" s="272"/>
      <c r="J73" s="272"/>
      <c r="K73" s="272"/>
      <c r="L73" s="282">
        <f t="shared" ref="L73:L90" si="22">10^D73</f>
        <v>11997883.489064801</v>
      </c>
      <c r="M73" s="272"/>
      <c r="N73" s="272"/>
      <c r="O73" s="272"/>
      <c r="P73" s="272"/>
      <c r="Q73" s="272"/>
      <c r="R73" s="272"/>
      <c r="S73" s="272"/>
      <c r="T73">
        <v>10.5409498841365</v>
      </c>
    </row>
    <row r="74" spans="1:20">
      <c r="A74" s="272" t="s">
        <v>443</v>
      </c>
      <c r="B74" s="272">
        <v>85.299074404994997</v>
      </c>
      <c r="C74" s="272">
        <f t="shared" si="19"/>
        <v>85.299074404994997</v>
      </c>
      <c r="D74" s="272">
        <v>6.5735841339675902</v>
      </c>
      <c r="E74" s="272">
        <v>5.3924050632911404</v>
      </c>
      <c r="F74" s="272">
        <v>6.7689952510296099</v>
      </c>
      <c r="G74" s="272">
        <v>4.7689902069824699</v>
      </c>
      <c r="H74" s="272">
        <v>6.7848101265822702</v>
      </c>
      <c r="I74" s="272">
        <v>3.9454410640921802</v>
      </c>
      <c r="J74" s="272">
        <v>2.32777227135964</v>
      </c>
      <c r="K74" s="272">
        <v>5.2542502402227402</v>
      </c>
      <c r="L74" s="282">
        <f t="shared" si="22"/>
        <v>3746141.1235801629</v>
      </c>
      <c r="M74" s="282">
        <f t="shared" ref="M74:S74" si="23">10^E74</f>
        <v>246834.04670686607</v>
      </c>
      <c r="N74" s="282">
        <f t="shared" si="23"/>
        <v>5874829.2842262937</v>
      </c>
      <c r="O74" s="282">
        <f t="shared" si="23"/>
        <v>58747.610523122261</v>
      </c>
      <c r="P74" s="282">
        <f t="shared" si="23"/>
        <v>6092704.6613685656</v>
      </c>
      <c r="Q74" s="282">
        <f t="shared" si="23"/>
        <v>8819.4410984047136</v>
      </c>
      <c r="R74" s="282">
        <f t="shared" si="23"/>
        <v>212.7023417785073</v>
      </c>
      <c r="S74" s="282">
        <f t="shared" si="23"/>
        <v>179576.8049271403</v>
      </c>
      <c r="T74">
        <v>11.290871332626301</v>
      </c>
    </row>
    <row r="75" spans="1:20">
      <c r="A75" s="272" t="s">
        <v>443</v>
      </c>
      <c r="B75" s="272">
        <v>95.604885796139698</v>
      </c>
      <c r="C75" s="272">
        <f t="shared" si="19"/>
        <v>95.604885796139698</v>
      </c>
      <c r="D75" s="272">
        <v>6.5506726474539896</v>
      </c>
      <c r="E75" s="272"/>
      <c r="F75" s="272"/>
      <c r="G75" s="272"/>
      <c r="H75" s="272"/>
      <c r="I75" s="272"/>
      <c r="J75" s="272"/>
      <c r="K75" s="272"/>
      <c r="L75" s="282">
        <f t="shared" si="22"/>
        <v>3553633.5994080971</v>
      </c>
      <c r="M75" s="272"/>
      <c r="N75" s="272"/>
      <c r="O75" s="272"/>
      <c r="P75" s="272"/>
      <c r="Q75" s="272"/>
      <c r="R75" s="272"/>
      <c r="S75" s="272"/>
      <c r="T75">
        <v>13.0223798161894</v>
      </c>
    </row>
    <row r="76" spans="1:20">
      <c r="A76" s="272" t="s">
        <v>443</v>
      </c>
      <c r="B76" s="272">
        <v>104.185570044588</v>
      </c>
      <c r="C76" s="272">
        <f t="shared" si="19"/>
        <v>104.185570044588</v>
      </c>
      <c r="D76" s="272">
        <v>6.3484025220218196</v>
      </c>
      <c r="E76" s="272"/>
      <c r="F76" s="272"/>
      <c r="G76" s="272"/>
      <c r="H76" s="272"/>
      <c r="I76" s="272"/>
      <c r="J76" s="272"/>
      <c r="K76" s="272"/>
      <c r="L76" s="282">
        <f t="shared" si="22"/>
        <v>2230501.5122411274</v>
      </c>
      <c r="M76" s="272"/>
      <c r="N76" s="272"/>
      <c r="O76" s="272"/>
      <c r="P76" s="272"/>
      <c r="Q76" s="272"/>
      <c r="R76" s="272"/>
      <c r="S76" s="272"/>
      <c r="T76">
        <v>13.772546738148501</v>
      </c>
    </row>
    <row r="77" spans="1:20">
      <c r="A77" s="272" t="s">
        <v>443</v>
      </c>
      <c r="B77" s="272">
        <v>114.001502204571</v>
      </c>
      <c r="C77" s="272">
        <f t="shared" si="19"/>
        <v>114.001502204571</v>
      </c>
      <c r="D77" s="272">
        <v>6.3479438336031304</v>
      </c>
      <c r="E77" s="272"/>
      <c r="F77" s="272"/>
      <c r="G77" s="272"/>
      <c r="H77" s="272"/>
      <c r="I77" s="272"/>
      <c r="J77" s="272"/>
      <c r="K77" s="272"/>
      <c r="L77" s="282">
        <f t="shared" si="22"/>
        <v>2228146.9690492558</v>
      </c>
      <c r="M77" s="272"/>
      <c r="N77" s="272"/>
      <c r="O77" s="272"/>
      <c r="P77" s="272"/>
      <c r="Q77" s="272"/>
      <c r="R77" s="272"/>
      <c r="S77" s="272"/>
      <c r="T77">
        <v>14.2330549664192</v>
      </c>
    </row>
    <row r="78" spans="1:20">
      <c r="A78" s="272" t="s">
        <v>443</v>
      </c>
      <c r="B78" s="272">
        <v>120.86852652079099</v>
      </c>
      <c r="C78" s="272">
        <f t="shared" si="19"/>
        <v>120.86852652079099</v>
      </c>
      <c r="D78" s="272">
        <v>6.2466883651771301</v>
      </c>
      <c r="E78" s="272">
        <v>5.7848101265822702</v>
      </c>
      <c r="F78" s="272">
        <v>5.6536757232532997</v>
      </c>
      <c r="G78" s="272">
        <v>3.0507456362687102</v>
      </c>
      <c r="H78" s="272">
        <v>6.1518987341772098</v>
      </c>
      <c r="I78" s="272">
        <v>3.1389458445878602</v>
      </c>
      <c r="J78" s="272">
        <v>1.5065711324138</v>
      </c>
      <c r="K78" s="272">
        <v>3.5948293472750801</v>
      </c>
      <c r="L78" s="282">
        <f t="shared" si="22"/>
        <v>1764771.0270835552</v>
      </c>
      <c r="M78" s="282">
        <f t="shared" ref="M78:S78" si="24">10^E78</f>
        <v>609270.46613685705</v>
      </c>
      <c r="N78" s="282">
        <f t="shared" si="24"/>
        <v>450480.2167065547</v>
      </c>
      <c r="O78" s="282">
        <f t="shared" si="24"/>
        <v>1123.9464922817635</v>
      </c>
      <c r="P78" s="282">
        <f t="shared" si="24"/>
        <v>1418726.67411658</v>
      </c>
      <c r="Q78" s="282">
        <f t="shared" si="24"/>
        <v>1377.0377450993437</v>
      </c>
      <c r="R78" s="282">
        <f t="shared" si="24"/>
        <v>32.104886020554986</v>
      </c>
      <c r="S78" s="282">
        <f t="shared" si="24"/>
        <v>3933.9546331537231</v>
      </c>
      <c r="T78">
        <v>14.2330549664192</v>
      </c>
    </row>
    <row r="79" spans="1:20">
      <c r="A79" s="272" t="s">
        <v>443</v>
      </c>
      <c r="B79" s="272">
        <v>130.43401480416799</v>
      </c>
      <c r="C79" s="272">
        <f t="shared" si="19"/>
        <v>130.43401480416799</v>
      </c>
      <c r="D79" s="272">
        <v>6.1228768937620197</v>
      </c>
      <c r="E79" s="272"/>
      <c r="F79" s="272"/>
      <c r="G79" s="289"/>
      <c r="H79" s="272"/>
      <c r="I79" s="272"/>
      <c r="J79" s="272"/>
      <c r="K79" s="272"/>
      <c r="L79" s="282">
        <f t="shared" si="22"/>
        <v>1327018.244384611</v>
      </c>
      <c r="M79" s="289"/>
      <c r="N79" s="289"/>
      <c r="O79" s="289"/>
      <c r="P79" s="289"/>
      <c r="Q79" s="289"/>
      <c r="R79" s="289"/>
      <c r="S79" s="272"/>
      <c r="T79">
        <v>15.0994535760574</v>
      </c>
    </row>
    <row r="80" spans="1:20">
      <c r="A80" s="272" t="s">
        <v>443</v>
      </c>
      <c r="B80" s="272">
        <v>145.91520762340099</v>
      </c>
      <c r="C80" s="272">
        <f t="shared" si="19"/>
        <v>145.91520762340099</v>
      </c>
      <c r="D80" s="272">
        <v>6.6380413240041198</v>
      </c>
      <c r="E80" s="272"/>
      <c r="F80" s="272"/>
      <c r="G80" s="272"/>
      <c r="H80" s="272"/>
      <c r="I80" s="272"/>
      <c r="J80" s="272"/>
      <c r="K80" s="272"/>
      <c r="L80" s="282">
        <f t="shared" si="22"/>
        <v>4345515.7067107884</v>
      </c>
      <c r="M80" s="272"/>
      <c r="N80" s="272"/>
      <c r="O80" s="272"/>
      <c r="P80" s="272"/>
      <c r="Q80" s="272"/>
      <c r="R80" s="272"/>
      <c r="S80" s="272"/>
      <c r="T80">
        <v>16.890980322846701</v>
      </c>
    </row>
    <row r="81" spans="1:20">
      <c r="A81" s="272" t="s">
        <v>443</v>
      </c>
      <c r="B81" s="272">
        <v>155.97195120319699</v>
      </c>
      <c r="C81" s="272">
        <f t="shared" si="19"/>
        <v>155.97195120319699</v>
      </c>
      <c r="D81" s="272">
        <v>6.5254218500050598</v>
      </c>
      <c r="E81" s="272">
        <v>5.86075949367088</v>
      </c>
      <c r="F81" s="272">
        <v>6.4058667312304696</v>
      </c>
      <c r="G81" s="272">
        <v>2.0676381501461498</v>
      </c>
      <c r="H81" s="272">
        <v>6.3670886075949298</v>
      </c>
      <c r="I81" s="272">
        <v>3.2734705818560501</v>
      </c>
      <c r="J81" s="272">
        <v>1.8469787418633199</v>
      </c>
      <c r="K81" s="272">
        <v>-3.5361292486638898E-2</v>
      </c>
      <c r="L81" s="282">
        <f t="shared" si="22"/>
        <v>3352909.644140644</v>
      </c>
      <c r="M81" s="282">
        <f t="shared" ref="M81:S81" si="25">10^E81</f>
        <v>725703.96123241226</v>
      </c>
      <c r="N81" s="282">
        <f t="shared" si="25"/>
        <v>2546048.8453214248</v>
      </c>
      <c r="O81" s="282">
        <f t="shared" si="25"/>
        <v>116.8525381553295</v>
      </c>
      <c r="P81" s="282">
        <f t="shared" si="25"/>
        <v>2328566.2984981635</v>
      </c>
      <c r="Q81" s="282">
        <f t="shared" si="25"/>
        <v>1877.0272684090044</v>
      </c>
      <c r="R81" s="282">
        <f t="shared" si="25"/>
        <v>70.303790627208556</v>
      </c>
      <c r="S81" s="282">
        <f t="shared" si="25"/>
        <v>0.92180425296178836</v>
      </c>
      <c r="T81">
        <v>16.424151152743399</v>
      </c>
    </row>
    <row r="82" spans="1:20">
      <c r="A82" s="272" t="s">
        <v>443</v>
      </c>
      <c r="B82" s="272">
        <v>164.80950096611201</v>
      </c>
      <c r="C82" s="272">
        <f t="shared" si="19"/>
        <v>164.80950096611201</v>
      </c>
      <c r="D82" s="272">
        <v>6.6035135532871703</v>
      </c>
      <c r="E82" s="272"/>
      <c r="F82" s="272"/>
      <c r="G82" s="272"/>
      <c r="H82" s="272"/>
      <c r="I82" s="272"/>
      <c r="J82" s="272"/>
      <c r="K82" s="272"/>
      <c r="L82" s="282">
        <f t="shared" si="22"/>
        <v>4013410.2295621159</v>
      </c>
      <c r="M82" s="289"/>
      <c r="N82" s="289"/>
      <c r="O82" s="289"/>
      <c r="P82" s="289"/>
      <c r="Q82" s="289"/>
      <c r="R82" s="289"/>
      <c r="S82" s="272"/>
      <c r="T82">
        <v>17.173949864498599</v>
      </c>
    </row>
    <row r="83" spans="1:20">
      <c r="A83" s="272" t="s">
        <v>443</v>
      </c>
      <c r="B83" s="272">
        <v>173.88419264149101</v>
      </c>
      <c r="C83" s="272">
        <f t="shared" si="19"/>
        <v>173.88419264149101</v>
      </c>
      <c r="D83" s="272">
        <v>6.4797250162929902</v>
      </c>
      <c r="E83" s="272"/>
      <c r="F83" s="272"/>
      <c r="G83" s="272"/>
      <c r="H83" s="272"/>
      <c r="I83" s="272"/>
      <c r="J83" s="272"/>
      <c r="K83" s="272"/>
      <c r="L83" s="282">
        <f t="shared" si="22"/>
        <v>3018040.1725844159</v>
      </c>
      <c r="M83" s="272"/>
      <c r="N83" s="272"/>
      <c r="O83" s="272"/>
      <c r="P83" s="272"/>
      <c r="Q83" s="272"/>
      <c r="R83" s="272"/>
      <c r="S83" s="272"/>
      <c r="T83" s="289"/>
    </row>
    <row r="84" spans="1:20">
      <c r="A84" s="272" t="s">
        <v>443</v>
      </c>
      <c r="B84" s="272">
        <v>185.17389069072701</v>
      </c>
      <c r="C84" s="272">
        <f t="shared" si="19"/>
        <v>185.17389069072701</v>
      </c>
      <c r="D84" s="272">
        <v>6.5128423201224699</v>
      </c>
      <c r="E84" s="272"/>
      <c r="F84" s="272"/>
      <c r="G84" s="272"/>
      <c r="H84" s="272"/>
      <c r="I84" s="272"/>
      <c r="J84" s="272"/>
      <c r="K84" s="272"/>
      <c r="L84" s="282">
        <f t="shared" si="22"/>
        <v>3257184.2050925991</v>
      </c>
      <c r="M84" s="272"/>
      <c r="N84" s="272"/>
      <c r="O84" s="272"/>
      <c r="P84" s="272"/>
      <c r="Q84" s="272"/>
      <c r="R84" s="272"/>
      <c r="S84" s="272"/>
      <c r="T84" s="289"/>
    </row>
    <row r="85" spans="1:20">
      <c r="A85" s="272" t="s">
        <v>443</v>
      </c>
      <c r="B85" s="272">
        <v>192.549141774856</v>
      </c>
      <c r="C85" s="272">
        <f t="shared" si="19"/>
        <v>192.549141774856</v>
      </c>
      <c r="D85" s="272">
        <v>6.8377313270811504</v>
      </c>
      <c r="E85" s="272"/>
      <c r="F85" s="272"/>
      <c r="G85" s="272"/>
      <c r="H85" s="272"/>
      <c r="I85" s="272"/>
      <c r="J85" s="272"/>
      <c r="K85" s="272"/>
      <c r="L85" s="282">
        <f t="shared" si="22"/>
        <v>6882263.986855316</v>
      </c>
      <c r="M85" s="272"/>
      <c r="N85" s="272"/>
      <c r="O85" s="272"/>
      <c r="P85" s="272"/>
      <c r="Q85" s="272"/>
      <c r="R85" s="272"/>
      <c r="S85" s="272"/>
      <c r="T85" s="289">
        <v>14.5625417304897</v>
      </c>
    </row>
    <row r="86" spans="1:20">
      <c r="A86" s="272" t="s">
        <v>443</v>
      </c>
      <c r="B86" s="272">
        <v>201.13854110326</v>
      </c>
      <c r="C86" s="272">
        <f t="shared" si="19"/>
        <v>201.13854110326</v>
      </c>
      <c r="D86" s="272">
        <v>6.8485449065517896</v>
      </c>
      <c r="E86" s="272"/>
      <c r="F86" s="272"/>
      <c r="G86" s="272"/>
      <c r="H86" s="272"/>
      <c r="I86" s="272"/>
      <c r="J86" s="272"/>
      <c r="K86" s="272"/>
      <c r="L86" s="282">
        <f t="shared" si="22"/>
        <v>7055777.97839294</v>
      </c>
      <c r="M86" s="272"/>
      <c r="N86" s="272"/>
      <c r="O86" s="272"/>
      <c r="P86" s="272"/>
      <c r="Q86" s="272"/>
      <c r="R86" s="272"/>
      <c r="S86" s="272"/>
      <c r="T86" s="289">
        <v>14.5605165743686</v>
      </c>
    </row>
    <row r="87" spans="1:20">
      <c r="A87" s="272" t="s">
        <v>443</v>
      </c>
      <c r="B87" s="272">
        <v>211.19711943672999</v>
      </c>
      <c r="C87" s="272">
        <f t="shared" si="19"/>
        <v>211.19711943672999</v>
      </c>
      <c r="D87" s="272">
        <v>6.7807851599006899</v>
      </c>
      <c r="E87" s="272"/>
      <c r="F87" s="272"/>
      <c r="G87" s="272"/>
      <c r="H87" s="272"/>
      <c r="I87" s="272"/>
      <c r="J87" s="272"/>
      <c r="K87" s="272"/>
      <c r="L87" s="282">
        <f t="shared" si="22"/>
        <v>6036499.3735803403</v>
      </c>
      <c r="M87" s="272"/>
      <c r="N87" s="272"/>
      <c r="O87" s="272"/>
      <c r="P87" s="272"/>
      <c r="Q87" s="272"/>
      <c r="R87" s="272"/>
      <c r="S87" s="272"/>
      <c r="T87" s="289">
        <v>13.343152272102399</v>
      </c>
    </row>
    <row r="88" spans="1:20">
      <c r="A88" s="272" t="s">
        <v>443</v>
      </c>
      <c r="B88" s="272">
        <v>217.57334714495099</v>
      </c>
      <c r="C88" s="272">
        <f t="shared" si="19"/>
        <v>217.57334714495099</v>
      </c>
      <c r="D88" s="272">
        <v>6.6795526258956297</v>
      </c>
      <c r="E88" s="272"/>
      <c r="F88" s="272"/>
      <c r="G88" s="272"/>
      <c r="H88" s="272"/>
      <c r="I88" s="272"/>
      <c r="J88" s="272"/>
      <c r="K88" s="272"/>
      <c r="L88" s="282">
        <f t="shared" si="22"/>
        <v>4781373.0121457754</v>
      </c>
      <c r="M88" s="289"/>
      <c r="N88" s="289"/>
      <c r="O88" s="289"/>
      <c r="P88" s="289"/>
      <c r="Q88" s="289"/>
      <c r="R88" s="289"/>
      <c r="S88" s="272"/>
      <c r="T88" s="289">
        <v>12.2410377636385</v>
      </c>
    </row>
    <row r="89" spans="1:20">
      <c r="A89" s="272" t="s">
        <v>443</v>
      </c>
      <c r="B89" s="272">
        <v>220.276397996296</v>
      </c>
      <c r="C89" s="272">
        <f t="shared" si="19"/>
        <v>220.276397996296</v>
      </c>
      <c r="D89" s="272">
        <v>6.7691459412764097</v>
      </c>
      <c r="E89" s="272"/>
      <c r="F89" s="272">
        <v>3.70416159109423</v>
      </c>
      <c r="G89" s="272">
        <v>3.8953561979990199</v>
      </c>
      <c r="H89" s="272">
        <v>3.83544303797468</v>
      </c>
      <c r="I89" s="272">
        <v>2.5570645663254301</v>
      </c>
      <c r="J89" s="272">
        <v>1.3658850915620599</v>
      </c>
      <c r="K89" s="272">
        <v>-1.64889901061014E-2</v>
      </c>
      <c r="L89" s="282">
        <f t="shared" si="22"/>
        <v>5876868.0692333942</v>
      </c>
      <c r="M89" s="282"/>
      <c r="N89" s="282">
        <f t="shared" ref="N89:S90" si="26">10^F89</f>
        <v>5060.1290286757057</v>
      </c>
      <c r="O89" s="282">
        <f t="shared" si="26"/>
        <v>7858.7993037299793</v>
      </c>
      <c r="P89" s="282">
        <f t="shared" si="26"/>
        <v>6846.0968385746055</v>
      </c>
      <c r="Q89" s="282">
        <f t="shared" si="26"/>
        <v>360.63225403828909</v>
      </c>
      <c r="R89" s="282">
        <f t="shared" si="26"/>
        <v>23.221223129549131</v>
      </c>
      <c r="S89" s="282">
        <f t="shared" si="26"/>
        <v>0.96274441940718936</v>
      </c>
      <c r="T89" s="289">
        <v>11.718670221122499</v>
      </c>
    </row>
    <row r="90" spans="1:20">
      <c r="A90" s="272" t="s">
        <v>443</v>
      </c>
      <c r="B90" s="272">
        <v>227.381022913397</v>
      </c>
      <c r="C90" s="272">
        <f t="shared" si="19"/>
        <v>227.381022913397</v>
      </c>
      <c r="D90" s="272">
        <v>6.4772251644111298</v>
      </c>
      <c r="E90" s="272">
        <v>6.26582278481012</v>
      </c>
      <c r="F90" s="272">
        <v>5.1021949171136898</v>
      </c>
      <c r="G90" s="289">
        <v>4.3963107839205797</v>
      </c>
      <c r="H90" s="272">
        <v>6.3417721518987298</v>
      </c>
      <c r="I90" s="272">
        <v>3.07274272585351</v>
      </c>
      <c r="J90" s="272">
        <v>1.54332710393511</v>
      </c>
      <c r="K90" s="272">
        <v>-1.5518011031331E-2</v>
      </c>
      <c r="L90" s="282">
        <f t="shared" si="22"/>
        <v>3000717.8685952965</v>
      </c>
      <c r="M90" s="282">
        <f>10^E90</f>
        <v>1844262.7085855093</v>
      </c>
      <c r="N90" s="282">
        <f t="shared" si="26"/>
        <v>126530.4105288534</v>
      </c>
      <c r="O90" s="282">
        <f t="shared" si="26"/>
        <v>24906.389979791467</v>
      </c>
      <c r="P90" s="282">
        <f t="shared" si="26"/>
        <v>2196707.0907932166</v>
      </c>
      <c r="Q90" s="282">
        <f t="shared" si="26"/>
        <v>1182.3409346386775</v>
      </c>
      <c r="R90" s="282">
        <f t="shared" si="26"/>
        <v>34.940338165936843</v>
      </c>
      <c r="S90" s="282">
        <f t="shared" si="26"/>
        <v>0.96489929473761371</v>
      </c>
      <c r="T90" s="289">
        <v>11.8914221750913</v>
      </c>
    </row>
    <row r="91" spans="1:20">
      <c r="B91" s="272"/>
      <c r="C91" s="272"/>
      <c r="D91" s="272"/>
      <c r="E91" s="272"/>
      <c r="F91" s="272"/>
      <c r="G91" s="272"/>
      <c r="H91" s="272"/>
      <c r="I91" s="272"/>
      <c r="J91" s="272"/>
      <c r="K91" s="272"/>
      <c r="L91" s="282"/>
      <c r="M91" s="272"/>
      <c r="N91" s="272"/>
      <c r="O91" s="272"/>
      <c r="P91" s="272"/>
      <c r="Q91" s="272"/>
      <c r="R91" s="272"/>
      <c r="S91" s="272"/>
      <c r="T91" s="289"/>
    </row>
    <row r="92" spans="1:20">
      <c r="B92" s="272"/>
      <c r="C92" s="272"/>
      <c r="D92" s="272"/>
      <c r="E92" s="272"/>
      <c r="F92" s="272"/>
      <c r="G92" s="272"/>
      <c r="H92" s="272"/>
      <c r="I92" s="272"/>
      <c r="J92" s="272"/>
      <c r="K92" s="272"/>
      <c r="L92" s="282"/>
      <c r="M92" s="272"/>
      <c r="N92" s="272"/>
      <c r="O92" s="272"/>
      <c r="P92" s="272"/>
      <c r="Q92" s="272"/>
      <c r="R92" s="272"/>
      <c r="S92" s="272"/>
      <c r="T92" s="289"/>
    </row>
    <row r="93" spans="1:20">
      <c r="T93" s="289"/>
    </row>
    <row r="94" spans="1:20">
      <c r="T94" s="289"/>
    </row>
    <row r="95" spans="1:20">
      <c r="T95" s="289"/>
    </row>
    <row r="96" spans="1:20">
      <c r="T96" s="289"/>
    </row>
    <row r="97" spans="20:20">
      <c r="T97" s="289"/>
    </row>
    <row r="98" spans="20:20">
      <c r="T98" s="289"/>
    </row>
  </sheetData>
  <sortState ref="A5:T98">
    <sortCondition ref="A5:A98"/>
  </sortState>
  <phoneticPr fontId="12" type="noConversion"/>
  <pageMargins left="0.75" right="0.75" top="1" bottom="1" header="0.5" footer="0.5"/>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workbookViewId="0">
      <pane xSplit="3" ySplit="5" topLeftCell="K6" activePane="bottomRight" state="frozenSplit"/>
      <selection pane="topRight" activeCell="D1" sqref="D1"/>
      <selection pane="bottomLeft" activeCell="A6" sqref="A6"/>
      <selection pane="bottomRight" activeCell="B22" sqref="B22"/>
    </sheetView>
  </sheetViews>
  <sheetFormatPr baseColWidth="10" defaultRowHeight="13" x14ac:dyDescent="0"/>
  <cols>
    <col min="2" max="2" width="15" style="126" customWidth="1"/>
    <col min="3" max="3" width="10.7109375" style="126"/>
    <col min="4" max="4" width="17.28515625" customWidth="1"/>
    <col min="5" max="6" width="13.5703125" style="132" customWidth="1"/>
    <col min="7" max="7" width="13.5703125" style="247" customWidth="1"/>
    <col min="8" max="8" width="13.5703125" customWidth="1"/>
    <col min="9" max="10" width="18.140625" style="127" customWidth="1"/>
    <col min="11" max="11" width="18.140625" style="229" customWidth="1"/>
    <col min="12" max="12" width="18.140625" style="289" customWidth="1"/>
    <col min="13" max="13" width="13.85546875" customWidth="1"/>
    <col min="14" max="15" width="13.85546875" style="132" customWidth="1"/>
    <col min="16" max="16" width="13.85546875" style="247" customWidth="1"/>
    <col min="17" max="17" width="13.5703125" customWidth="1"/>
    <col min="18" max="19" width="13.5703125" style="130" customWidth="1"/>
    <col min="20" max="20" width="13.5703125" style="247" customWidth="1"/>
    <col min="21" max="21" width="13.5703125" style="282" customWidth="1"/>
    <col min="22" max="22" width="15.28515625" customWidth="1"/>
    <col min="23" max="24" width="15.28515625" style="132" customWidth="1"/>
    <col min="25" max="25" width="15.28515625" style="247" customWidth="1"/>
    <col min="26" max="26" width="12.28515625" customWidth="1"/>
    <col min="27" max="28" width="10.7109375" style="132"/>
    <col min="29" max="29" width="10.7109375" style="247"/>
  </cols>
  <sheetData>
    <row r="1" spans="1:30">
      <c r="A1" s="42" t="s">
        <v>787</v>
      </c>
      <c r="B1" s="229" t="s">
        <v>1221</v>
      </c>
      <c r="C1" s="42"/>
      <c r="D1" s="42"/>
    </row>
    <row r="2" spans="1:30">
      <c r="A2" s="42" t="s">
        <v>906</v>
      </c>
      <c r="B2" s="229">
        <f>2.5*0.2+0.8</f>
        <v>1.3</v>
      </c>
      <c r="C2" s="42"/>
      <c r="D2" s="42"/>
    </row>
    <row r="3" spans="1:30" ht="134" customHeight="1">
      <c r="A3" s="338" t="s">
        <v>516</v>
      </c>
      <c r="B3" s="338"/>
      <c r="C3" s="338"/>
      <c r="D3" s="338"/>
      <c r="E3" s="338"/>
      <c r="F3" s="338"/>
      <c r="G3" s="338"/>
      <c r="H3" s="338"/>
      <c r="I3" s="338"/>
      <c r="J3" s="338"/>
    </row>
    <row r="4" spans="1:30">
      <c r="A4" s="128"/>
      <c r="B4" s="128"/>
      <c r="C4" s="128"/>
      <c r="D4" s="128" t="s">
        <v>638</v>
      </c>
      <c r="E4" s="133"/>
      <c r="F4" s="133"/>
      <c r="G4" s="140"/>
      <c r="H4" s="128" t="s">
        <v>639</v>
      </c>
      <c r="I4" s="128"/>
      <c r="J4" s="128"/>
      <c r="K4" s="128"/>
      <c r="L4" s="128"/>
      <c r="M4" s="128" t="s">
        <v>724</v>
      </c>
      <c r="N4" s="133"/>
      <c r="O4" s="133"/>
      <c r="P4" s="140"/>
      <c r="Q4" s="128" t="s">
        <v>725</v>
      </c>
      <c r="R4" s="131"/>
      <c r="S4" s="131"/>
      <c r="T4" s="140"/>
      <c r="U4" s="140"/>
      <c r="V4" s="128" t="s">
        <v>898</v>
      </c>
      <c r="W4" s="133"/>
      <c r="X4" s="133"/>
      <c r="Y4" s="140"/>
      <c r="Z4" s="128" t="s">
        <v>907</v>
      </c>
    </row>
    <row r="5" spans="1:30" s="43" customFormat="1" ht="52">
      <c r="A5" s="265" t="s">
        <v>767</v>
      </c>
      <c r="B5" s="265" t="s">
        <v>876</v>
      </c>
      <c r="C5" s="266" t="s">
        <v>897</v>
      </c>
      <c r="D5" s="265" t="s">
        <v>768</v>
      </c>
      <c r="E5" s="267" t="s">
        <v>847</v>
      </c>
      <c r="F5" s="268" t="s">
        <v>982</v>
      </c>
      <c r="G5" s="268" t="s">
        <v>659</v>
      </c>
      <c r="H5" s="265" t="s">
        <v>769</v>
      </c>
      <c r="I5" s="265" t="s">
        <v>934</v>
      </c>
      <c r="J5" s="266" t="s">
        <v>1040</v>
      </c>
      <c r="K5" s="268" t="s">
        <v>660</v>
      </c>
      <c r="L5" s="290" t="s">
        <v>439</v>
      </c>
      <c r="M5" s="265" t="s">
        <v>1093</v>
      </c>
      <c r="N5" s="269" t="s">
        <v>848</v>
      </c>
      <c r="O5" s="268" t="s">
        <v>984</v>
      </c>
      <c r="P5" s="268" t="s">
        <v>661</v>
      </c>
      <c r="Q5" s="265" t="s">
        <v>722</v>
      </c>
      <c r="R5" s="269" t="s">
        <v>942</v>
      </c>
      <c r="S5" s="268" t="s">
        <v>969</v>
      </c>
      <c r="T5" s="268" t="s">
        <v>662</v>
      </c>
      <c r="U5" s="290" t="s">
        <v>439</v>
      </c>
      <c r="V5" s="265" t="s">
        <v>894</v>
      </c>
      <c r="W5" s="270" t="s">
        <v>777</v>
      </c>
      <c r="X5" s="271" t="s">
        <v>1097</v>
      </c>
      <c r="Y5" s="268" t="s">
        <v>522</v>
      </c>
      <c r="Z5" s="265" t="s">
        <v>773</v>
      </c>
      <c r="AA5" s="269" t="s">
        <v>986</v>
      </c>
      <c r="AB5" s="271" t="s">
        <v>985</v>
      </c>
      <c r="AC5" s="268" t="s">
        <v>663</v>
      </c>
      <c r="AD5" s="43" t="s">
        <v>439</v>
      </c>
    </row>
    <row r="6" spans="1:30">
      <c r="A6">
        <v>0</v>
      </c>
      <c r="B6" s="126">
        <f>(500*A6)/11.35</f>
        <v>0</v>
      </c>
      <c r="C6" s="32">
        <f>B6/100</f>
        <v>0</v>
      </c>
      <c r="D6">
        <v>5.9</v>
      </c>
      <c r="E6" s="146">
        <f>(60000000*D6)/4.1</f>
        <v>86341463.414634153</v>
      </c>
      <c r="F6" s="145">
        <f>E6*3.8</f>
        <v>328097560.97560978</v>
      </c>
      <c r="G6" s="221">
        <f>F6*$B$2</f>
        <v>426526829.26829273</v>
      </c>
      <c r="H6">
        <v>1.9</v>
      </c>
      <c r="I6" s="130">
        <f>((2000000)*H6/3.4)</f>
        <v>1117647.0588235294</v>
      </c>
      <c r="J6" s="147">
        <f>I6*2</f>
        <v>2235294.1176470588</v>
      </c>
      <c r="K6" s="221">
        <f>J6*$B$2</f>
        <v>2905882.3529411764</v>
      </c>
      <c r="L6" s="289">
        <v>28.3612325501614</v>
      </c>
      <c r="M6">
        <v>6.15</v>
      </c>
      <c r="N6" s="132">
        <f>(60000000*M6)/4.1</f>
        <v>90000000.000000015</v>
      </c>
      <c r="O6" s="145">
        <f>N6*3.8</f>
        <v>342000000.00000006</v>
      </c>
      <c r="P6" s="221">
        <f>O6*$B$2</f>
        <v>444600000.00000012</v>
      </c>
      <c r="Q6">
        <v>1.25</v>
      </c>
      <c r="R6" s="130">
        <f>((2000000)*Q6)/3.4</f>
        <v>735294.1176470588</v>
      </c>
      <c r="S6" s="147">
        <f>R6*2</f>
        <v>1470588.2352941176</v>
      </c>
      <c r="T6" s="221">
        <f>S6*$B$2</f>
        <v>1911764.705882353</v>
      </c>
      <c r="U6" s="297">
        <v>24.572275538119101</v>
      </c>
      <c r="V6">
        <v>6.65</v>
      </c>
      <c r="W6" s="132">
        <f>(60000000*V6)/4.1</f>
        <v>97317073.170731708</v>
      </c>
      <c r="X6" s="145">
        <f>W6*3.8</f>
        <v>369804878.0487805</v>
      </c>
      <c r="Y6" s="221">
        <f>X6*$B$2</f>
        <v>480746341.46341467</v>
      </c>
      <c r="Z6">
        <v>3.1</v>
      </c>
      <c r="AA6" s="132">
        <f>((2000000)*Z6)/3.4</f>
        <v>1823529.411764706</v>
      </c>
      <c r="AB6" s="145">
        <f>AA6*2</f>
        <v>3647058.823529412</v>
      </c>
      <c r="AC6" s="221">
        <f>AB6*$B$2</f>
        <v>4741176.4705882361</v>
      </c>
      <c r="AD6" s="297">
        <v>27.695433793970899</v>
      </c>
    </row>
    <row r="7" spans="1:30">
      <c r="A7">
        <v>0.4</v>
      </c>
      <c r="B7" s="126">
        <f t="shared" ref="B7:B21" si="0">(500*A7)/11.35</f>
        <v>17.621145374449341</v>
      </c>
      <c r="C7" s="32">
        <f t="shared" ref="C7:C21" si="1">B7/100</f>
        <v>0.1762114537444934</v>
      </c>
      <c r="D7">
        <v>2.25</v>
      </c>
      <c r="E7" s="146">
        <f t="shared" ref="E7:E21" si="2">(60000000*D7)/4.1</f>
        <v>32926829.268292684</v>
      </c>
      <c r="F7" s="145">
        <f t="shared" ref="F7:F21" si="3">E7*3.8</f>
        <v>125121951.21951219</v>
      </c>
      <c r="G7" s="221">
        <f t="shared" ref="G7:G21" si="4">F7*$B$2</f>
        <v>162658536.58536586</v>
      </c>
      <c r="H7">
        <v>0.5</v>
      </c>
      <c r="I7" s="130">
        <f t="shared" ref="I7:I21" si="5">((2000000)*H7/3.4)</f>
        <v>294117.64705882355</v>
      </c>
      <c r="J7" s="147">
        <f t="shared" ref="J7:J21" si="6">I7*2</f>
        <v>588235.29411764711</v>
      </c>
      <c r="K7" s="221">
        <f t="shared" ref="K7:K21" si="7">J7*$B$2</f>
        <v>764705.88235294132</v>
      </c>
      <c r="L7" s="289">
        <v>25.862705945479899</v>
      </c>
      <c r="M7">
        <v>2.5</v>
      </c>
      <c r="N7" s="132">
        <f t="shared" ref="N7:N14" si="8">(60000000*M7)/4.1</f>
        <v>36585365.853658542</v>
      </c>
      <c r="O7" s="145">
        <f t="shared" ref="O7:O14" si="9">N7*3.8</f>
        <v>139024390.24390244</v>
      </c>
      <c r="P7" s="221">
        <f t="shared" ref="P7:P14" si="10">O7*$B$2</f>
        <v>180731707.3170732</v>
      </c>
      <c r="Q7">
        <v>0.75</v>
      </c>
      <c r="R7" s="130">
        <f t="shared" ref="R7:R20" si="11">((2000000)*Q7)/3.4</f>
        <v>441176.4705882353</v>
      </c>
      <c r="S7" s="147">
        <f t="shared" ref="S7:S20" si="12">R7*2</f>
        <v>882352.9411764706</v>
      </c>
      <c r="T7" s="221">
        <f t="shared" ref="T7:T20" si="13">S7*$B$2</f>
        <v>1147058.8235294118</v>
      </c>
      <c r="U7" s="297">
        <v>28.780556459628901</v>
      </c>
      <c r="V7">
        <v>4.0999999999999996</v>
      </c>
      <c r="W7" s="132">
        <f t="shared" ref="W7:W21" si="14">(60000000*V7)/4.1</f>
        <v>60000000</v>
      </c>
      <c r="X7" s="145">
        <f t="shared" ref="X7:X21" si="15">W7*3.8</f>
        <v>228000000</v>
      </c>
      <c r="Y7" s="221">
        <f t="shared" ref="Y7:Y21" si="16">X7*$B$2</f>
        <v>296400000</v>
      </c>
      <c r="Z7">
        <v>0.95</v>
      </c>
      <c r="AA7" s="132">
        <f>((2000000)*Z7)/3.4</f>
        <v>558823.5294117647</v>
      </c>
      <c r="AB7" s="145">
        <f>AA7*2</f>
        <v>1117647.0588235294</v>
      </c>
      <c r="AC7" s="221">
        <f>AB7*$B$2</f>
        <v>1452941.1764705882</v>
      </c>
      <c r="AD7" s="297">
        <v>27.500945611920798</v>
      </c>
    </row>
    <row r="8" spans="1:30">
      <c r="A8">
        <v>1.1000000000000001</v>
      </c>
      <c r="B8" s="126">
        <f t="shared" si="0"/>
        <v>48.458149779735685</v>
      </c>
      <c r="C8" s="32">
        <f t="shared" si="1"/>
        <v>0.48458149779735682</v>
      </c>
      <c r="D8">
        <v>1.85</v>
      </c>
      <c r="E8" s="146">
        <f t="shared" si="2"/>
        <v>27073170.73170732</v>
      </c>
      <c r="F8" s="145">
        <f t="shared" si="3"/>
        <v>102878048.78048781</v>
      </c>
      <c r="G8" s="221">
        <f t="shared" si="4"/>
        <v>133741463.41463415</v>
      </c>
      <c r="H8">
        <v>0.6</v>
      </c>
      <c r="I8" s="130">
        <f t="shared" si="5"/>
        <v>352941.17647058825</v>
      </c>
      <c r="J8" s="147">
        <f t="shared" si="6"/>
        <v>705882.3529411765</v>
      </c>
      <c r="K8" s="221">
        <f t="shared" si="7"/>
        <v>917647.05882352951</v>
      </c>
      <c r="L8" s="289">
        <v>22.903424434611999</v>
      </c>
      <c r="O8" s="145"/>
      <c r="P8" s="221"/>
      <c r="S8" s="147"/>
      <c r="T8" s="221"/>
      <c r="U8" s="297">
        <v>24.745916275960301</v>
      </c>
      <c r="V8">
        <v>1.7</v>
      </c>
      <c r="W8" s="132">
        <f t="shared" si="14"/>
        <v>24878048.780487806</v>
      </c>
      <c r="X8" s="145">
        <f t="shared" si="15"/>
        <v>94536585.365853652</v>
      </c>
      <c r="Y8" s="221">
        <f t="shared" si="16"/>
        <v>122897560.97560975</v>
      </c>
      <c r="Z8">
        <v>0.4</v>
      </c>
      <c r="AA8" s="132">
        <f>((2000000)*Z8)/3.4</f>
        <v>235294.11764705883</v>
      </c>
      <c r="AB8" s="145">
        <f>AA8*2</f>
        <v>470588.23529411765</v>
      </c>
      <c r="AC8" s="221">
        <f>AB8*$B$2</f>
        <v>611764.70588235301</v>
      </c>
      <c r="AD8" s="297">
        <v>25.0029467906371</v>
      </c>
    </row>
    <row r="9" spans="1:30">
      <c r="A9">
        <v>1.7</v>
      </c>
      <c r="B9" s="126">
        <f t="shared" si="0"/>
        <v>74.889867841409696</v>
      </c>
      <c r="C9" s="32">
        <f t="shared" si="1"/>
        <v>0.74889867841409696</v>
      </c>
      <c r="D9">
        <v>0.9</v>
      </c>
      <c r="E9" s="146">
        <f t="shared" si="2"/>
        <v>13170731.707317075</v>
      </c>
      <c r="F9" s="145">
        <f t="shared" si="3"/>
        <v>50048780.487804882</v>
      </c>
      <c r="G9" s="221">
        <f t="shared" si="4"/>
        <v>65063414.634146348</v>
      </c>
      <c r="I9" s="130"/>
      <c r="J9" s="147"/>
      <c r="K9" s="221"/>
      <c r="L9" s="289">
        <v>15.7005005145888</v>
      </c>
      <c r="M9">
        <v>1.2</v>
      </c>
      <c r="N9" s="132">
        <f t="shared" si="8"/>
        <v>17560975.609756101</v>
      </c>
      <c r="O9" s="145">
        <f t="shared" si="9"/>
        <v>66731707.317073181</v>
      </c>
      <c r="P9" s="221">
        <f t="shared" si="10"/>
        <v>86751219.51219514</v>
      </c>
      <c r="Q9">
        <v>1.6</v>
      </c>
      <c r="R9" s="130">
        <f t="shared" si="11"/>
        <v>941176.4705882353</v>
      </c>
      <c r="S9" s="147">
        <f t="shared" si="12"/>
        <v>1882352.9411764706</v>
      </c>
      <c r="T9" s="221">
        <f t="shared" si="13"/>
        <v>2447058.823529412</v>
      </c>
      <c r="U9" s="297">
        <v>21.3828804658568</v>
      </c>
      <c r="V9">
        <v>0.5</v>
      </c>
      <c r="W9" s="132">
        <f t="shared" si="14"/>
        <v>7317073.1707317084</v>
      </c>
      <c r="X9" s="145">
        <f t="shared" si="15"/>
        <v>27804878.04878049</v>
      </c>
      <c r="Y9" s="221">
        <f t="shared" si="16"/>
        <v>36146341.463414639</v>
      </c>
      <c r="Z9">
        <v>0.2</v>
      </c>
      <c r="AA9" s="132">
        <f>((2000000)*Z9)/3.4</f>
        <v>117647.05882352941</v>
      </c>
      <c r="AB9" s="145">
        <f>AA9*2</f>
        <v>235294.11764705883</v>
      </c>
      <c r="AC9" s="221">
        <f>AB9*$B$2</f>
        <v>305882.3529411765</v>
      </c>
      <c r="AD9" s="297">
        <v>21.6393831971358</v>
      </c>
    </row>
    <row r="10" spans="1:30">
      <c r="A10">
        <v>2.2000000000000002</v>
      </c>
      <c r="B10" s="126">
        <f t="shared" si="0"/>
        <v>96.916299559471369</v>
      </c>
      <c r="C10" s="32">
        <f t="shared" si="1"/>
        <v>0.96916299559471364</v>
      </c>
      <c r="D10">
        <v>1.3</v>
      </c>
      <c r="E10" s="146">
        <f t="shared" si="2"/>
        <v>19024390.243902441</v>
      </c>
      <c r="F10" s="145">
        <f t="shared" si="3"/>
        <v>72292682.926829278</v>
      </c>
      <c r="G10" s="221">
        <f t="shared" si="4"/>
        <v>93980487.804878071</v>
      </c>
      <c r="H10">
        <v>0.9</v>
      </c>
      <c r="I10" s="130">
        <f t="shared" si="5"/>
        <v>529411.76470588241</v>
      </c>
      <c r="J10" s="147">
        <f t="shared" si="6"/>
        <v>1058823.5294117648</v>
      </c>
      <c r="K10" s="221">
        <f t="shared" si="7"/>
        <v>1376470.5882352942</v>
      </c>
      <c r="L10" s="289">
        <v>10.135816261006401</v>
      </c>
      <c r="M10">
        <v>1.85</v>
      </c>
      <c r="N10" s="132">
        <f t="shared" si="8"/>
        <v>27073170.73170732</v>
      </c>
      <c r="O10" s="145">
        <f t="shared" si="9"/>
        <v>102878048.78048781</v>
      </c>
      <c r="P10" s="221">
        <f t="shared" si="10"/>
        <v>133741463.41463415</v>
      </c>
      <c r="Q10">
        <v>1.05</v>
      </c>
      <c r="R10" s="130">
        <f t="shared" si="11"/>
        <v>617647.0588235294</v>
      </c>
      <c r="S10" s="147">
        <f t="shared" si="12"/>
        <v>1235294.1176470588</v>
      </c>
      <c r="T10" s="221">
        <f t="shared" si="13"/>
        <v>1605882.3529411764</v>
      </c>
      <c r="U10" s="297">
        <v>12.7974279355752</v>
      </c>
      <c r="V10">
        <v>1.6</v>
      </c>
      <c r="W10" s="132">
        <f t="shared" si="14"/>
        <v>23414634.146341465</v>
      </c>
      <c r="X10" s="145">
        <f t="shared" si="15"/>
        <v>88975609.75609757</v>
      </c>
      <c r="Y10" s="221">
        <f t="shared" si="16"/>
        <v>115668292.68292685</v>
      </c>
      <c r="Z10">
        <v>3.25</v>
      </c>
      <c r="AA10" s="132">
        <f>((2000000)*Z10)/3.4</f>
        <v>1911764.705882353</v>
      </c>
      <c r="AB10" s="145">
        <f>AA10*2</f>
        <v>3823529.411764706</v>
      </c>
      <c r="AC10" s="221">
        <f>AB10*$B$2</f>
        <v>4970588.2352941176</v>
      </c>
      <c r="AD10" s="297">
        <v>9.3169603194848793</v>
      </c>
    </row>
    <row r="11" spans="1:30">
      <c r="A11">
        <v>2.7</v>
      </c>
      <c r="B11" s="126">
        <f t="shared" si="0"/>
        <v>118.94273127753304</v>
      </c>
      <c r="C11" s="32">
        <f t="shared" si="1"/>
        <v>1.1894273127753303</v>
      </c>
      <c r="D11">
        <v>1.1000000000000001</v>
      </c>
      <c r="E11" s="146">
        <f t="shared" si="2"/>
        <v>16097560.975609759</v>
      </c>
      <c r="F11" s="145">
        <f t="shared" si="3"/>
        <v>61170731.707317084</v>
      </c>
      <c r="G11" s="221">
        <f t="shared" si="4"/>
        <v>79521951.219512209</v>
      </c>
      <c r="H11">
        <v>1.45</v>
      </c>
      <c r="I11" s="130">
        <f t="shared" si="5"/>
        <v>852941.17647058831</v>
      </c>
      <c r="J11" s="147">
        <f t="shared" si="6"/>
        <v>1705882.3529411766</v>
      </c>
      <c r="K11" s="221">
        <f t="shared" si="7"/>
        <v>2217647.0588235296</v>
      </c>
      <c r="L11" s="289">
        <v>3.1321305736125802</v>
      </c>
      <c r="M11">
        <v>1.45</v>
      </c>
      <c r="N11" s="132">
        <f t="shared" si="8"/>
        <v>21219512.195121951</v>
      </c>
      <c r="O11" s="145">
        <f t="shared" si="9"/>
        <v>80634146.341463417</v>
      </c>
      <c r="P11" s="221">
        <f t="shared" si="10"/>
        <v>104824390.24390244</v>
      </c>
      <c r="Q11">
        <v>3.55</v>
      </c>
      <c r="R11" s="130">
        <f t="shared" si="11"/>
        <v>2088235.2941176472</v>
      </c>
      <c r="S11" s="147">
        <f t="shared" si="12"/>
        <v>4176470.5882352944</v>
      </c>
      <c r="T11" s="221">
        <f t="shared" si="13"/>
        <v>5429411.7647058833</v>
      </c>
      <c r="U11" s="297">
        <v>0.58320065445140701</v>
      </c>
      <c r="X11" s="145"/>
      <c r="Y11" s="221"/>
      <c r="AB11" s="145"/>
      <c r="AC11" s="221"/>
      <c r="AD11" s="297">
        <v>5.0289841049233299</v>
      </c>
    </row>
    <row r="12" spans="1:30">
      <c r="A12">
        <v>3.1</v>
      </c>
      <c r="B12" s="126">
        <f t="shared" si="0"/>
        <v>136.56387665198238</v>
      </c>
      <c r="C12" s="32">
        <f t="shared" si="1"/>
        <v>1.3656387665198237</v>
      </c>
      <c r="D12">
        <v>1.7</v>
      </c>
      <c r="E12" s="146">
        <f t="shared" si="2"/>
        <v>24878048.780487806</v>
      </c>
      <c r="F12" s="145">
        <f t="shared" si="3"/>
        <v>94536585.365853652</v>
      </c>
      <c r="G12" s="221">
        <f t="shared" si="4"/>
        <v>122897560.97560975</v>
      </c>
      <c r="H12">
        <v>3.65</v>
      </c>
      <c r="I12" s="130">
        <f t="shared" si="5"/>
        <v>2147058.823529412</v>
      </c>
      <c r="J12" s="147">
        <f t="shared" si="6"/>
        <v>4294117.6470588241</v>
      </c>
      <c r="K12" s="221">
        <f t="shared" si="7"/>
        <v>5582352.9411764713</v>
      </c>
      <c r="L12" s="289">
        <v>0.42935179402372098</v>
      </c>
      <c r="O12" s="145"/>
      <c r="P12" s="221"/>
      <c r="Q12">
        <v>6</v>
      </c>
      <c r="R12" s="130">
        <f t="shared" si="11"/>
        <v>3529411.7647058824</v>
      </c>
      <c r="S12" s="147">
        <f t="shared" si="12"/>
        <v>7058823.5294117648</v>
      </c>
      <c r="T12" s="221">
        <f t="shared" si="13"/>
        <v>9176470.5882352944</v>
      </c>
      <c r="U12" s="297">
        <v>0.43964357027874901</v>
      </c>
      <c r="V12">
        <v>0.5</v>
      </c>
      <c r="W12" s="132">
        <f t="shared" si="14"/>
        <v>7317073.1707317084</v>
      </c>
      <c r="X12" s="145">
        <f t="shared" si="15"/>
        <v>27804878.04878049</v>
      </c>
      <c r="Y12" s="221">
        <f t="shared" si="16"/>
        <v>36146341.463414639</v>
      </c>
      <c r="AB12" s="145"/>
      <c r="AC12" s="221"/>
      <c r="AD12" s="297">
        <v>2.0675914604646199</v>
      </c>
    </row>
    <row r="13" spans="1:30">
      <c r="A13">
        <v>3.6</v>
      </c>
      <c r="B13" s="126">
        <f t="shared" si="0"/>
        <v>158.59030837004406</v>
      </c>
      <c r="C13" s="32">
        <f t="shared" si="1"/>
        <v>1.5859030837004406</v>
      </c>
      <c r="D13" s="150">
        <v>1.45</v>
      </c>
      <c r="E13" s="146">
        <f>(60000000*D13)/4.1</f>
        <v>21219512.195121951</v>
      </c>
      <c r="F13" s="145">
        <f t="shared" si="3"/>
        <v>80634146.341463417</v>
      </c>
      <c r="G13" s="221">
        <f t="shared" si="4"/>
        <v>104824390.24390244</v>
      </c>
      <c r="H13">
        <v>2.1</v>
      </c>
      <c r="I13" s="130">
        <f t="shared" si="5"/>
        <v>1235294.1176470588</v>
      </c>
      <c r="J13" s="147">
        <f t="shared" si="6"/>
        <v>2470588.2352941176</v>
      </c>
      <c r="K13" s="221">
        <f t="shared" si="7"/>
        <v>3211764.7058823528</v>
      </c>
      <c r="L13" s="289">
        <v>0.49136634325271999</v>
      </c>
      <c r="M13">
        <v>2.2999999999999998</v>
      </c>
      <c r="N13" s="132">
        <f t="shared" si="8"/>
        <v>33658536.585365854</v>
      </c>
      <c r="O13" s="145">
        <f t="shared" si="9"/>
        <v>127902439.02439024</v>
      </c>
      <c r="P13" s="221">
        <f t="shared" si="10"/>
        <v>166273170.7317073</v>
      </c>
      <c r="Q13">
        <v>3.65</v>
      </c>
      <c r="R13" s="130">
        <f t="shared" si="11"/>
        <v>2147058.823529412</v>
      </c>
      <c r="S13" s="147">
        <f t="shared" si="12"/>
        <v>4294117.6470588241</v>
      </c>
      <c r="T13" s="221">
        <f t="shared" si="13"/>
        <v>5582352.9411764713</v>
      </c>
      <c r="U13" s="297">
        <v>0.295822594407251</v>
      </c>
      <c r="V13">
        <v>0.4</v>
      </c>
      <c r="W13" s="132">
        <f t="shared" si="14"/>
        <v>5853658.5365853664</v>
      </c>
      <c r="X13" s="145">
        <f t="shared" si="15"/>
        <v>22243902.439024393</v>
      </c>
      <c r="Y13" s="221">
        <f t="shared" si="16"/>
        <v>28917073.170731712</v>
      </c>
      <c r="AB13" s="145"/>
      <c r="AC13" s="221"/>
      <c r="AD13" s="297">
        <v>1.3096945013766199</v>
      </c>
    </row>
    <row r="14" spans="1:30">
      <c r="A14">
        <v>4</v>
      </c>
      <c r="B14" s="126">
        <f t="shared" si="0"/>
        <v>176.21145374449341</v>
      </c>
      <c r="C14" s="32">
        <f t="shared" si="1"/>
        <v>1.7621145374449341</v>
      </c>
      <c r="D14">
        <v>1.4</v>
      </c>
      <c r="E14" s="146">
        <f t="shared" si="2"/>
        <v>20487804.878048781</v>
      </c>
      <c r="F14" s="145">
        <f t="shared" si="3"/>
        <v>77853658.536585361</v>
      </c>
      <c r="G14" s="221">
        <f t="shared" si="4"/>
        <v>101209756.09756097</v>
      </c>
      <c r="H14">
        <v>1.7</v>
      </c>
      <c r="I14" s="130">
        <f t="shared" si="5"/>
        <v>1000000</v>
      </c>
      <c r="J14" s="147">
        <f t="shared" si="6"/>
        <v>2000000</v>
      </c>
      <c r="K14" s="221">
        <f t="shared" si="7"/>
        <v>2600000</v>
      </c>
      <c r="L14" s="289">
        <v>0.44967145483493498</v>
      </c>
      <c r="M14">
        <v>0.85</v>
      </c>
      <c r="N14" s="132">
        <f t="shared" si="8"/>
        <v>12439024.390243903</v>
      </c>
      <c r="O14" s="145">
        <f t="shared" si="9"/>
        <v>47268292.682926826</v>
      </c>
      <c r="P14" s="221">
        <f t="shared" si="10"/>
        <v>61448780.487804875</v>
      </c>
      <c r="Q14">
        <v>1.25</v>
      </c>
      <c r="R14" s="130">
        <f t="shared" si="11"/>
        <v>735294.1176470588</v>
      </c>
      <c r="S14" s="147">
        <f t="shared" si="12"/>
        <v>1470588.2352941176</v>
      </c>
      <c r="T14" s="221">
        <f t="shared" si="13"/>
        <v>1911764.705882353</v>
      </c>
      <c r="U14" s="297">
        <v>0.92098202897529502</v>
      </c>
      <c r="V14">
        <v>0.7</v>
      </c>
      <c r="W14" s="132">
        <f t="shared" si="14"/>
        <v>10243902.439024391</v>
      </c>
      <c r="X14" s="145">
        <f t="shared" si="15"/>
        <v>38926829.26829268</v>
      </c>
      <c r="Y14" s="221">
        <f t="shared" si="16"/>
        <v>50604878.048780486</v>
      </c>
      <c r="AB14" s="145"/>
      <c r="AC14" s="221"/>
      <c r="AD14" s="297">
        <v>1.7807411838181499</v>
      </c>
    </row>
    <row r="15" spans="1:30" s="23" customFormat="1">
      <c r="A15" s="23">
        <v>4.5</v>
      </c>
      <c r="B15" s="23">
        <f t="shared" si="0"/>
        <v>198.23788546255508</v>
      </c>
      <c r="C15" s="23">
        <f t="shared" si="1"/>
        <v>1.9823788546255507</v>
      </c>
      <c r="D15" s="23">
        <v>1.6</v>
      </c>
      <c r="E15" s="52">
        <f t="shared" si="2"/>
        <v>23414634.146341465</v>
      </c>
      <c r="F15" s="52">
        <f t="shared" si="3"/>
        <v>88975609.75609757</v>
      </c>
      <c r="G15" s="221">
        <f t="shared" si="4"/>
        <v>115668292.68292685</v>
      </c>
      <c r="H15" s="23">
        <v>1.2</v>
      </c>
      <c r="I15" s="52">
        <f>((2000000)*H15/3.4)</f>
        <v>705882.3529411765</v>
      </c>
      <c r="J15" s="52">
        <f t="shared" si="6"/>
        <v>1411764.705882353</v>
      </c>
      <c r="K15" s="221">
        <f t="shared" si="7"/>
        <v>1835294.117647059</v>
      </c>
      <c r="L15" s="23">
        <v>3.0711715911789801</v>
      </c>
      <c r="N15" s="52"/>
      <c r="O15" s="52"/>
      <c r="P15" s="52"/>
      <c r="Q15" s="23">
        <v>1.75</v>
      </c>
      <c r="R15" s="52">
        <f t="shared" si="11"/>
        <v>1029411.7647058824</v>
      </c>
      <c r="S15" s="52">
        <f t="shared" si="12"/>
        <v>2058823.5294117648</v>
      </c>
      <c r="T15" s="221">
        <f t="shared" si="13"/>
        <v>2676470.5882352944</v>
      </c>
      <c r="U15" s="297">
        <v>3.3886333048916502</v>
      </c>
      <c r="V15" s="23">
        <v>1.5</v>
      </c>
      <c r="W15" s="52">
        <f t="shared" si="14"/>
        <v>21951219.512195125</v>
      </c>
      <c r="X15" s="52">
        <f t="shared" si="15"/>
        <v>83414634.146341473</v>
      </c>
      <c r="Y15" s="221">
        <f t="shared" si="16"/>
        <v>108439024.39024392</v>
      </c>
      <c r="AA15" s="52"/>
      <c r="AB15" s="52"/>
      <c r="AC15" s="52"/>
      <c r="AD15" s="297">
        <v>4.2481285680356704</v>
      </c>
    </row>
    <row r="16" spans="1:30">
      <c r="A16">
        <v>4.9000000000000004</v>
      </c>
      <c r="B16" s="126">
        <f t="shared" si="0"/>
        <v>215.85903083700441</v>
      </c>
      <c r="C16" s="32">
        <f t="shared" si="1"/>
        <v>2.158590308370044</v>
      </c>
      <c r="D16">
        <v>0.9</v>
      </c>
      <c r="E16" s="146">
        <f t="shared" si="2"/>
        <v>13170731.707317075</v>
      </c>
      <c r="F16" s="145">
        <f t="shared" si="3"/>
        <v>50048780.487804882</v>
      </c>
      <c r="G16" s="221">
        <f t="shared" si="4"/>
        <v>65063414.634146348</v>
      </c>
      <c r="H16">
        <v>1.9</v>
      </c>
      <c r="I16" s="130">
        <f t="shared" si="5"/>
        <v>1117647.0588235294</v>
      </c>
      <c r="J16" s="147">
        <f t="shared" si="6"/>
        <v>2235294.1176470588</v>
      </c>
      <c r="K16" s="221">
        <f t="shared" si="7"/>
        <v>2905882.3529411764</v>
      </c>
      <c r="L16" s="289">
        <v>6.1019677524343798</v>
      </c>
      <c r="S16" s="147"/>
      <c r="T16" s="221"/>
      <c r="U16" s="297">
        <v>5.0363730724910303</v>
      </c>
      <c r="V16">
        <v>0.25</v>
      </c>
      <c r="W16" s="132">
        <f t="shared" si="14"/>
        <v>3658536.5853658542</v>
      </c>
      <c r="X16" s="145">
        <f t="shared" si="15"/>
        <v>13902439.024390245</v>
      </c>
      <c r="Y16" s="221">
        <f t="shared" si="16"/>
        <v>18073170.73170732</v>
      </c>
      <c r="Z16">
        <v>0.7</v>
      </c>
      <c r="AA16" s="132">
        <f>((2000000)*Z16)/3.4</f>
        <v>411764.70588235295</v>
      </c>
      <c r="AB16" s="145">
        <f>AA16*2</f>
        <v>823529.4117647059</v>
      </c>
      <c r="AC16" s="221">
        <f>AB16*$B$2</f>
        <v>1070588.2352941178</v>
      </c>
      <c r="AD16" s="297">
        <v>6.0505088711592601</v>
      </c>
    </row>
    <row r="17" spans="1:30">
      <c r="A17">
        <v>6.3</v>
      </c>
      <c r="B17" s="126">
        <f t="shared" si="0"/>
        <v>277.53303964757708</v>
      </c>
      <c r="C17" s="32">
        <f t="shared" si="1"/>
        <v>2.7753303964757707</v>
      </c>
      <c r="D17">
        <v>0.4</v>
      </c>
      <c r="E17" s="146">
        <f t="shared" si="2"/>
        <v>5853658.5365853664</v>
      </c>
      <c r="F17" s="145">
        <f t="shared" si="3"/>
        <v>22243902.439024393</v>
      </c>
      <c r="G17" s="221">
        <f t="shared" si="4"/>
        <v>28917073.170731712</v>
      </c>
      <c r="H17">
        <v>1.25</v>
      </c>
      <c r="I17" s="130">
        <f t="shared" si="5"/>
        <v>735294.1176470588</v>
      </c>
      <c r="J17" s="147">
        <f t="shared" si="6"/>
        <v>1470588.2352941176</v>
      </c>
      <c r="K17" s="221">
        <f t="shared" si="7"/>
        <v>1911764.705882353</v>
      </c>
      <c r="L17" s="289">
        <v>7.5457192368252004</v>
      </c>
      <c r="Q17">
        <v>1.9</v>
      </c>
      <c r="R17" s="130">
        <f t="shared" si="11"/>
        <v>1117647.0588235294</v>
      </c>
      <c r="S17" s="147">
        <f t="shared" si="12"/>
        <v>2235294.1176470588</v>
      </c>
      <c r="T17" s="221">
        <f t="shared" si="13"/>
        <v>2905882.3529411764</v>
      </c>
      <c r="U17" s="297">
        <v>5.2517086987500301</v>
      </c>
      <c r="V17">
        <v>0.1</v>
      </c>
      <c r="W17" s="132">
        <f t="shared" si="14"/>
        <v>1463414.6341463416</v>
      </c>
      <c r="X17" s="145">
        <f t="shared" si="15"/>
        <v>5560975.6097560981</v>
      </c>
      <c r="Y17" s="221">
        <f t="shared" si="16"/>
        <v>7229268.292682928</v>
      </c>
      <c r="AB17" s="145"/>
      <c r="AC17" s="221"/>
      <c r="AD17" s="297">
        <v>5.4620303827309096</v>
      </c>
    </row>
    <row r="18" spans="1:30">
      <c r="A18">
        <v>6.7</v>
      </c>
      <c r="B18" s="126">
        <f t="shared" si="0"/>
        <v>295.15418502202647</v>
      </c>
      <c r="C18" s="32">
        <f t="shared" si="1"/>
        <v>2.9515418502202646</v>
      </c>
      <c r="D18">
        <v>0.35</v>
      </c>
      <c r="E18" s="146">
        <f t="shared" si="2"/>
        <v>5121951.2195121953</v>
      </c>
      <c r="F18" s="145">
        <f t="shared" si="3"/>
        <v>19463414.63414634</v>
      </c>
      <c r="G18" s="221">
        <f t="shared" si="4"/>
        <v>25302439.024390243</v>
      </c>
      <c r="H18">
        <v>1.4</v>
      </c>
      <c r="I18" s="130">
        <f t="shared" si="5"/>
        <v>823529.4117647059</v>
      </c>
      <c r="J18" s="147">
        <f t="shared" si="6"/>
        <v>1647058.8235294118</v>
      </c>
      <c r="K18" s="221">
        <f t="shared" si="7"/>
        <v>2141176.4705882357</v>
      </c>
      <c r="L18" s="289">
        <v>7.5612888470571402</v>
      </c>
      <c r="Q18">
        <v>1.35</v>
      </c>
      <c r="R18" s="130">
        <f t="shared" si="11"/>
        <v>794117.6470588235</v>
      </c>
      <c r="S18" s="147">
        <f t="shared" si="12"/>
        <v>1588235.294117647</v>
      </c>
      <c r="T18" s="221">
        <f t="shared" si="13"/>
        <v>2064705.8823529412</v>
      </c>
      <c r="U18" s="297">
        <v>3.9412225222768398</v>
      </c>
      <c r="V18">
        <v>0.1</v>
      </c>
      <c r="W18" s="132">
        <f t="shared" si="14"/>
        <v>1463414.6341463416</v>
      </c>
      <c r="X18" s="145">
        <f t="shared" si="15"/>
        <v>5560975.6097560981</v>
      </c>
      <c r="Y18" s="221">
        <f t="shared" si="16"/>
        <v>7229268.292682928</v>
      </c>
      <c r="AB18" s="145"/>
      <c r="AC18" s="221"/>
      <c r="AD18" s="297">
        <v>6.9110597010986599</v>
      </c>
    </row>
    <row r="19" spans="1:30">
      <c r="A19">
        <v>7.2</v>
      </c>
      <c r="B19" s="126">
        <f t="shared" si="0"/>
        <v>317.18061674008811</v>
      </c>
      <c r="C19" s="32">
        <f t="shared" si="1"/>
        <v>3.1718061674008813</v>
      </c>
      <c r="E19" s="146"/>
      <c r="F19" s="145"/>
      <c r="G19" s="221"/>
      <c r="H19">
        <v>0.2</v>
      </c>
      <c r="I19" s="130">
        <f t="shared" si="5"/>
        <v>117647.05882352941</v>
      </c>
      <c r="J19" s="147">
        <f t="shared" si="6"/>
        <v>235294.11764705883</v>
      </c>
      <c r="K19" s="221">
        <f t="shared" si="7"/>
        <v>305882.3529411765</v>
      </c>
      <c r="L19" s="289">
        <v>2.6286252122129001</v>
      </c>
      <c r="Q19">
        <v>0.5</v>
      </c>
      <c r="R19" s="130">
        <f t="shared" si="11"/>
        <v>294117.64705882355</v>
      </c>
      <c r="S19" s="147">
        <f t="shared" si="12"/>
        <v>588235.29411764711</v>
      </c>
      <c r="T19" s="221">
        <f t="shared" si="13"/>
        <v>764705.88235294132</v>
      </c>
      <c r="U19" s="297">
        <v>1.5530026477133601</v>
      </c>
      <c r="X19" s="145"/>
      <c r="Y19" s="221"/>
      <c r="AB19" s="145"/>
      <c r="AC19" s="221"/>
      <c r="AD19" s="181">
        <v>3.2936322933067999</v>
      </c>
    </row>
    <row r="20" spans="1:30">
      <c r="A20">
        <v>8.1</v>
      </c>
      <c r="B20" s="126">
        <f t="shared" si="0"/>
        <v>356.82819383259914</v>
      </c>
      <c r="C20" s="32">
        <f t="shared" si="1"/>
        <v>3.5682819383259914</v>
      </c>
      <c r="D20">
        <v>0.15</v>
      </c>
      <c r="E20" s="146">
        <f t="shared" si="2"/>
        <v>2195121.9512195126</v>
      </c>
      <c r="F20" s="145">
        <f t="shared" si="3"/>
        <v>8341463.4146341477</v>
      </c>
      <c r="G20" s="221">
        <f t="shared" si="4"/>
        <v>10843902.439024393</v>
      </c>
      <c r="H20">
        <v>0.75</v>
      </c>
      <c r="I20" s="130">
        <f t="shared" si="5"/>
        <v>441176.4705882353</v>
      </c>
      <c r="J20" s="147">
        <f t="shared" si="6"/>
        <v>882352.9411764706</v>
      </c>
      <c r="K20" s="221">
        <f t="shared" si="7"/>
        <v>1147058.8235294118</v>
      </c>
      <c r="L20" s="289">
        <v>0.14302930077495099</v>
      </c>
      <c r="Q20">
        <v>1.1000000000000001</v>
      </c>
      <c r="R20" s="130">
        <f t="shared" si="11"/>
        <v>647058.82352941181</v>
      </c>
      <c r="S20" s="147">
        <f t="shared" si="12"/>
        <v>1294117.6470588236</v>
      </c>
      <c r="T20" s="221">
        <f t="shared" si="13"/>
        <v>1682352.9411764708</v>
      </c>
      <c r="U20" s="297"/>
      <c r="V20">
        <v>0.05</v>
      </c>
      <c r="W20" s="132">
        <f t="shared" si="14"/>
        <v>731707.31707317079</v>
      </c>
      <c r="X20" s="145">
        <f t="shared" si="15"/>
        <v>2780487.8048780491</v>
      </c>
      <c r="Y20" s="221">
        <f t="shared" si="16"/>
        <v>3614634.146341464</v>
      </c>
      <c r="Z20">
        <v>0.45</v>
      </c>
      <c r="AA20" s="132">
        <f>((2000000)*Z20)/3.4</f>
        <v>264705.8823529412</v>
      </c>
      <c r="AB20" s="145">
        <f>AA20*2</f>
        <v>529411.76470588241</v>
      </c>
      <c r="AC20" s="221">
        <f>AB20*$B$2</f>
        <v>688235.29411764711</v>
      </c>
      <c r="AD20" s="181">
        <v>0.65497919653771397</v>
      </c>
    </row>
    <row r="21" spans="1:30">
      <c r="A21">
        <v>10.1</v>
      </c>
      <c r="B21" s="126">
        <f t="shared" si="0"/>
        <v>444.93392070484583</v>
      </c>
      <c r="C21" s="32">
        <f t="shared" si="1"/>
        <v>4.4493392070484585</v>
      </c>
      <c r="D21">
        <v>0.5</v>
      </c>
      <c r="E21" s="146">
        <f t="shared" si="2"/>
        <v>7317073.1707317084</v>
      </c>
      <c r="F21" s="145">
        <f t="shared" si="3"/>
        <v>27804878.04878049</v>
      </c>
      <c r="G21" s="221">
        <f t="shared" si="4"/>
        <v>36146341.463414639</v>
      </c>
      <c r="H21">
        <v>0.3</v>
      </c>
      <c r="I21" s="130">
        <f t="shared" si="5"/>
        <v>176470.58823529413</v>
      </c>
      <c r="J21" s="147">
        <f t="shared" si="6"/>
        <v>352941.17647058825</v>
      </c>
      <c r="K21" s="221">
        <f t="shared" si="7"/>
        <v>458823.52941176476</v>
      </c>
      <c r="L21" s="289">
        <v>0.13300141621876099</v>
      </c>
      <c r="U21" s="297">
        <v>0.33804526622270298</v>
      </c>
      <c r="V21">
        <v>0.3</v>
      </c>
      <c r="W21" s="132">
        <f t="shared" si="14"/>
        <v>4390243.9024390252</v>
      </c>
      <c r="X21" s="145">
        <f t="shared" si="15"/>
        <v>16682926.829268295</v>
      </c>
      <c r="Y21" s="221">
        <f t="shared" si="16"/>
        <v>21687804.878048785</v>
      </c>
      <c r="AB21" s="145"/>
      <c r="AC21" s="221"/>
      <c r="AD21" s="181">
        <v>0.28685027664644003</v>
      </c>
    </row>
    <row r="22" spans="1:30">
      <c r="L22" s="181"/>
      <c r="U22" s="181"/>
    </row>
    <row r="23" spans="1:30">
      <c r="L23" s="181"/>
      <c r="U23" s="181"/>
    </row>
    <row r="24" spans="1:30">
      <c r="B24" s="127" t="s">
        <v>917</v>
      </c>
      <c r="L24" s="181"/>
      <c r="M24" s="127" t="s">
        <v>776</v>
      </c>
    </row>
    <row r="25" spans="1:30">
      <c r="B25" s="127">
        <f>2*10^7</f>
        <v>20000000</v>
      </c>
      <c r="C25" s="126">
        <v>1.35</v>
      </c>
      <c r="L25" s="181"/>
      <c r="M25">
        <v>1.7</v>
      </c>
      <c r="N25" s="132">
        <v>1000000</v>
      </c>
    </row>
    <row r="26" spans="1:30">
      <c r="B26" s="129">
        <f>6*10^7</f>
        <v>60000000</v>
      </c>
      <c r="C26" s="126">
        <v>4.0999999999999996</v>
      </c>
      <c r="M26">
        <v>3.4</v>
      </c>
      <c r="N26" s="132">
        <v>2000000</v>
      </c>
    </row>
    <row r="27" spans="1:30">
      <c r="B27" s="129">
        <v>200000000</v>
      </c>
      <c r="C27" s="126">
        <v>5.65</v>
      </c>
      <c r="M27">
        <v>5.2</v>
      </c>
      <c r="N27" s="132">
        <v>3000000</v>
      </c>
    </row>
    <row r="28" spans="1:30">
      <c r="B28" s="129"/>
      <c r="M28">
        <v>6.85</v>
      </c>
      <c r="N28" s="132">
        <v>4000000</v>
      </c>
    </row>
    <row r="29" spans="1:30">
      <c r="B29" s="129"/>
    </row>
  </sheetData>
  <mergeCells count="1">
    <mergeCell ref="A3:J3"/>
  </mergeCells>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selection activeCell="B28" sqref="B28"/>
    </sheetView>
  </sheetViews>
  <sheetFormatPr baseColWidth="10" defaultColWidth="29" defaultRowHeight="13" x14ac:dyDescent="0"/>
  <cols>
    <col min="1" max="1" width="29" style="126"/>
    <col min="2" max="2" width="13.140625" style="126" customWidth="1"/>
    <col min="3" max="3" width="14.7109375" style="126" customWidth="1"/>
    <col min="4" max="4" width="17" style="126" customWidth="1"/>
    <col min="5" max="16384" width="29" style="126"/>
  </cols>
  <sheetData>
    <row r="2" spans="1:6">
      <c r="A2" s="126" t="s">
        <v>802</v>
      </c>
      <c r="B2" s="126" t="s">
        <v>803</v>
      </c>
      <c r="C2" s="126" t="s">
        <v>864</v>
      </c>
      <c r="D2" s="126" t="s">
        <v>865</v>
      </c>
      <c r="E2" s="126" t="s">
        <v>866</v>
      </c>
      <c r="F2" s="126" t="s">
        <v>878</v>
      </c>
    </row>
    <row r="3" spans="1:6">
      <c r="A3" s="126" t="s">
        <v>805</v>
      </c>
      <c r="B3" s="126" t="s">
        <v>806</v>
      </c>
      <c r="C3" s="126">
        <v>0.05</v>
      </c>
      <c r="D3" s="126">
        <v>2690625000</v>
      </c>
      <c r="E3" s="126">
        <v>73750000</v>
      </c>
      <c r="F3" s="126">
        <v>42934330.729304343</v>
      </c>
    </row>
    <row r="4" spans="1:6">
      <c r="A4" s="126" t="s">
        <v>805</v>
      </c>
      <c r="B4" s="126" t="s">
        <v>806</v>
      </c>
      <c r="C4" s="126">
        <v>0.8</v>
      </c>
      <c r="D4" s="126">
        <v>51530250</v>
      </c>
      <c r="E4" s="126">
        <v>200871666.66666666</v>
      </c>
      <c r="F4" s="126">
        <v>169896919.30841494</v>
      </c>
    </row>
    <row r="5" spans="1:6">
      <c r="A5" s="126" t="s">
        <v>805</v>
      </c>
      <c r="B5" s="126" t="s">
        <v>806</v>
      </c>
      <c r="C5" s="126">
        <v>1.6</v>
      </c>
      <c r="D5" s="126">
        <v>35882666.666666664</v>
      </c>
      <c r="E5" s="126">
        <v>125866666.66666667</v>
      </c>
      <c r="F5" s="126">
        <v>65761217.682305567</v>
      </c>
    </row>
    <row r="6" spans="1:6">
      <c r="A6" s="126" t="s">
        <v>805</v>
      </c>
      <c r="B6" s="126" t="s">
        <v>806</v>
      </c>
      <c r="C6" s="126">
        <v>3.1</v>
      </c>
      <c r="D6" s="126">
        <v>17193000</v>
      </c>
      <c r="E6" s="126">
        <v>250140000</v>
      </c>
      <c r="F6" s="126">
        <v>114044175.81280315</v>
      </c>
    </row>
    <row r="7" spans="1:6">
      <c r="A7" s="126" t="s">
        <v>805</v>
      </c>
      <c r="B7" s="126" t="s">
        <v>806</v>
      </c>
      <c r="C7" s="126">
        <v>10.55</v>
      </c>
      <c r="D7" s="126">
        <v>16048666.666666666</v>
      </c>
      <c r="E7" s="126">
        <v>69286666.666666672</v>
      </c>
      <c r="F7" s="126">
        <v>117500623.21455407</v>
      </c>
    </row>
  </sheetData>
  <phoneticPr fontId="1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D25" sqref="D25"/>
    </sheetView>
  </sheetViews>
  <sheetFormatPr baseColWidth="10" defaultRowHeight="13" x14ac:dyDescent="0"/>
  <cols>
    <col min="2" max="3" width="10.7109375" style="152"/>
    <col min="5" max="5" width="11" style="153" bestFit="1" customWidth="1"/>
    <col min="6" max="6" width="19.28515625" style="153" customWidth="1"/>
    <col min="8" max="8" width="10.7109375" style="156"/>
    <col min="9" max="9" width="24" style="152" customWidth="1"/>
    <col min="11" max="11" width="11" style="156" bestFit="1" customWidth="1"/>
    <col min="12" max="12" width="21.28515625" customWidth="1"/>
    <col min="14" max="15" width="10.7109375" style="152"/>
    <col min="16" max="16" width="10.7109375" style="30"/>
    <col min="18" max="19" width="10.7109375" style="152"/>
    <col min="21" max="22" width="10.7109375" style="152"/>
  </cols>
  <sheetData>
    <row r="1" spans="1:25">
      <c r="A1" s="152" t="s">
        <v>602</v>
      </c>
    </row>
    <row r="2" spans="1:25">
      <c r="A2" s="152" t="s">
        <v>780</v>
      </c>
    </row>
    <row r="4" spans="1:25">
      <c r="M4" s="152" t="s">
        <v>536</v>
      </c>
      <c r="Q4" s="152" t="s">
        <v>600</v>
      </c>
    </row>
    <row r="5" spans="1:25">
      <c r="A5" s="155" t="s">
        <v>836</v>
      </c>
      <c r="D5" s="152" t="s">
        <v>696</v>
      </c>
      <c r="E5" s="171">
        <v>34972</v>
      </c>
      <c r="G5" s="152" t="s">
        <v>705</v>
      </c>
      <c r="H5" s="171">
        <v>35124</v>
      </c>
      <c r="J5" s="152" t="s">
        <v>630</v>
      </c>
      <c r="K5" s="171">
        <v>35246</v>
      </c>
      <c r="Q5" s="152" t="s">
        <v>537</v>
      </c>
      <c r="R5" s="171">
        <v>34972</v>
      </c>
      <c r="T5" s="152" t="s">
        <v>599</v>
      </c>
      <c r="U5" s="171">
        <v>35124</v>
      </c>
      <c r="W5" s="152" t="s">
        <v>758</v>
      </c>
      <c r="X5" s="171">
        <v>35246</v>
      </c>
    </row>
    <row r="6" spans="1:25">
      <c r="A6" s="152" t="s">
        <v>932</v>
      </c>
      <c r="B6" s="152" t="s">
        <v>889</v>
      </c>
      <c r="C6" s="151" t="s">
        <v>897</v>
      </c>
      <c r="D6" s="152" t="s">
        <v>525</v>
      </c>
      <c r="E6" s="153" t="s">
        <v>620</v>
      </c>
      <c r="F6" s="154" t="s">
        <v>687</v>
      </c>
      <c r="G6" s="152" t="s">
        <v>716</v>
      </c>
      <c r="H6" s="156" t="s">
        <v>540</v>
      </c>
      <c r="I6" s="151" t="s">
        <v>541</v>
      </c>
      <c r="J6" s="152" t="s">
        <v>631</v>
      </c>
      <c r="K6" s="156" t="s">
        <v>801</v>
      </c>
      <c r="L6" s="151" t="s">
        <v>535</v>
      </c>
      <c r="M6" s="152" t="s">
        <v>503</v>
      </c>
      <c r="N6" s="30" t="s">
        <v>932</v>
      </c>
      <c r="O6" s="151" t="s">
        <v>897</v>
      </c>
      <c r="Q6" s="152" t="s">
        <v>502</v>
      </c>
      <c r="R6" s="152" t="s">
        <v>603</v>
      </c>
      <c r="S6" s="151" t="s">
        <v>947</v>
      </c>
      <c r="T6" s="152" t="s">
        <v>502</v>
      </c>
      <c r="U6" s="152" t="s">
        <v>603</v>
      </c>
      <c r="V6" s="151" t="s">
        <v>947</v>
      </c>
      <c r="W6" s="152" t="s">
        <v>502</v>
      </c>
      <c r="X6" s="152" t="s">
        <v>603</v>
      </c>
      <c r="Y6" s="151" t="s">
        <v>947</v>
      </c>
    </row>
    <row r="7" spans="1:25">
      <c r="A7">
        <v>0.4</v>
      </c>
      <c r="B7" s="152">
        <f>(12*A7)/9.8</f>
        <v>0.48979591836734698</v>
      </c>
      <c r="C7" s="151">
        <f>B7/100</f>
        <v>4.89795918367347E-3</v>
      </c>
      <c r="D7">
        <v>5.7</v>
      </c>
      <c r="E7" s="153">
        <f>(1000000000*D7)/2.75</f>
        <v>2072727272.7272727</v>
      </c>
      <c r="F7" s="154">
        <f>E7/2</f>
        <v>1036363636.3636364</v>
      </c>
      <c r="G7">
        <v>1.65</v>
      </c>
      <c r="H7" s="156">
        <f>(1000000000*G7)/2.75</f>
        <v>600000000</v>
      </c>
      <c r="I7" s="157">
        <f>H7/2</f>
        <v>300000000</v>
      </c>
      <c r="J7">
        <v>4.5999999999999996</v>
      </c>
      <c r="K7" s="156">
        <f>(1000000000*J7)/2.75</f>
        <v>1672727272.7272727</v>
      </c>
      <c r="L7" s="157">
        <f>K7/2</f>
        <v>836363636.36363637</v>
      </c>
      <c r="M7">
        <v>0.4</v>
      </c>
      <c r="N7" s="30">
        <f>(12*M7)/9.7</f>
        <v>0.4948453608247424</v>
      </c>
      <c r="O7" s="151">
        <f>N7/100</f>
        <v>4.948453608247424E-3</v>
      </c>
      <c r="Q7">
        <v>4.2</v>
      </c>
      <c r="R7" s="152">
        <f>(1500*Q7)/4.1</f>
        <v>1536.5853658536587</v>
      </c>
      <c r="S7" s="151">
        <f>R7/2</f>
        <v>768.29268292682934</v>
      </c>
      <c r="T7">
        <v>1.2</v>
      </c>
      <c r="U7" s="152">
        <f>(1500*T7)/4.1</f>
        <v>439.02439024390247</v>
      </c>
      <c r="V7" s="151">
        <f>U7/2</f>
        <v>219.51219512195124</v>
      </c>
      <c r="W7">
        <v>3.4</v>
      </c>
      <c r="X7">
        <f>(1500*W7)/4.1</f>
        <v>1243.9024390243903</v>
      </c>
      <c r="Y7" s="151">
        <f>X7/2</f>
        <v>621.95121951219517</v>
      </c>
    </row>
    <row r="8" spans="1:25">
      <c r="A8">
        <v>1.2</v>
      </c>
      <c r="B8" s="152">
        <f t="shared" ref="B8:B18" si="0">(12*A8)/9.8</f>
        <v>1.4693877551020407</v>
      </c>
      <c r="C8" s="151">
        <f t="shared" ref="C8:C18" si="1">B8/100</f>
        <v>1.4693877551020407E-2</v>
      </c>
      <c r="D8">
        <v>3.8</v>
      </c>
      <c r="E8" s="153">
        <f>(1000000000*D8)/2.75</f>
        <v>1381818181.8181818</v>
      </c>
      <c r="F8" s="154">
        <f t="shared" ref="F8:F18" si="2">E8/2</f>
        <v>690909090.90909088</v>
      </c>
      <c r="G8">
        <v>1.5</v>
      </c>
      <c r="H8" s="156">
        <f t="shared" ref="H8:H18" si="3">(1000000000*G8)/2.75</f>
        <v>545454545.4545455</v>
      </c>
      <c r="I8" s="157">
        <f t="shared" ref="I8:I18" si="4">H8/2</f>
        <v>272727272.72727275</v>
      </c>
      <c r="J8">
        <v>3.5</v>
      </c>
      <c r="K8" s="156">
        <f t="shared" ref="K8:K18" si="5">(1000000000*J8)/2.75</f>
        <v>1272727272.7272727</v>
      </c>
      <c r="L8" s="157">
        <f t="shared" ref="L8:L18" si="6">K8/2</f>
        <v>636363636.36363637</v>
      </c>
      <c r="M8">
        <v>1.2</v>
      </c>
      <c r="N8" s="30">
        <f t="shared" ref="N8:N18" si="7">(12*M8)/9.7</f>
        <v>1.4845360824742269</v>
      </c>
      <c r="O8" s="151">
        <f t="shared" ref="O8:O18" si="8">N8/100</f>
        <v>1.4845360824742269E-2</v>
      </c>
      <c r="Q8">
        <v>7.55</v>
      </c>
      <c r="R8" s="152">
        <f t="shared" ref="R8:R18" si="9">(1500*Q8)/4.1</f>
        <v>2762.1951219512198</v>
      </c>
      <c r="S8" s="151">
        <f t="shared" ref="S8:S18" si="10">R8/2</f>
        <v>1381.0975609756099</v>
      </c>
      <c r="T8">
        <v>1.6</v>
      </c>
      <c r="U8" s="152">
        <f t="shared" ref="U8:U18" si="11">(1500*T8)/4.1</f>
        <v>585.36585365853659</v>
      </c>
      <c r="V8" s="151">
        <f t="shared" ref="V8:V18" si="12">U8/2</f>
        <v>292.6829268292683</v>
      </c>
      <c r="W8">
        <v>4.7</v>
      </c>
      <c r="X8" s="152">
        <f t="shared" ref="X8:X18" si="13">(1500*W8)/4.1</f>
        <v>1719.5121951219514</v>
      </c>
      <c r="Y8" s="151">
        <f t="shared" ref="Y8:Y18" si="14">X8/2</f>
        <v>859.75609756097572</v>
      </c>
    </row>
    <row r="9" spans="1:25">
      <c r="A9">
        <v>2.1</v>
      </c>
      <c r="B9" s="152">
        <f t="shared" si="0"/>
        <v>2.5714285714285716</v>
      </c>
      <c r="C9" s="151">
        <f t="shared" si="1"/>
        <v>2.5714285714285717E-2</v>
      </c>
      <c r="D9">
        <v>3.9</v>
      </c>
      <c r="E9" s="153">
        <f t="shared" ref="E9:E18" si="15">(1000000000*D9)/2.75</f>
        <v>1418181818.1818182</v>
      </c>
      <c r="F9" s="154">
        <f t="shared" si="2"/>
        <v>709090909.09090912</v>
      </c>
      <c r="G9">
        <v>0.9</v>
      </c>
      <c r="H9" s="156">
        <f t="shared" si="3"/>
        <v>327272727.27272725</v>
      </c>
      <c r="I9" s="157">
        <f t="shared" si="4"/>
        <v>163636363.63636363</v>
      </c>
      <c r="J9">
        <v>6.85</v>
      </c>
      <c r="K9" s="156">
        <f t="shared" si="5"/>
        <v>2490909090.909091</v>
      </c>
      <c r="L9" s="157">
        <f t="shared" si="6"/>
        <v>1245454545.4545455</v>
      </c>
      <c r="M9">
        <v>2</v>
      </c>
      <c r="N9" s="30">
        <f t="shared" si="7"/>
        <v>2.4742268041237114</v>
      </c>
      <c r="O9" s="151">
        <f t="shared" si="8"/>
        <v>2.4742268041237116E-2</v>
      </c>
      <c r="Q9">
        <v>2.1</v>
      </c>
      <c r="R9" s="152">
        <f t="shared" si="9"/>
        <v>768.29268292682934</v>
      </c>
      <c r="S9" s="151">
        <f t="shared" si="10"/>
        <v>384.14634146341467</v>
      </c>
      <c r="T9">
        <v>1.05</v>
      </c>
      <c r="U9" s="152">
        <f t="shared" si="11"/>
        <v>384.14634146341467</v>
      </c>
      <c r="V9" s="151">
        <f t="shared" si="12"/>
        <v>192.07317073170734</v>
      </c>
      <c r="X9" s="152"/>
      <c r="Y9" s="151"/>
    </row>
    <row r="10" spans="1:25">
      <c r="A10">
        <v>2.9</v>
      </c>
      <c r="B10" s="152">
        <f t="shared" si="0"/>
        <v>3.5510204081632648</v>
      </c>
      <c r="C10" s="151">
        <f t="shared" si="1"/>
        <v>3.5510204081632649E-2</v>
      </c>
      <c r="D10">
        <v>4.3</v>
      </c>
      <c r="E10" s="153">
        <f t="shared" si="15"/>
        <v>1563636363.6363637</v>
      </c>
      <c r="F10" s="154">
        <f t="shared" si="2"/>
        <v>781818181.81818187</v>
      </c>
      <c r="G10">
        <v>2.2000000000000002</v>
      </c>
      <c r="H10" s="156">
        <f t="shared" si="3"/>
        <v>800000000</v>
      </c>
      <c r="I10" s="157">
        <f t="shared" si="4"/>
        <v>400000000</v>
      </c>
      <c r="J10">
        <v>3.75</v>
      </c>
      <c r="K10" s="156">
        <f t="shared" si="5"/>
        <v>1363636363.6363637</v>
      </c>
      <c r="L10" s="157">
        <f t="shared" si="6"/>
        <v>681818181.81818187</v>
      </c>
      <c r="M10">
        <v>2.9</v>
      </c>
      <c r="N10" s="30">
        <f t="shared" si="7"/>
        <v>3.5876288659793816</v>
      </c>
      <c r="O10" s="151">
        <f t="shared" si="8"/>
        <v>3.5876288659793816E-2</v>
      </c>
      <c r="Q10">
        <v>3.4</v>
      </c>
      <c r="R10" s="152">
        <f t="shared" si="9"/>
        <v>1243.9024390243903</v>
      </c>
      <c r="S10" s="151">
        <f t="shared" si="10"/>
        <v>621.95121951219517</v>
      </c>
      <c r="T10">
        <v>1.3</v>
      </c>
      <c r="U10" s="152">
        <f t="shared" si="11"/>
        <v>475.60975609756099</v>
      </c>
      <c r="V10" s="151">
        <f t="shared" si="12"/>
        <v>237.80487804878049</v>
      </c>
      <c r="X10" s="152"/>
      <c r="Y10" s="151"/>
    </row>
    <row r="11" spans="1:25">
      <c r="A11">
        <v>3.7</v>
      </c>
      <c r="B11" s="152">
        <f t="shared" si="0"/>
        <v>4.5306122448979593</v>
      </c>
      <c r="C11" s="151">
        <f t="shared" si="1"/>
        <v>4.5306122448979594E-2</v>
      </c>
      <c r="D11">
        <v>3.2</v>
      </c>
      <c r="E11" s="153">
        <f t="shared" si="15"/>
        <v>1163636363.6363637</v>
      </c>
      <c r="F11" s="154">
        <f t="shared" si="2"/>
        <v>581818181.81818187</v>
      </c>
      <c r="G11">
        <v>2.7</v>
      </c>
      <c r="H11" s="156">
        <f t="shared" si="3"/>
        <v>981818181.81818187</v>
      </c>
      <c r="I11" s="157">
        <f t="shared" si="4"/>
        <v>490909090.90909094</v>
      </c>
      <c r="J11">
        <v>5.3</v>
      </c>
      <c r="K11" s="156">
        <f t="shared" si="5"/>
        <v>1927272727.2727273</v>
      </c>
      <c r="L11" s="157">
        <f t="shared" si="6"/>
        <v>963636363.63636363</v>
      </c>
      <c r="M11">
        <v>3.6</v>
      </c>
      <c r="N11" s="30">
        <f t="shared" si="7"/>
        <v>4.4536082474226815</v>
      </c>
      <c r="O11" s="151">
        <f t="shared" si="8"/>
        <v>4.4536082474226815E-2</v>
      </c>
      <c r="Q11">
        <v>3.75</v>
      </c>
      <c r="R11" s="152">
        <f t="shared" si="9"/>
        <v>1371.9512195121952</v>
      </c>
      <c r="S11" s="151">
        <f t="shared" si="10"/>
        <v>685.97560975609758</v>
      </c>
      <c r="T11">
        <v>1.75</v>
      </c>
      <c r="U11" s="152">
        <f t="shared" si="11"/>
        <v>640.2439024390244</v>
      </c>
      <c r="V11" s="151">
        <f t="shared" si="12"/>
        <v>320.1219512195122</v>
      </c>
      <c r="W11">
        <v>3.75</v>
      </c>
      <c r="X11" s="152">
        <f t="shared" si="13"/>
        <v>1371.9512195121952</v>
      </c>
      <c r="Y11" s="151">
        <f t="shared" si="14"/>
        <v>685.97560975609758</v>
      </c>
    </row>
    <row r="12" spans="1:25">
      <c r="A12">
        <v>4.5</v>
      </c>
      <c r="B12" s="152">
        <f t="shared" si="0"/>
        <v>5.5102040816326525</v>
      </c>
      <c r="C12" s="151">
        <f t="shared" si="1"/>
        <v>5.5102040816326525E-2</v>
      </c>
      <c r="D12">
        <v>3.8</v>
      </c>
      <c r="E12" s="153">
        <f t="shared" si="15"/>
        <v>1381818181.8181818</v>
      </c>
      <c r="F12" s="154">
        <f t="shared" si="2"/>
        <v>690909090.90909088</v>
      </c>
      <c r="G12">
        <v>2.75</v>
      </c>
      <c r="H12" s="156">
        <f t="shared" si="3"/>
        <v>1000000000</v>
      </c>
      <c r="I12" s="157">
        <f t="shared" si="4"/>
        <v>500000000</v>
      </c>
      <c r="J12">
        <v>4.9000000000000004</v>
      </c>
      <c r="K12" s="156">
        <f t="shared" si="5"/>
        <v>1781818181.8181818</v>
      </c>
      <c r="L12" s="157">
        <f t="shared" si="6"/>
        <v>890909090.90909088</v>
      </c>
      <c r="M12">
        <v>4.4000000000000004</v>
      </c>
      <c r="N12" s="30">
        <f t="shared" si="7"/>
        <v>5.443298969072166</v>
      </c>
      <c r="O12" s="151">
        <f t="shared" si="8"/>
        <v>5.4432989690721661E-2</v>
      </c>
      <c r="Q12">
        <v>2</v>
      </c>
      <c r="R12" s="152">
        <f t="shared" si="9"/>
        <v>731.70731707317077</v>
      </c>
      <c r="S12" s="151">
        <f t="shared" si="10"/>
        <v>365.85365853658539</v>
      </c>
      <c r="T12">
        <v>1.1499999999999999</v>
      </c>
      <c r="U12" s="152">
        <f t="shared" si="11"/>
        <v>420.73170731707313</v>
      </c>
      <c r="V12" s="151">
        <f t="shared" si="12"/>
        <v>210.36585365853657</v>
      </c>
      <c r="W12">
        <v>3.3</v>
      </c>
      <c r="X12" s="152">
        <f t="shared" si="13"/>
        <v>1207.3170731707319</v>
      </c>
      <c r="Y12" s="151">
        <f t="shared" si="14"/>
        <v>603.65853658536594</v>
      </c>
    </row>
    <row r="13" spans="1:25">
      <c r="A13">
        <v>5.3</v>
      </c>
      <c r="B13" s="152">
        <f t="shared" si="0"/>
        <v>6.4897959183673457</v>
      </c>
      <c r="C13" s="151">
        <f t="shared" si="1"/>
        <v>6.4897959183673457E-2</v>
      </c>
      <c r="D13">
        <v>3.1</v>
      </c>
      <c r="E13" s="153">
        <f t="shared" si="15"/>
        <v>1127272727.2727273</v>
      </c>
      <c r="F13" s="154">
        <f t="shared" si="2"/>
        <v>563636363.63636363</v>
      </c>
      <c r="G13">
        <v>1.5</v>
      </c>
      <c r="H13" s="156">
        <f t="shared" si="3"/>
        <v>545454545.4545455</v>
      </c>
      <c r="I13" s="157">
        <f t="shared" si="4"/>
        <v>272727272.72727275</v>
      </c>
      <c r="J13">
        <v>3.1</v>
      </c>
      <c r="K13" s="156">
        <f t="shared" si="5"/>
        <v>1127272727.2727273</v>
      </c>
      <c r="L13" s="157">
        <f t="shared" si="6"/>
        <v>563636363.63636363</v>
      </c>
      <c r="M13">
        <v>5.3</v>
      </c>
      <c r="N13" s="30">
        <f t="shared" si="7"/>
        <v>6.5567010309278349</v>
      </c>
      <c r="O13" s="151">
        <f t="shared" si="8"/>
        <v>6.5567010309278348E-2</v>
      </c>
      <c r="Q13">
        <v>2.2999999999999998</v>
      </c>
      <c r="R13" s="152">
        <f t="shared" si="9"/>
        <v>841.46341463414626</v>
      </c>
      <c r="S13" s="151">
        <f t="shared" si="10"/>
        <v>420.73170731707313</v>
      </c>
      <c r="T13">
        <v>2.5</v>
      </c>
      <c r="U13" s="152">
        <f t="shared" si="11"/>
        <v>914.63414634146352</v>
      </c>
      <c r="V13" s="151">
        <f t="shared" si="12"/>
        <v>457.31707317073176</v>
      </c>
      <c r="W13">
        <v>2.7</v>
      </c>
      <c r="X13" s="152">
        <f t="shared" si="13"/>
        <v>987.80487804878067</v>
      </c>
      <c r="Y13" s="151">
        <f t="shared" si="14"/>
        <v>493.90243902439033</v>
      </c>
    </row>
    <row r="14" spans="1:25">
      <c r="A14">
        <v>6.2</v>
      </c>
      <c r="B14" s="152">
        <f t="shared" si="0"/>
        <v>7.591836734693878</v>
      </c>
      <c r="C14" s="151">
        <f t="shared" si="1"/>
        <v>7.5918367346938784E-2</v>
      </c>
      <c r="D14">
        <v>3.35</v>
      </c>
      <c r="E14" s="153">
        <f t="shared" si="15"/>
        <v>1218181818.1818182</v>
      </c>
      <c r="F14" s="154">
        <f t="shared" si="2"/>
        <v>609090909.09090912</v>
      </c>
      <c r="G14">
        <v>1.25</v>
      </c>
      <c r="H14" s="156">
        <f t="shared" si="3"/>
        <v>454545454.54545456</v>
      </c>
      <c r="I14" s="157">
        <f t="shared" si="4"/>
        <v>227272727.27272728</v>
      </c>
      <c r="J14">
        <v>2.7</v>
      </c>
      <c r="K14" s="156">
        <f t="shared" si="5"/>
        <v>981818181.81818187</v>
      </c>
      <c r="L14" s="157">
        <f t="shared" si="6"/>
        <v>490909090.90909094</v>
      </c>
      <c r="M14">
        <v>6.1</v>
      </c>
      <c r="N14" s="30">
        <f t="shared" si="7"/>
        <v>7.5463917525773185</v>
      </c>
      <c r="O14" s="151">
        <f t="shared" si="8"/>
        <v>7.546391752577318E-2</v>
      </c>
      <c r="Q14">
        <v>3.1</v>
      </c>
      <c r="R14" s="152">
        <f t="shared" si="9"/>
        <v>1134.1463414634147</v>
      </c>
      <c r="S14" s="151">
        <f t="shared" si="10"/>
        <v>567.07317073170736</v>
      </c>
      <c r="T14">
        <v>2.7</v>
      </c>
      <c r="U14" s="152">
        <f t="shared" si="11"/>
        <v>987.80487804878067</v>
      </c>
      <c r="V14" s="151">
        <f t="shared" si="12"/>
        <v>493.90243902439033</v>
      </c>
      <c r="W14">
        <v>5.15</v>
      </c>
      <c r="X14" s="152">
        <f t="shared" si="13"/>
        <v>1884.146341463415</v>
      </c>
      <c r="Y14" s="151">
        <f t="shared" si="14"/>
        <v>942.07317073170748</v>
      </c>
    </row>
    <row r="15" spans="1:25">
      <c r="A15">
        <v>7</v>
      </c>
      <c r="B15" s="152">
        <f t="shared" si="0"/>
        <v>8.5714285714285712</v>
      </c>
      <c r="C15" s="151">
        <f t="shared" si="1"/>
        <v>8.5714285714285715E-2</v>
      </c>
      <c r="D15">
        <v>3.3</v>
      </c>
      <c r="E15" s="153">
        <f t="shared" si="15"/>
        <v>1200000000</v>
      </c>
      <c r="F15" s="154">
        <f t="shared" si="2"/>
        <v>600000000</v>
      </c>
      <c r="G15">
        <v>0.9</v>
      </c>
      <c r="H15" s="156">
        <f t="shared" si="3"/>
        <v>327272727.27272725</v>
      </c>
      <c r="I15" s="157">
        <f t="shared" si="4"/>
        <v>163636363.63636363</v>
      </c>
      <c r="J15">
        <v>3.3</v>
      </c>
      <c r="K15" s="156">
        <f t="shared" si="5"/>
        <v>1200000000</v>
      </c>
      <c r="L15" s="157">
        <f t="shared" si="6"/>
        <v>600000000</v>
      </c>
      <c r="M15">
        <v>6.9</v>
      </c>
      <c r="N15" s="30">
        <f t="shared" si="7"/>
        <v>8.5360824742268058</v>
      </c>
      <c r="O15" s="151">
        <f t="shared" si="8"/>
        <v>8.5360824742268054E-2</v>
      </c>
      <c r="Q15">
        <v>2.25</v>
      </c>
      <c r="R15" s="152">
        <f t="shared" si="9"/>
        <v>823.17073170731715</v>
      </c>
      <c r="S15" s="151">
        <f t="shared" si="10"/>
        <v>411.58536585365857</v>
      </c>
      <c r="T15">
        <v>1</v>
      </c>
      <c r="U15" s="152">
        <f t="shared" si="11"/>
        <v>365.85365853658539</v>
      </c>
      <c r="V15" s="151">
        <f t="shared" si="12"/>
        <v>182.92682926829269</v>
      </c>
      <c r="W15">
        <v>1.8</v>
      </c>
      <c r="X15" s="152">
        <f t="shared" si="13"/>
        <v>658.53658536585374</v>
      </c>
      <c r="Y15" s="151">
        <f t="shared" si="14"/>
        <v>329.26829268292687</v>
      </c>
    </row>
    <row r="16" spans="1:25">
      <c r="A16">
        <v>7.8</v>
      </c>
      <c r="B16" s="152">
        <f t="shared" si="0"/>
        <v>9.5510204081632644</v>
      </c>
      <c r="C16" s="151">
        <f t="shared" si="1"/>
        <v>9.5510204081632646E-2</v>
      </c>
      <c r="D16">
        <v>3.1</v>
      </c>
      <c r="E16" s="153">
        <f t="shared" si="15"/>
        <v>1127272727.2727273</v>
      </c>
      <c r="F16" s="154">
        <f t="shared" si="2"/>
        <v>563636363.63636363</v>
      </c>
      <c r="G16">
        <v>1.65</v>
      </c>
      <c r="H16" s="156">
        <f t="shared" si="3"/>
        <v>600000000</v>
      </c>
      <c r="I16" s="157">
        <f t="shared" si="4"/>
        <v>300000000</v>
      </c>
      <c r="J16">
        <v>3.5</v>
      </c>
      <c r="K16" s="156">
        <f t="shared" si="5"/>
        <v>1272727272.7272727</v>
      </c>
      <c r="L16" s="157">
        <f t="shared" si="6"/>
        <v>636363636.36363637</v>
      </c>
      <c r="M16">
        <v>7.6</v>
      </c>
      <c r="N16" s="30">
        <f t="shared" si="7"/>
        <v>9.4020618556701034</v>
      </c>
      <c r="O16" s="151">
        <f t="shared" si="8"/>
        <v>9.4020618556701033E-2</v>
      </c>
      <c r="Q16">
        <v>1.1000000000000001</v>
      </c>
      <c r="R16" s="152">
        <f t="shared" si="9"/>
        <v>402.43902439024401</v>
      </c>
      <c r="S16" s="151">
        <f t="shared" si="10"/>
        <v>201.21951219512201</v>
      </c>
      <c r="T16">
        <v>0.6</v>
      </c>
      <c r="U16" s="152">
        <f t="shared" si="11"/>
        <v>219.51219512195124</v>
      </c>
      <c r="V16" s="151">
        <f t="shared" si="12"/>
        <v>109.75609756097562</v>
      </c>
      <c r="W16">
        <v>1.1000000000000001</v>
      </c>
      <c r="X16" s="152">
        <f t="shared" si="13"/>
        <v>402.43902439024401</v>
      </c>
      <c r="Y16" s="151">
        <f t="shared" si="14"/>
        <v>201.21951219512201</v>
      </c>
    </row>
    <row r="17" spans="1:25">
      <c r="A17">
        <v>8.6</v>
      </c>
      <c r="B17" s="152">
        <f t="shared" si="0"/>
        <v>10.530612244897958</v>
      </c>
      <c r="C17" s="151">
        <f t="shared" si="1"/>
        <v>0.10530612244897958</v>
      </c>
      <c r="D17">
        <v>3.1</v>
      </c>
      <c r="E17" s="153">
        <f t="shared" si="15"/>
        <v>1127272727.2727273</v>
      </c>
      <c r="F17" s="154">
        <f t="shared" si="2"/>
        <v>563636363.63636363</v>
      </c>
      <c r="G17">
        <v>1.55</v>
      </c>
      <c r="H17" s="156">
        <f t="shared" si="3"/>
        <v>563636363.63636363</v>
      </c>
      <c r="I17" s="157">
        <f t="shared" si="4"/>
        <v>281818181.81818181</v>
      </c>
      <c r="J17">
        <v>4.3</v>
      </c>
      <c r="K17" s="156">
        <f t="shared" si="5"/>
        <v>1563636363.6363637</v>
      </c>
      <c r="L17" s="157">
        <f t="shared" si="6"/>
        <v>781818181.81818187</v>
      </c>
      <c r="M17">
        <v>8.5</v>
      </c>
      <c r="N17" s="30">
        <f t="shared" si="7"/>
        <v>10.515463917525773</v>
      </c>
      <c r="O17" s="151">
        <f t="shared" si="8"/>
        <v>0.10515463917525773</v>
      </c>
      <c r="Q17">
        <v>0.5</v>
      </c>
      <c r="R17" s="152">
        <f t="shared" si="9"/>
        <v>182.92682926829269</v>
      </c>
      <c r="S17" s="151">
        <f t="shared" si="10"/>
        <v>91.463414634146346</v>
      </c>
      <c r="T17">
        <v>1.5</v>
      </c>
      <c r="U17" s="152">
        <f t="shared" si="11"/>
        <v>548.78048780487813</v>
      </c>
      <c r="V17" s="151">
        <f t="shared" si="12"/>
        <v>274.39024390243907</v>
      </c>
      <c r="W17">
        <v>1.5</v>
      </c>
      <c r="X17" s="152">
        <f t="shared" si="13"/>
        <v>548.78048780487813</v>
      </c>
      <c r="Y17" s="151">
        <f t="shared" si="14"/>
        <v>274.39024390243907</v>
      </c>
    </row>
    <row r="18" spans="1:25">
      <c r="A18">
        <v>9.4</v>
      </c>
      <c r="B18" s="152">
        <f t="shared" si="0"/>
        <v>11.510204081632653</v>
      </c>
      <c r="C18" s="151">
        <f t="shared" si="1"/>
        <v>0.11510204081632652</v>
      </c>
      <c r="D18">
        <v>3.3</v>
      </c>
      <c r="E18" s="153">
        <f t="shared" si="15"/>
        <v>1200000000</v>
      </c>
      <c r="F18" s="154">
        <f t="shared" si="2"/>
        <v>600000000</v>
      </c>
      <c r="G18">
        <v>1.4</v>
      </c>
      <c r="H18" s="156">
        <f t="shared" si="3"/>
        <v>509090909.09090906</v>
      </c>
      <c r="I18" s="157">
        <f t="shared" si="4"/>
        <v>254545454.54545453</v>
      </c>
      <c r="J18">
        <v>3.2</v>
      </c>
      <c r="K18" s="156">
        <f t="shared" si="5"/>
        <v>1163636363.6363637</v>
      </c>
      <c r="L18" s="157">
        <f t="shared" si="6"/>
        <v>581818181.81818187</v>
      </c>
      <c r="M18">
        <v>9.4</v>
      </c>
      <c r="N18" s="30">
        <f t="shared" si="7"/>
        <v>11.628865979381445</v>
      </c>
      <c r="O18" s="151">
        <f t="shared" si="8"/>
        <v>0.11628865979381445</v>
      </c>
      <c r="Q18">
        <v>0.3</v>
      </c>
      <c r="R18" s="152">
        <f t="shared" si="9"/>
        <v>109.75609756097562</v>
      </c>
      <c r="S18" s="151">
        <f t="shared" si="10"/>
        <v>54.878048780487809</v>
      </c>
      <c r="T18">
        <v>1.75</v>
      </c>
      <c r="U18" s="152">
        <f t="shared" si="11"/>
        <v>640.2439024390244</v>
      </c>
      <c r="V18" s="151">
        <f t="shared" si="12"/>
        <v>320.1219512195122</v>
      </c>
      <c r="W18">
        <v>4.25</v>
      </c>
      <c r="X18" s="152">
        <f t="shared" si="13"/>
        <v>1554.8780487804879</v>
      </c>
      <c r="Y18" s="151">
        <f t="shared" si="14"/>
        <v>777.43902439024396</v>
      </c>
    </row>
    <row r="23" spans="1:25">
      <c r="B23" s="152" t="s">
        <v>890</v>
      </c>
      <c r="C23" s="152" t="s">
        <v>891</v>
      </c>
    </row>
    <row r="24" spans="1:25">
      <c r="B24" s="152">
        <v>2.75</v>
      </c>
      <c r="C24" s="148">
        <v>1000000000</v>
      </c>
    </row>
    <row r="25" spans="1:25">
      <c r="B25" s="152">
        <v>5.6</v>
      </c>
      <c r="C25" s="148">
        <v>2000000000</v>
      </c>
    </row>
    <row r="26" spans="1:25">
      <c r="B26" s="152">
        <v>8.4</v>
      </c>
      <c r="C26" s="148">
        <v>3000000000</v>
      </c>
    </row>
    <row r="27" spans="1:25">
      <c r="B27" s="152">
        <v>0</v>
      </c>
      <c r="C27" s="148">
        <v>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C61" sqref="C61"/>
    </sheetView>
  </sheetViews>
  <sheetFormatPr baseColWidth="10" defaultRowHeight="13" x14ac:dyDescent="0"/>
  <cols>
    <col min="2" max="3" width="10.7109375" style="174"/>
    <col min="4" max="4" width="16.5703125" customWidth="1"/>
    <col min="5" max="5" width="12" style="178" bestFit="1" customWidth="1"/>
    <col min="6" max="6" width="12" style="179" bestFit="1" customWidth="1"/>
    <col min="7" max="7" width="19.85546875" customWidth="1"/>
    <col min="12" max="12" width="12" bestFit="1" customWidth="1"/>
  </cols>
  <sheetData>
    <row r="1" spans="1:12" ht="25">
      <c r="A1" s="174" t="s">
        <v>580</v>
      </c>
      <c r="D1" s="188" t="s">
        <v>1274</v>
      </c>
      <c r="E1" s="187"/>
      <c r="F1" s="187"/>
      <c r="G1" s="188"/>
      <c r="H1" s="42"/>
      <c r="I1" s="42"/>
      <c r="J1" s="42"/>
      <c r="K1" s="42"/>
    </row>
    <row r="2" spans="1:12">
      <c r="A2" s="174" t="s">
        <v>708</v>
      </c>
    </row>
    <row r="3" spans="1:12">
      <c r="A3" s="174" t="s">
        <v>542</v>
      </c>
      <c r="D3" s="174" t="s">
        <v>543</v>
      </c>
      <c r="G3" s="174" t="s">
        <v>673</v>
      </c>
    </row>
    <row r="4" spans="1:12">
      <c r="D4" s="174" t="s">
        <v>526</v>
      </c>
      <c r="G4" s="174" t="s">
        <v>565</v>
      </c>
    </row>
    <row r="5" spans="1:12" s="43" customFormat="1" ht="26">
      <c r="A5" s="43" t="s">
        <v>932</v>
      </c>
      <c r="B5" s="43" t="s">
        <v>706</v>
      </c>
      <c r="C5" s="287" t="s">
        <v>1111</v>
      </c>
      <c r="D5" s="43" t="s">
        <v>594</v>
      </c>
      <c r="E5" s="262" t="s">
        <v>707</v>
      </c>
      <c r="F5" s="233" t="s">
        <v>1119</v>
      </c>
      <c r="G5" s="43" t="s">
        <v>594</v>
      </c>
      <c r="H5" s="262" t="s">
        <v>707</v>
      </c>
      <c r="I5" s="51" t="s">
        <v>629</v>
      </c>
    </row>
    <row r="6" spans="1:12">
      <c r="A6">
        <v>0.2</v>
      </c>
      <c r="B6" s="174">
        <f>(25*A6)/5.45</f>
        <v>0.9174311926605504</v>
      </c>
      <c r="C6" s="35">
        <f>B6/100</f>
        <v>9.1743119266055034E-3</v>
      </c>
      <c r="D6">
        <v>4.7</v>
      </c>
      <c r="E6" s="178">
        <f>1000000000*EXP(0.7196*D6)</f>
        <v>29433103196.712597</v>
      </c>
      <c r="F6" s="190">
        <f>E6/2</f>
        <v>14716551598.356298</v>
      </c>
      <c r="G6">
        <v>3.35</v>
      </c>
      <c r="H6" s="178">
        <f>1000000000*EXP(0.7196*G6)</f>
        <v>11141311984.931368</v>
      </c>
      <c r="I6" s="191">
        <f>H6/2</f>
        <v>5570655992.4656839</v>
      </c>
      <c r="L6" s="189">
        <f>10^10</f>
        <v>10000000000</v>
      </c>
    </row>
    <row r="7" spans="1:12">
      <c r="A7">
        <v>1.4</v>
      </c>
      <c r="B7" s="174">
        <f t="shared" ref="B7:B37" si="0">(25*A7)/5.45</f>
        <v>6.4220183486238529</v>
      </c>
      <c r="C7" s="35">
        <f t="shared" ref="C7:C37" si="1">B7/100</f>
        <v>6.4220183486238536E-2</v>
      </c>
      <c r="D7">
        <v>2.35</v>
      </c>
      <c r="E7" s="178">
        <f t="shared" ref="E7:E37" si="2">1000000000*EXP(0.7196*D7)</f>
        <v>5425228400.418972</v>
      </c>
      <c r="F7" s="190">
        <f t="shared" ref="F7:F37" si="3">E7/2</f>
        <v>2712614200.209486</v>
      </c>
      <c r="G7">
        <v>2.75</v>
      </c>
      <c r="H7" s="178">
        <f>1000000000*EXP(0.7196*G7)</f>
        <v>7234780348.1306019</v>
      </c>
      <c r="I7" s="191">
        <f t="shared" ref="I7:I37" si="4">H7/2</f>
        <v>3617390174.0653009</v>
      </c>
      <c r="L7" s="189">
        <v>100000000000</v>
      </c>
    </row>
    <row r="8" spans="1:12">
      <c r="A8">
        <v>2.5</v>
      </c>
      <c r="B8" s="174">
        <f t="shared" si="0"/>
        <v>11.467889908256881</v>
      </c>
      <c r="C8" s="35">
        <f t="shared" si="1"/>
        <v>0.11467889908256881</v>
      </c>
      <c r="D8">
        <v>3</v>
      </c>
      <c r="E8" s="178">
        <f t="shared" si="2"/>
        <v>8660738533.9958763</v>
      </c>
      <c r="F8" s="190">
        <f t="shared" si="3"/>
        <v>4330369266.9979382</v>
      </c>
      <c r="G8">
        <v>2.8</v>
      </c>
      <c r="H8" s="178">
        <f>1000000000*EXP(0.7196*G8)</f>
        <v>7499827347.9202919</v>
      </c>
      <c r="I8" s="191">
        <f t="shared" si="4"/>
        <v>3749913673.960146</v>
      </c>
    </row>
    <row r="9" spans="1:12">
      <c r="A9">
        <v>3.6</v>
      </c>
      <c r="B9" s="174">
        <f t="shared" si="0"/>
        <v>16.513761467889907</v>
      </c>
      <c r="C9" s="35">
        <f t="shared" si="1"/>
        <v>0.16513761467889906</v>
      </c>
      <c r="D9">
        <v>2.6</v>
      </c>
      <c r="E9" s="178">
        <f t="shared" si="2"/>
        <v>6494528154.593977</v>
      </c>
      <c r="F9" s="190">
        <f t="shared" si="3"/>
        <v>3247264077.2969885</v>
      </c>
      <c r="G9">
        <v>3.3</v>
      </c>
      <c r="H9" s="178">
        <f>1000000000*EXP(0.7196*G9)</f>
        <v>10747573412.249977</v>
      </c>
      <c r="I9" s="191">
        <f t="shared" si="4"/>
        <v>5373786706.1249886</v>
      </c>
    </row>
    <row r="10" spans="1:12">
      <c r="A10">
        <v>4.8</v>
      </c>
      <c r="B10" s="174">
        <f t="shared" si="0"/>
        <v>22.01834862385321</v>
      </c>
      <c r="C10" s="35">
        <f t="shared" si="1"/>
        <v>0.22018348623853209</v>
      </c>
      <c r="D10">
        <v>1.85</v>
      </c>
      <c r="E10" s="178">
        <f t="shared" si="2"/>
        <v>3785810504.8903408</v>
      </c>
      <c r="F10" s="190">
        <f t="shared" si="3"/>
        <v>1892905252.4451704</v>
      </c>
      <c r="G10">
        <v>2</v>
      </c>
      <c r="H10" s="178">
        <f>1000000000*EXP(0.7196*G10)</f>
        <v>4217320610.6055236</v>
      </c>
      <c r="I10" s="191">
        <f t="shared" si="4"/>
        <v>2108660305.3027618</v>
      </c>
    </row>
    <row r="11" spans="1:12">
      <c r="C11" s="35"/>
      <c r="F11" s="190"/>
      <c r="H11" s="178"/>
      <c r="I11" s="191"/>
    </row>
    <row r="12" spans="1:12">
      <c r="A12" s="174" t="s">
        <v>566</v>
      </c>
      <c r="C12" s="35"/>
      <c r="D12" s="174" t="s">
        <v>567</v>
      </c>
      <c r="F12" s="190"/>
      <c r="G12" s="174" t="s">
        <v>568</v>
      </c>
      <c r="H12" s="178"/>
      <c r="I12" s="191"/>
    </row>
    <row r="13" spans="1:12">
      <c r="A13" s="174"/>
      <c r="C13" s="35"/>
      <c r="D13" s="174" t="s">
        <v>526</v>
      </c>
      <c r="F13" s="190"/>
      <c r="G13" s="174" t="s">
        <v>565</v>
      </c>
      <c r="H13" s="178"/>
      <c r="I13" s="191"/>
    </row>
    <row r="14" spans="1:12">
      <c r="A14" s="174" t="s">
        <v>932</v>
      </c>
      <c r="C14" s="35"/>
      <c r="D14" s="174" t="s">
        <v>594</v>
      </c>
      <c r="F14" s="190"/>
      <c r="G14" s="174" t="s">
        <v>594</v>
      </c>
      <c r="H14" s="178"/>
      <c r="I14" s="191"/>
    </row>
    <row r="15" spans="1:12">
      <c r="A15">
        <v>0.3</v>
      </c>
      <c r="B15" s="174">
        <f t="shared" si="0"/>
        <v>1.3761467889908257</v>
      </c>
      <c r="C15" s="35">
        <f t="shared" si="1"/>
        <v>1.3761467889908256E-2</v>
      </c>
      <c r="D15">
        <v>4.3</v>
      </c>
      <c r="E15" s="178">
        <f t="shared" si="2"/>
        <v>22071341449.437057</v>
      </c>
      <c r="F15" s="190">
        <f t="shared" si="3"/>
        <v>11035670724.718529</v>
      </c>
      <c r="G15">
        <v>4.3</v>
      </c>
      <c r="H15" s="178">
        <f t="shared" ref="H15:H37" si="5">1000000000*EXP(0.7196*G15)</f>
        <v>22071341449.437057</v>
      </c>
      <c r="I15" s="191">
        <f t="shared" si="4"/>
        <v>11035670724.718529</v>
      </c>
    </row>
    <row r="16" spans="1:12">
      <c r="A16">
        <v>1</v>
      </c>
      <c r="B16" s="174">
        <f t="shared" si="0"/>
        <v>4.5871559633027523</v>
      </c>
      <c r="C16" s="35">
        <f t="shared" si="1"/>
        <v>4.5871559633027525E-2</v>
      </c>
      <c r="D16">
        <v>4.5999999999999996</v>
      </c>
      <c r="E16" s="178">
        <f t="shared" si="2"/>
        <v>27389507442.527016</v>
      </c>
      <c r="F16" s="190">
        <f t="shared" si="3"/>
        <v>13694753721.263508</v>
      </c>
      <c r="G16">
        <v>4.8499999999999996</v>
      </c>
      <c r="H16" s="178">
        <f t="shared" si="5"/>
        <v>32787914922.110142</v>
      </c>
      <c r="I16" s="191">
        <f t="shared" si="4"/>
        <v>16393957461.055071</v>
      </c>
    </row>
    <row r="17" spans="1:9">
      <c r="A17">
        <v>2.1</v>
      </c>
      <c r="B17" s="174">
        <f t="shared" si="0"/>
        <v>9.6330275229357802</v>
      </c>
      <c r="C17" s="35">
        <f t="shared" si="1"/>
        <v>9.6330275229357804E-2</v>
      </c>
      <c r="D17">
        <v>4.9000000000000004</v>
      </c>
      <c r="E17" s="178">
        <f t="shared" si="2"/>
        <v>33989103909.376446</v>
      </c>
      <c r="F17" s="190">
        <f t="shared" si="3"/>
        <v>16994551954.688223</v>
      </c>
      <c r="G17">
        <v>3.4</v>
      </c>
      <c r="H17" s="178">
        <f t="shared" si="5"/>
        <v>11549475214.94429</v>
      </c>
      <c r="I17" s="191">
        <f t="shared" si="4"/>
        <v>5774737607.4721451</v>
      </c>
    </row>
    <row r="18" spans="1:9">
      <c r="A18">
        <v>3.6</v>
      </c>
      <c r="B18" s="174">
        <f t="shared" si="0"/>
        <v>16.513761467889907</v>
      </c>
      <c r="C18" s="35">
        <f t="shared" si="1"/>
        <v>0.16513761467889906</v>
      </c>
      <c r="D18">
        <v>4</v>
      </c>
      <c r="E18" s="178">
        <f t="shared" si="2"/>
        <v>17785793132.638145</v>
      </c>
      <c r="F18" s="190">
        <f t="shared" si="3"/>
        <v>8892896566.3190727</v>
      </c>
      <c r="G18">
        <v>3.25</v>
      </c>
      <c r="H18" s="178">
        <f t="shared" si="5"/>
        <v>10367749723.545164</v>
      </c>
      <c r="I18" s="191">
        <f t="shared" si="4"/>
        <v>5183874861.7725821</v>
      </c>
    </row>
    <row r="19" spans="1:9">
      <c r="A19">
        <v>5.8</v>
      </c>
      <c r="B19" s="174">
        <f t="shared" si="0"/>
        <v>26.605504587155963</v>
      </c>
      <c r="C19" s="35">
        <f t="shared" si="1"/>
        <v>0.26605504587155965</v>
      </c>
      <c r="D19">
        <v>3.7</v>
      </c>
      <c r="E19" s="178">
        <f t="shared" si="2"/>
        <v>14332361178.938057</v>
      </c>
      <c r="F19" s="190">
        <f t="shared" si="3"/>
        <v>7166180589.4690285</v>
      </c>
      <c r="G19">
        <v>2.95</v>
      </c>
      <c r="H19" s="178">
        <f t="shared" si="5"/>
        <v>8354664452.8325109</v>
      </c>
      <c r="I19" s="191">
        <f t="shared" si="4"/>
        <v>4177332226.4162555</v>
      </c>
    </row>
    <row r="20" spans="1:9">
      <c r="C20" s="35"/>
      <c r="F20" s="190"/>
      <c r="H20" s="178"/>
      <c r="I20" s="191"/>
    </row>
    <row r="21" spans="1:9">
      <c r="A21" s="174" t="s">
        <v>650</v>
      </c>
      <c r="C21" s="35"/>
      <c r="D21" s="174" t="s">
        <v>655</v>
      </c>
      <c r="F21" s="190"/>
      <c r="G21" s="174" t="s">
        <v>568</v>
      </c>
      <c r="H21" s="178"/>
      <c r="I21" s="191"/>
    </row>
    <row r="22" spans="1:9">
      <c r="A22" s="174"/>
      <c r="C22" s="35"/>
      <c r="D22" s="174" t="s">
        <v>526</v>
      </c>
      <c r="F22" s="190"/>
      <c r="G22" s="174" t="s">
        <v>565</v>
      </c>
      <c r="H22" s="178"/>
      <c r="I22" s="191"/>
    </row>
    <row r="23" spans="1:9">
      <c r="A23" s="174" t="s">
        <v>932</v>
      </c>
      <c r="C23" s="35"/>
      <c r="D23" s="174" t="s">
        <v>594</v>
      </c>
      <c r="F23" s="190"/>
      <c r="G23" s="174" t="s">
        <v>594</v>
      </c>
      <c r="H23" s="178"/>
      <c r="I23" s="191"/>
    </row>
    <row r="24" spans="1:9">
      <c r="A24">
        <v>0.4</v>
      </c>
      <c r="B24" s="174">
        <f t="shared" si="0"/>
        <v>1.8348623853211008</v>
      </c>
      <c r="C24" s="35">
        <f t="shared" si="1"/>
        <v>1.8348623853211007E-2</v>
      </c>
      <c r="D24">
        <v>3.75</v>
      </c>
      <c r="E24" s="178">
        <f t="shared" si="2"/>
        <v>14857428858.617006</v>
      </c>
      <c r="F24" s="190">
        <f t="shared" si="3"/>
        <v>7428714429.3085032</v>
      </c>
      <c r="G24">
        <v>3.9</v>
      </c>
      <c r="H24" s="178">
        <f t="shared" si="5"/>
        <v>16550892038.867577</v>
      </c>
      <c r="I24" s="191">
        <f t="shared" si="4"/>
        <v>8275446019.4337883</v>
      </c>
    </row>
    <row r="25" spans="1:9">
      <c r="A25">
        <v>1</v>
      </c>
      <c r="B25" s="174">
        <f t="shared" si="0"/>
        <v>4.5871559633027523</v>
      </c>
      <c r="C25" s="35">
        <f t="shared" si="1"/>
        <v>4.5871559633027525E-2</v>
      </c>
      <c r="D25">
        <v>3.35</v>
      </c>
      <c r="E25" s="178">
        <f t="shared" si="2"/>
        <v>11141311984.931368</v>
      </c>
      <c r="F25" s="190">
        <f t="shared" si="3"/>
        <v>5570655992.4656839</v>
      </c>
      <c r="G25">
        <v>4.9000000000000004</v>
      </c>
      <c r="H25" s="178">
        <f t="shared" si="5"/>
        <v>33989103909.376446</v>
      </c>
      <c r="I25" s="191">
        <f t="shared" si="4"/>
        <v>16994551954.688223</v>
      </c>
    </row>
    <row r="26" spans="1:9">
      <c r="A26">
        <v>1.9</v>
      </c>
      <c r="B26" s="174">
        <f t="shared" si="0"/>
        <v>8.7155963302752291</v>
      </c>
      <c r="C26" s="35">
        <f t="shared" si="1"/>
        <v>8.7155963302752285E-2</v>
      </c>
      <c r="D26">
        <v>3.85</v>
      </c>
      <c r="E26" s="178">
        <f t="shared" si="2"/>
        <v>15965976670.120932</v>
      </c>
      <c r="F26" s="190">
        <f t="shared" si="3"/>
        <v>7982988335.0604658</v>
      </c>
      <c r="G26">
        <v>4</v>
      </c>
      <c r="H26" s="178">
        <f t="shared" si="5"/>
        <v>17785793132.638145</v>
      </c>
      <c r="I26" s="191">
        <f t="shared" si="4"/>
        <v>8892896566.3190727</v>
      </c>
    </row>
    <row r="27" spans="1:9">
      <c r="A27">
        <v>3.95</v>
      </c>
      <c r="B27" s="174">
        <f t="shared" si="0"/>
        <v>18.11926605504587</v>
      </c>
      <c r="C27" s="35">
        <f t="shared" si="1"/>
        <v>0.18119266055045868</v>
      </c>
      <c r="D27">
        <v>2.35</v>
      </c>
      <c r="E27" s="178">
        <f t="shared" si="2"/>
        <v>5425228400.418972</v>
      </c>
      <c r="F27" s="190">
        <f t="shared" si="3"/>
        <v>2712614200.209486</v>
      </c>
      <c r="G27">
        <v>2.9</v>
      </c>
      <c r="H27" s="178">
        <f t="shared" si="5"/>
        <v>8059407156.2646208</v>
      </c>
      <c r="I27" s="191">
        <f t="shared" si="4"/>
        <v>4029703578.1323104</v>
      </c>
    </row>
    <row r="28" spans="1:9">
      <c r="A28">
        <v>6.2</v>
      </c>
      <c r="B28" s="174">
        <f t="shared" si="0"/>
        <v>28.440366972477062</v>
      </c>
      <c r="C28" s="35">
        <f t="shared" si="1"/>
        <v>0.2844036697247706</v>
      </c>
      <c r="D28">
        <v>1.2</v>
      </c>
      <c r="E28" s="178">
        <f t="shared" si="2"/>
        <v>2371493676.7937932</v>
      </c>
      <c r="F28" s="190">
        <f t="shared" si="3"/>
        <v>1185746838.3968966</v>
      </c>
      <c r="G28">
        <v>3</v>
      </c>
      <c r="H28" s="178">
        <f t="shared" si="5"/>
        <v>8660738533.9958763</v>
      </c>
      <c r="I28" s="191">
        <f t="shared" si="4"/>
        <v>4330369266.9979382</v>
      </c>
    </row>
    <row r="29" spans="1:9">
      <c r="C29" s="35"/>
      <c r="F29" s="190"/>
      <c r="H29" s="178"/>
      <c r="I29" s="191"/>
    </row>
    <row r="30" spans="1:9">
      <c r="A30" s="174" t="s">
        <v>656</v>
      </c>
      <c r="C30" s="35"/>
      <c r="D30" s="174" t="s">
        <v>887</v>
      </c>
      <c r="F30" s="190"/>
      <c r="G30" s="174" t="s">
        <v>568</v>
      </c>
      <c r="H30" s="178"/>
      <c r="I30" s="191"/>
    </row>
    <row r="31" spans="1:9">
      <c r="A31" s="174"/>
      <c r="C31" s="35"/>
      <c r="D31" s="174" t="s">
        <v>526</v>
      </c>
      <c r="F31" s="190"/>
      <c r="G31" s="174" t="s">
        <v>565</v>
      </c>
      <c r="H31" s="178"/>
      <c r="I31" s="191"/>
    </row>
    <row r="32" spans="1:9">
      <c r="A32" s="174" t="s">
        <v>932</v>
      </c>
      <c r="C32" s="35"/>
      <c r="D32" s="174" t="s">
        <v>594</v>
      </c>
      <c r="F32" s="190"/>
      <c r="G32" s="174" t="s">
        <v>594</v>
      </c>
      <c r="H32" s="178"/>
      <c r="I32" s="191"/>
    </row>
    <row r="33" spans="1:9">
      <c r="A33">
        <v>0.3</v>
      </c>
      <c r="B33" s="174">
        <f t="shared" si="0"/>
        <v>1.3761467889908257</v>
      </c>
      <c r="C33" s="35">
        <f t="shared" si="1"/>
        <v>1.3761467889908256E-2</v>
      </c>
      <c r="D33">
        <v>3.1</v>
      </c>
      <c r="E33" s="178">
        <f t="shared" si="2"/>
        <v>9306936664.1858501</v>
      </c>
      <c r="F33" s="190">
        <f t="shared" si="3"/>
        <v>4653468332.0929251</v>
      </c>
      <c r="G33">
        <v>3.1</v>
      </c>
      <c r="H33" s="178">
        <f t="shared" si="5"/>
        <v>9306936664.1858501</v>
      </c>
      <c r="I33" s="191">
        <f t="shared" si="4"/>
        <v>4653468332.0929251</v>
      </c>
    </row>
    <row r="34" spans="1:9">
      <c r="A34">
        <v>1</v>
      </c>
      <c r="B34" s="174">
        <f t="shared" si="0"/>
        <v>4.5871559633027523</v>
      </c>
      <c r="C34" s="35">
        <f t="shared" si="1"/>
        <v>4.5871559633027525E-2</v>
      </c>
      <c r="D34">
        <v>3.5</v>
      </c>
      <c r="E34" s="178">
        <f t="shared" si="2"/>
        <v>12411208802.591246</v>
      </c>
      <c r="F34" s="190">
        <f t="shared" si="3"/>
        <v>6205604401.2956228</v>
      </c>
      <c r="G34">
        <v>4.55</v>
      </c>
      <c r="H34" s="178">
        <f t="shared" si="5"/>
        <v>26421550923.451641</v>
      </c>
      <c r="I34" s="191">
        <f t="shared" si="4"/>
        <v>13210775461.725821</v>
      </c>
    </row>
    <row r="35" spans="1:9">
      <c r="A35">
        <v>1.8</v>
      </c>
      <c r="B35" s="174">
        <f t="shared" si="0"/>
        <v>8.2568807339449535</v>
      </c>
      <c r="C35" s="35">
        <f t="shared" si="1"/>
        <v>8.2568807339449532E-2</v>
      </c>
      <c r="D35">
        <v>3.1</v>
      </c>
      <c r="E35" s="178">
        <f t="shared" si="2"/>
        <v>9306936664.1858501</v>
      </c>
      <c r="F35" s="190">
        <f t="shared" si="3"/>
        <v>4653468332.0929251</v>
      </c>
      <c r="G35">
        <v>3.3</v>
      </c>
      <c r="H35" s="178">
        <f t="shared" si="5"/>
        <v>10747573412.249977</v>
      </c>
      <c r="I35" s="191">
        <f t="shared" si="4"/>
        <v>5373786706.1249886</v>
      </c>
    </row>
    <row r="36" spans="1:9">
      <c r="A36">
        <v>3.9</v>
      </c>
      <c r="B36" s="174">
        <f t="shared" si="0"/>
        <v>17.889908256880734</v>
      </c>
      <c r="C36" s="35">
        <f t="shared" si="1"/>
        <v>0.17889908256880735</v>
      </c>
      <c r="D36">
        <v>2.15</v>
      </c>
      <c r="E36" s="178">
        <f t="shared" si="2"/>
        <v>4698014628.4826593</v>
      </c>
      <c r="F36" s="190">
        <f t="shared" si="3"/>
        <v>2349007314.2413297</v>
      </c>
      <c r="G36">
        <v>2.9</v>
      </c>
      <c r="H36" s="178">
        <f t="shared" si="5"/>
        <v>8059407156.2646208</v>
      </c>
      <c r="I36" s="191">
        <f t="shared" si="4"/>
        <v>4029703578.1323104</v>
      </c>
    </row>
    <row r="37" spans="1:9">
      <c r="A37">
        <v>6.1</v>
      </c>
      <c r="B37" s="174">
        <f t="shared" si="0"/>
        <v>27.98165137614679</v>
      </c>
      <c r="C37" s="35">
        <f t="shared" si="1"/>
        <v>0.27981651376146788</v>
      </c>
      <c r="D37">
        <v>1.4</v>
      </c>
      <c r="E37" s="178">
        <f t="shared" si="2"/>
        <v>2738581265.5315332</v>
      </c>
      <c r="F37" s="190">
        <f t="shared" si="3"/>
        <v>1369290632.7657666</v>
      </c>
      <c r="G37">
        <v>2.2000000000000002</v>
      </c>
      <c r="H37" s="178">
        <f t="shared" si="5"/>
        <v>4870126928.0038424</v>
      </c>
      <c r="I37" s="191">
        <f t="shared" si="4"/>
        <v>2435063464.0019212</v>
      </c>
    </row>
    <row r="38" spans="1:9">
      <c r="H38" s="178"/>
    </row>
    <row r="44" spans="1:9">
      <c r="B44" s="177">
        <v>3.2</v>
      </c>
      <c r="C44" s="168">
        <v>10000000000</v>
      </c>
    </row>
    <row r="45" spans="1:9">
      <c r="B45" s="177">
        <v>6.4</v>
      </c>
      <c r="C45" s="168">
        <v>100000000000</v>
      </c>
    </row>
  </sheetData>
  <phoneticPr fontId="12" type="noConversion"/>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64</vt:i4>
      </vt:variant>
    </vt:vector>
  </HeadingPairs>
  <TitlesOfParts>
    <vt:vector size="64" baseType="lpstr">
      <vt:lpstr>Cover Sheet</vt:lpstr>
      <vt:lpstr>Aarhus Bay RD</vt:lpstr>
      <vt:lpstr>EXD Botcher 1999 Figure 7</vt:lpstr>
      <vt:lpstr>EXD Sahm 1998 Figure 3</vt:lpstr>
      <vt:lpstr>EXD Garcia-Martinez 2008 Fig 2</vt:lpstr>
      <vt:lpstr>FFD Kato 2010 Table 2</vt:lpstr>
      <vt:lpstr>Lloyd Aarhus Bay</vt:lpstr>
      <vt:lpstr>EXD Musat 2005</vt:lpstr>
      <vt:lpstr>EXD Sahm 1998 Figure 1</vt:lpstr>
      <vt:lpstr>FPA Sahm 1999</vt:lpstr>
      <vt:lpstr>Takai 2000</vt:lpstr>
      <vt:lpstr>Breuker 2011</vt:lpstr>
      <vt:lpstr>Compilation</vt:lpstr>
      <vt:lpstr>Knittel 2003, Table 2 &amp; 3 Comb</vt:lpstr>
      <vt:lpstr>This study</vt:lpstr>
      <vt:lpstr>Schippers 2005&amp;2006 all</vt:lpstr>
      <vt:lpstr>Biddle 2006</vt:lpstr>
      <vt:lpstr>Kubo 2012</vt:lpstr>
      <vt:lpstr>Gittel 2008</vt:lpstr>
      <vt:lpstr>Amaro 2012</vt:lpstr>
      <vt:lpstr>Breuker in press NP</vt:lpstr>
      <vt:lpstr>Breuker 2013 NJ</vt:lpstr>
      <vt:lpstr>Burke 2003</vt:lpstr>
      <vt:lpstr>Bühring 2005</vt:lpstr>
      <vt:lpstr>FPA Danovaro 2009</vt:lpstr>
      <vt:lpstr>EXD 2008 Engelen</vt:lpstr>
      <vt:lpstr>Jorgensen 2012</vt:lpstr>
      <vt:lpstr>EXD Inagaki 2006</vt:lpstr>
      <vt:lpstr>Ince 2006</vt:lpstr>
      <vt:lpstr>Isshi 2004</vt:lpstr>
      <vt:lpstr>Kochling 2011</vt:lpstr>
      <vt:lpstr>Kolukirik 2011</vt:lpstr>
      <vt:lpstr>Leloup 2007</vt:lpstr>
      <vt:lpstr>Llobet-Brossa 2002</vt:lpstr>
      <vt:lpstr>Llobet-Brossa 1998</vt:lpstr>
      <vt:lpstr>FPT Losekann 2007 </vt:lpstr>
      <vt:lpstr>Magdalhes From Author</vt:lpstr>
      <vt:lpstr>MauClaire 2006</vt:lpstr>
      <vt:lpstr>EXD Manini 2008</vt:lpstr>
      <vt:lpstr>Meyer-Dombard 2012</vt:lpstr>
      <vt:lpstr>EXD Molari 2011</vt:lpstr>
      <vt:lpstr>EXD Molari 2012 Fig 1</vt:lpstr>
      <vt:lpstr>Musat 2006</vt:lpstr>
      <vt:lpstr>EXD Nunoura 2006</vt:lpstr>
      <vt:lpstr>EXD Nunoura 2008</vt:lpstr>
      <vt:lpstr>Nunoura 2009, Figure 2</vt:lpstr>
      <vt:lpstr>Oliveira 2012</vt:lpstr>
      <vt:lpstr>Omoregie 2008</vt:lpstr>
      <vt:lpstr>Omoregie 2009</vt:lpstr>
      <vt:lpstr>Orcutt 2005, Table 1</vt:lpstr>
      <vt:lpstr>Quan 2010</vt:lpstr>
      <vt:lpstr>Pernthaler 2002</vt:lpstr>
      <vt:lpstr>FPT Ravenschlag 2001</vt:lpstr>
      <vt:lpstr>EXD Roalkvam 2011</vt:lpstr>
      <vt:lpstr>Rossello-Mora 1999</vt:lpstr>
      <vt:lpstr>Rusch 2003</vt:lpstr>
      <vt:lpstr>Schippers RD Fig2 2006</vt:lpstr>
      <vt:lpstr>Schippers RD Sumatra 2010</vt:lpstr>
      <vt:lpstr>Schippers RD Black Sea 2012 </vt:lpstr>
      <vt:lpstr>Schippers RD Namibia 2012</vt:lpstr>
      <vt:lpstr>Siegert 2011</vt:lpstr>
      <vt:lpstr>FPT Sievert 2000</vt:lpstr>
      <vt:lpstr>EXD Webster 2009</vt:lpstr>
      <vt:lpstr>EXD WIlms 2007</vt:lpstr>
    </vt:vector>
  </TitlesOfParts>
  <Company>DePauw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May</dc:creator>
  <cp:lastModifiedBy>Karen Lloyd</cp:lastModifiedBy>
  <dcterms:created xsi:type="dcterms:W3CDTF">2012-05-31T14:08:01Z</dcterms:created>
  <dcterms:modified xsi:type="dcterms:W3CDTF">2013-09-21T01:45:07Z</dcterms:modified>
</cp:coreProperties>
</file>