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360" yWindow="1480" windowWidth="21600" windowHeight="10600" tabRatio="500" firstSheet="4" activeTab="5"/>
  </bookViews>
  <sheets>
    <sheet name="EXD Podlaska 2012 Figure 4" sheetId="26" r:id="rId1"/>
    <sheet name="EXD Podlaska 2012 Figure 2 &amp; 4" sheetId="6" r:id="rId2"/>
    <sheet name="EXD Winters Figure 2 &amp; Table 1" sheetId="12" r:id="rId3"/>
    <sheet name="FFD Michotey 2012 Table 1" sheetId="14" r:id="rId4"/>
    <sheet name="FFD Simonato 2009 Table 2" sheetId="16" r:id="rId5"/>
    <sheet name="Compilation" sheetId="27" r:id="rId6"/>
    <sheet name="Kirchman 2007" sheetId="49" r:id="rId7"/>
    <sheet name="Delong 1999" sheetId="50" r:id="rId8"/>
    <sheet name="Ionescu 2009" sheetId="47" r:id="rId9"/>
    <sheet name="PolyriboFISH" sheetId="46" r:id="rId10"/>
    <sheet name="Church 2003" sheetId="44" r:id="rId11"/>
    <sheet name="Karner 2001" sheetId="43" r:id="rId12"/>
    <sheet name="Plots" sheetId="42" r:id="rId13"/>
    <sheet name="Pernthaler 2002b" sheetId="39" r:id="rId14"/>
    <sheet name="Al Ali 2009" sheetId="1" r:id="rId15"/>
    <sheet name="EXD Church 2003" sheetId="25" r:id="rId16"/>
    <sheet name="Herfort 2007" sheetId="13" r:id="rId17"/>
    <sheet name="Bouvier 2002" sheetId="38" r:id="rId18"/>
    <sheet name="Garneau 2008" sheetId="31" r:id="rId19"/>
    <sheet name="Lin 2006" sheetId="41" r:id="rId20"/>
    <sheet name="EXD Manini 2008 Figures 1 &amp;4" sheetId="4" r:id="rId21"/>
    <sheet name="Pernthaler 2002" sheetId="36" r:id="rId22"/>
    <sheet name="Schattenhofer 2009, Figure 5" sheetId="34" r:id="rId23"/>
    <sheet name="Schattenhofer, SI Data" sheetId="35" r:id="rId24"/>
    <sheet name="Tamburini 2009" sheetId="37" r:id="rId25"/>
    <sheet name="Teira 2006" sheetId="30" r:id="rId26"/>
    <sheet name="Teira 2004" sheetId="40" r:id="rId27"/>
    <sheet name="Wakeham 2007 Figure 4" sheetId="10" r:id="rId28"/>
    <sheet name="EXD Wakeham 2012 Figure 4" sheetId="11" r:id="rId29"/>
    <sheet name="Wells 2003, Table 3" sheetId="33" r:id="rId3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48" i="27" l="1"/>
  <c r="X148" i="27"/>
  <c r="Y145" i="27"/>
  <c r="X145" i="27"/>
  <c r="C13" i="27"/>
  <c r="I13" i="27"/>
  <c r="J13" i="27"/>
  <c r="K13" i="27"/>
  <c r="L13" i="27"/>
  <c r="M13" i="27"/>
  <c r="C15" i="27"/>
  <c r="I15" i="27"/>
  <c r="J15" i="27"/>
  <c r="K15" i="27"/>
  <c r="L15" i="27"/>
  <c r="M15" i="27"/>
  <c r="C17" i="27"/>
  <c r="I17" i="27"/>
  <c r="J17" i="27"/>
  <c r="K17" i="27"/>
  <c r="L17" i="27"/>
  <c r="M17" i="27"/>
  <c r="C19" i="27"/>
  <c r="I19" i="27"/>
  <c r="J19" i="27"/>
  <c r="K19" i="27"/>
  <c r="L19" i="27"/>
  <c r="M19" i="27"/>
  <c r="C21" i="27"/>
  <c r="I21" i="27"/>
  <c r="J21" i="27"/>
  <c r="K21" i="27"/>
  <c r="L21" i="27"/>
  <c r="M21" i="27"/>
  <c r="C20" i="27"/>
  <c r="I20" i="27"/>
  <c r="J20" i="27"/>
  <c r="K20" i="27"/>
  <c r="L20" i="27"/>
  <c r="M20" i="27"/>
  <c r="C22" i="27"/>
  <c r="I22" i="27"/>
  <c r="J22" i="27"/>
  <c r="K22" i="27"/>
  <c r="L22" i="27"/>
  <c r="M22" i="27"/>
  <c r="C3" i="27"/>
  <c r="I3" i="27"/>
  <c r="J3" i="27"/>
  <c r="K3" i="27"/>
  <c r="L3" i="27"/>
  <c r="M3" i="27"/>
  <c r="C6" i="27"/>
  <c r="I6" i="27"/>
  <c r="J6" i="27"/>
  <c r="K6" i="27"/>
  <c r="L6" i="27"/>
  <c r="M6" i="27"/>
  <c r="C9" i="27"/>
  <c r="I9" i="27"/>
  <c r="J9" i="27"/>
  <c r="K9" i="27"/>
  <c r="L9" i="27"/>
  <c r="M9" i="27"/>
  <c r="C11" i="27"/>
  <c r="I11" i="27"/>
  <c r="J11" i="27"/>
  <c r="K11" i="27"/>
  <c r="L11" i="27"/>
  <c r="M11" i="27"/>
  <c r="C5" i="27"/>
  <c r="I5" i="27"/>
  <c r="J5" i="27"/>
  <c r="K5" i="27"/>
  <c r="L5" i="27"/>
  <c r="M5" i="27"/>
  <c r="C7" i="27"/>
  <c r="I7" i="27"/>
  <c r="J7" i="27"/>
  <c r="K7" i="27"/>
  <c r="L7" i="27"/>
  <c r="M7" i="27"/>
  <c r="C8" i="27"/>
  <c r="I8" i="27"/>
  <c r="J8" i="27"/>
  <c r="K8" i="27"/>
  <c r="L8" i="27"/>
  <c r="M8" i="27"/>
  <c r="C10" i="27"/>
  <c r="I10" i="27"/>
  <c r="J10" i="27"/>
  <c r="K10" i="27"/>
  <c r="L10" i="27"/>
  <c r="M10" i="27"/>
  <c r="C12" i="27"/>
  <c r="I12" i="27"/>
  <c r="J12" i="27"/>
  <c r="K12" i="27"/>
  <c r="L12" i="27"/>
  <c r="M12" i="27"/>
  <c r="C14" i="27"/>
  <c r="I14" i="27"/>
  <c r="J14" i="27"/>
  <c r="K14" i="27"/>
  <c r="L14" i="27"/>
  <c r="M14" i="27"/>
  <c r="C16" i="27"/>
  <c r="I16" i="27"/>
  <c r="J16" i="27"/>
  <c r="K16" i="27"/>
  <c r="L16" i="27"/>
  <c r="M16" i="27"/>
  <c r="C18" i="27"/>
  <c r="I18" i="27"/>
  <c r="J18" i="27"/>
  <c r="K18" i="27"/>
  <c r="L18" i="27"/>
  <c r="M18" i="27"/>
  <c r="J4" i="27"/>
  <c r="L4" i="27"/>
  <c r="I4" i="27"/>
  <c r="M4" i="27"/>
  <c r="K4" i="27"/>
  <c r="C4" i="27"/>
  <c r="J2" i="27"/>
  <c r="L2" i="27"/>
  <c r="I2" i="27"/>
  <c r="M2" i="27"/>
  <c r="K2" i="27"/>
  <c r="C2" i="27"/>
  <c r="H6" i="50"/>
  <c r="I6" i="50"/>
  <c r="J6" i="50"/>
  <c r="H7" i="50"/>
  <c r="I7" i="50"/>
  <c r="J7" i="50"/>
  <c r="H8" i="50"/>
  <c r="I8" i="50"/>
  <c r="J8" i="50"/>
  <c r="H9" i="50"/>
  <c r="I9" i="50"/>
  <c r="J9" i="50"/>
  <c r="H10" i="50"/>
  <c r="I10" i="50"/>
  <c r="J10" i="50"/>
  <c r="H11" i="50"/>
  <c r="I11" i="50"/>
  <c r="J11" i="50"/>
  <c r="H12" i="50"/>
  <c r="I12" i="50"/>
  <c r="J12" i="50"/>
  <c r="H13" i="50"/>
  <c r="I13" i="50"/>
  <c r="J13" i="50"/>
  <c r="H14" i="50"/>
  <c r="I14" i="50"/>
  <c r="J14" i="50"/>
  <c r="H15" i="50"/>
  <c r="I15" i="50"/>
  <c r="J15" i="50"/>
  <c r="H16" i="50"/>
  <c r="I16" i="50"/>
  <c r="J16" i="50"/>
  <c r="H17" i="50"/>
  <c r="I17" i="50"/>
  <c r="J17" i="50"/>
  <c r="H18" i="50"/>
  <c r="I18" i="50"/>
  <c r="J18" i="50"/>
  <c r="H19" i="50"/>
  <c r="I19" i="50"/>
  <c r="J19" i="50"/>
  <c r="H20" i="50"/>
  <c r="I20" i="50"/>
  <c r="J20" i="50"/>
  <c r="H21" i="50"/>
  <c r="I21" i="50"/>
  <c r="J21" i="50"/>
  <c r="H22" i="50"/>
  <c r="I22" i="50"/>
  <c r="J22" i="50"/>
  <c r="H23" i="50"/>
  <c r="I23" i="50"/>
  <c r="J23" i="50"/>
  <c r="H24" i="50"/>
  <c r="I24" i="50"/>
  <c r="J24" i="50"/>
  <c r="H25" i="50"/>
  <c r="I25" i="50"/>
  <c r="J25" i="50"/>
  <c r="J5" i="50"/>
  <c r="I5" i="50"/>
  <c r="H5" i="50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5" i="1"/>
  <c r="G5" i="1"/>
  <c r="F5" i="1"/>
  <c r="H13" i="38"/>
  <c r="H14" i="38"/>
  <c r="H15" i="38"/>
  <c r="H16" i="38"/>
  <c r="H17" i="38"/>
  <c r="H18" i="38"/>
  <c r="H19" i="38"/>
  <c r="H20" i="38"/>
  <c r="H21" i="38"/>
  <c r="H22" i="38"/>
  <c r="H23" i="38"/>
  <c r="H24" i="38"/>
  <c r="H25" i="38"/>
  <c r="H26" i="38"/>
  <c r="H27" i="38"/>
  <c r="H28" i="38"/>
  <c r="H29" i="38"/>
  <c r="H30" i="38"/>
  <c r="H31" i="38"/>
  <c r="H32" i="38"/>
  <c r="H33" i="38"/>
  <c r="H12" i="38"/>
  <c r="G5" i="38"/>
  <c r="G6" i="38"/>
  <c r="G7" i="38"/>
  <c r="G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1" i="38"/>
  <c r="G32" i="38"/>
  <c r="G33" i="38"/>
  <c r="G34" i="38"/>
  <c r="G35" i="38"/>
  <c r="G36" i="38"/>
  <c r="G37" i="38"/>
  <c r="G38" i="38"/>
  <c r="G39" i="38"/>
  <c r="G40" i="38"/>
  <c r="G41" i="38"/>
  <c r="G42" i="38"/>
  <c r="G43" i="38"/>
  <c r="G44" i="38"/>
  <c r="G45" i="38"/>
  <c r="G46" i="38"/>
  <c r="G47" i="38"/>
  <c r="G48" i="38"/>
  <c r="G49" i="38"/>
  <c r="G50" i="38"/>
  <c r="G51" i="38"/>
  <c r="G52" i="38"/>
  <c r="G53" i="38"/>
  <c r="G54" i="38"/>
  <c r="G4" i="38"/>
  <c r="O6" i="44"/>
  <c r="E73" i="44"/>
  <c r="Y6" i="44"/>
  <c r="G73" i="44"/>
  <c r="H73" i="44"/>
  <c r="I19" i="44"/>
  <c r="J19" i="44"/>
  <c r="AC17" i="44"/>
  <c r="AD17" i="44"/>
  <c r="T15" i="44"/>
  <c r="J18" i="44"/>
  <c r="AM7" i="44"/>
  <c r="AN7" i="44"/>
  <c r="AM8" i="44"/>
  <c r="I96" i="44"/>
  <c r="AN8" i="44"/>
  <c r="J96" i="44"/>
  <c r="AM9" i="44"/>
  <c r="I97" i="44"/>
  <c r="AN9" i="44"/>
  <c r="J97" i="44"/>
  <c r="AM10" i="44"/>
  <c r="AN10" i="44"/>
  <c r="AM11" i="44"/>
  <c r="I98" i="44"/>
  <c r="AN11" i="44"/>
  <c r="J98" i="44"/>
  <c r="AM12" i="44"/>
  <c r="I99" i="44"/>
  <c r="AN12" i="44"/>
  <c r="J99" i="44"/>
  <c r="AM13" i="44"/>
  <c r="I100" i="44"/>
  <c r="AN13" i="44"/>
  <c r="J100" i="44"/>
  <c r="AM14" i="44"/>
  <c r="I101" i="44"/>
  <c r="AN14" i="44"/>
  <c r="J101" i="44"/>
  <c r="AM15" i="44"/>
  <c r="AN15" i="44"/>
  <c r="AM16" i="44"/>
  <c r="AN16" i="44"/>
  <c r="AM17" i="44"/>
  <c r="I102" i="44"/>
  <c r="AN17" i="44"/>
  <c r="J102" i="44"/>
  <c r="AM18" i="44"/>
  <c r="I103" i="44"/>
  <c r="AN18" i="44"/>
  <c r="J103" i="44"/>
  <c r="AM19" i="44"/>
  <c r="I104" i="44"/>
  <c r="AN19" i="44"/>
  <c r="J104" i="44"/>
  <c r="AM20" i="44"/>
  <c r="I105" i="44"/>
  <c r="AN20" i="44"/>
  <c r="J105" i="44"/>
  <c r="AM21" i="44"/>
  <c r="I106" i="44"/>
  <c r="AN21" i="44"/>
  <c r="J106" i="44"/>
  <c r="AM22" i="44"/>
  <c r="I107" i="44"/>
  <c r="AN22" i="44"/>
  <c r="J107" i="44"/>
  <c r="AM23" i="44"/>
  <c r="I108" i="44"/>
  <c r="AN23" i="44"/>
  <c r="J108" i="44"/>
  <c r="AM24" i="44"/>
  <c r="AN24" i="44"/>
  <c r="AM25" i="44"/>
  <c r="I109" i="44"/>
  <c r="AN25" i="44"/>
  <c r="J109" i="44"/>
  <c r="AM26" i="44"/>
  <c r="I110" i="44"/>
  <c r="AN26" i="44"/>
  <c r="J110" i="44"/>
  <c r="AM27" i="44"/>
  <c r="AN27" i="44"/>
  <c r="AM28" i="44"/>
  <c r="I111" i="44"/>
  <c r="AN28" i="44"/>
  <c r="J111" i="44"/>
  <c r="AM29" i="44"/>
  <c r="I112" i="44"/>
  <c r="AN29" i="44"/>
  <c r="J112" i="44"/>
  <c r="AM30" i="44"/>
  <c r="AN30" i="44"/>
  <c r="AM31" i="44"/>
  <c r="AN31" i="44"/>
  <c r="AM32" i="44"/>
  <c r="I113" i="44"/>
  <c r="AN32" i="44"/>
  <c r="J113" i="44"/>
  <c r="AN6" i="44"/>
  <c r="J95" i="44"/>
  <c r="AM6" i="44"/>
  <c r="I95" i="44"/>
  <c r="AH7" i="44"/>
  <c r="AI7" i="44"/>
  <c r="AH8" i="44"/>
  <c r="I74" i="44"/>
  <c r="AI8" i="44"/>
  <c r="J74" i="44"/>
  <c r="AH9" i="44"/>
  <c r="I75" i="44"/>
  <c r="AI9" i="44"/>
  <c r="J75" i="44"/>
  <c r="AH10" i="44"/>
  <c r="I76" i="44"/>
  <c r="AI10" i="44"/>
  <c r="J76" i="44"/>
  <c r="AH11" i="44"/>
  <c r="I77" i="44"/>
  <c r="AI11" i="44"/>
  <c r="J77" i="44"/>
  <c r="AH12" i="44"/>
  <c r="I78" i="44"/>
  <c r="AI12" i="44"/>
  <c r="J78" i="44"/>
  <c r="AH13" i="44"/>
  <c r="I79" i="44"/>
  <c r="AI13" i="44"/>
  <c r="J79" i="44"/>
  <c r="AH14" i="44"/>
  <c r="I80" i="44"/>
  <c r="AI14" i="44"/>
  <c r="J80" i="44"/>
  <c r="AH15" i="44"/>
  <c r="I81" i="44"/>
  <c r="AI15" i="44"/>
  <c r="J81" i="44"/>
  <c r="AH16" i="44"/>
  <c r="I82" i="44"/>
  <c r="AI16" i="44"/>
  <c r="J82" i="44"/>
  <c r="AH17" i="44"/>
  <c r="I83" i="44"/>
  <c r="AI17" i="44"/>
  <c r="J83" i="44"/>
  <c r="AH18" i="44"/>
  <c r="AI18" i="44"/>
  <c r="AH19" i="44"/>
  <c r="I84" i="44"/>
  <c r="AI19" i="44"/>
  <c r="J84" i="44"/>
  <c r="AH20" i="44"/>
  <c r="I85" i="44"/>
  <c r="AI20" i="44"/>
  <c r="J85" i="44"/>
  <c r="AH21" i="44"/>
  <c r="I86" i="44"/>
  <c r="AI21" i="44"/>
  <c r="J86" i="44"/>
  <c r="AH22" i="44"/>
  <c r="I87" i="44"/>
  <c r="AI22" i="44"/>
  <c r="J87" i="44"/>
  <c r="AH23" i="44"/>
  <c r="I88" i="44"/>
  <c r="AI23" i="44"/>
  <c r="J88" i="44"/>
  <c r="AH24" i="44"/>
  <c r="I89" i="44"/>
  <c r="AI24" i="44"/>
  <c r="J89" i="44"/>
  <c r="AH25" i="44"/>
  <c r="I90" i="44"/>
  <c r="AI25" i="44"/>
  <c r="J90" i="44"/>
  <c r="AH26" i="44"/>
  <c r="I91" i="44"/>
  <c r="AI26" i="44"/>
  <c r="J91" i="44"/>
  <c r="AH27" i="44"/>
  <c r="I92" i="44"/>
  <c r="AI27" i="44"/>
  <c r="J92" i="44"/>
  <c r="AH28" i="44"/>
  <c r="I93" i="44"/>
  <c r="AI28" i="44"/>
  <c r="J93" i="44"/>
  <c r="AH29" i="44"/>
  <c r="AI29" i="44"/>
  <c r="AH30" i="44"/>
  <c r="I94" i="44"/>
  <c r="AI30" i="44"/>
  <c r="J94" i="44"/>
  <c r="AI6" i="44"/>
  <c r="J73" i="44"/>
  <c r="AH6" i="44"/>
  <c r="I73" i="44"/>
  <c r="T6" i="44"/>
  <c r="E95" i="44"/>
  <c r="AD6" i="44"/>
  <c r="G95" i="44"/>
  <c r="H95" i="44"/>
  <c r="AD7" i="44"/>
  <c r="T7" i="44"/>
  <c r="E96" i="44"/>
  <c r="AD8" i="44"/>
  <c r="G96" i="44"/>
  <c r="H96" i="44"/>
  <c r="T8" i="44"/>
  <c r="T9" i="44"/>
  <c r="E97" i="44"/>
  <c r="AD9" i="44"/>
  <c r="G97" i="44"/>
  <c r="H97" i="44"/>
  <c r="AD10" i="44"/>
  <c r="T10" i="44"/>
  <c r="E98" i="44"/>
  <c r="AD11" i="44"/>
  <c r="G98" i="44"/>
  <c r="H98" i="44"/>
  <c r="T11" i="44"/>
  <c r="AD12" i="44"/>
  <c r="T12" i="44"/>
  <c r="AD13" i="44"/>
  <c r="T13" i="44"/>
  <c r="E99" i="44"/>
  <c r="AD14" i="44"/>
  <c r="G99" i="44"/>
  <c r="H99" i="44"/>
  <c r="T14" i="44"/>
  <c r="E100" i="44"/>
  <c r="AD15" i="44"/>
  <c r="G100" i="44"/>
  <c r="H100" i="44"/>
  <c r="E101" i="44"/>
  <c r="AD16" i="44"/>
  <c r="G101" i="44"/>
  <c r="H101" i="44"/>
  <c r="T16" i="44"/>
  <c r="E102" i="44"/>
  <c r="AD18" i="44"/>
  <c r="G102" i="44"/>
  <c r="H102" i="44"/>
  <c r="T17" i="44"/>
  <c r="E103" i="44"/>
  <c r="AD19" i="44"/>
  <c r="G103" i="44"/>
  <c r="H103" i="44"/>
  <c r="AD20" i="44"/>
  <c r="T18" i="44"/>
  <c r="E104" i="44"/>
  <c r="AD21" i="44"/>
  <c r="G104" i="44"/>
  <c r="H104" i="44"/>
  <c r="T19" i="44"/>
  <c r="E105" i="44"/>
  <c r="AD22" i="44"/>
  <c r="G105" i="44"/>
  <c r="H105" i="44"/>
  <c r="T20" i="44"/>
  <c r="E106" i="44"/>
  <c r="AD23" i="44"/>
  <c r="G106" i="44"/>
  <c r="H106" i="44"/>
  <c r="T21" i="44"/>
  <c r="E107" i="44"/>
  <c r="AD24" i="44"/>
  <c r="G107" i="44"/>
  <c r="H107" i="44"/>
  <c r="T22" i="44"/>
  <c r="E108" i="44"/>
  <c r="AD25" i="44"/>
  <c r="G108" i="44"/>
  <c r="H108" i="44"/>
  <c r="T23" i="44"/>
  <c r="T24" i="44"/>
  <c r="T25" i="44"/>
  <c r="E109" i="44"/>
  <c r="AD26" i="44"/>
  <c r="G109" i="44"/>
  <c r="H109" i="44"/>
  <c r="T26" i="44"/>
  <c r="AD27" i="44"/>
  <c r="T27" i="44"/>
  <c r="AD28" i="44"/>
  <c r="T28" i="44"/>
  <c r="T29" i="44"/>
  <c r="T30" i="44"/>
  <c r="E110" i="44"/>
  <c r="AD29" i="44"/>
  <c r="G110" i="44"/>
  <c r="H110" i="44"/>
  <c r="AD30" i="44"/>
  <c r="T31" i="44"/>
  <c r="E111" i="44"/>
  <c r="AD31" i="44"/>
  <c r="G111" i="44"/>
  <c r="H111" i="44"/>
  <c r="T32" i="44"/>
  <c r="E112" i="44"/>
  <c r="AD32" i="44"/>
  <c r="G112" i="44"/>
  <c r="H112" i="44"/>
  <c r="AD33" i="44"/>
  <c r="T33" i="44"/>
  <c r="T34" i="44"/>
  <c r="T35" i="44"/>
  <c r="T36" i="44"/>
  <c r="E113" i="44"/>
  <c r="AD34" i="44"/>
  <c r="G113" i="44"/>
  <c r="H113" i="44"/>
  <c r="O7" i="44"/>
  <c r="O8" i="44"/>
  <c r="E74" i="44"/>
  <c r="Y7" i="44"/>
  <c r="G74" i="44"/>
  <c r="H74" i="44"/>
  <c r="O9" i="44"/>
  <c r="E75" i="44"/>
  <c r="Y8" i="44"/>
  <c r="G75" i="44"/>
  <c r="H75" i="44"/>
  <c r="O10" i="44"/>
  <c r="E76" i="44"/>
  <c r="Y9" i="44"/>
  <c r="G76" i="44"/>
  <c r="H76" i="44"/>
  <c r="O11" i="44"/>
  <c r="E77" i="44"/>
  <c r="Y10" i="44"/>
  <c r="G77" i="44"/>
  <c r="H77" i="44"/>
  <c r="O12" i="44"/>
  <c r="E78" i="44"/>
  <c r="Y11" i="44"/>
  <c r="G78" i="44"/>
  <c r="H78" i="44"/>
  <c r="O13" i="44"/>
  <c r="E79" i="44"/>
  <c r="Y12" i="44"/>
  <c r="G79" i="44"/>
  <c r="H79" i="44"/>
  <c r="O14" i="44"/>
  <c r="E80" i="44"/>
  <c r="Y13" i="44"/>
  <c r="G80" i="44"/>
  <c r="H80" i="44"/>
  <c r="O15" i="44"/>
  <c r="E81" i="44"/>
  <c r="Y14" i="44"/>
  <c r="G81" i="44"/>
  <c r="H81" i="44"/>
  <c r="O16" i="44"/>
  <c r="E82" i="44"/>
  <c r="Y15" i="44"/>
  <c r="G82" i="44"/>
  <c r="H82" i="44"/>
  <c r="O17" i="44"/>
  <c r="Y16" i="44"/>
  <c r="O18" i="44"/>
  <c r="E83" i="44"/>
  <c r="Y17" i="44"/>
  <c r="G83" i="44"/>
  <c r="H83" i="44"/>
  <c r="O19" i="44"/>
  <c r="Y18" i="44"/>
  <c r="O20" i="44"/>
  <c r="E84" i="44"/>
  <c r="Y19" i="44"/>
  <c r="G84" i="44"/>
  <c r="H84" i="44"/>
  <c r="O21" i="44"/>
  <c r="E85" i="44"/>
  <c r="Y20" i="44"/>
  <c r="G85" i="44"/>
  <c r="H85" i="44"/>
  <c r="O22" i="44"/>
  <c r="E86" i="44"/>
  <c r="Y21" i="44"/>
  <c r="G86" i="44"/>
  <c r="H86" i="44"/>
  <c r="O23" i="44"/>
  <c r="E87" i="44"/>
  <c r="Y22" i="44"/>
  <c r="G87" i="44"/>
  <c r="H87" i="44"/>
  <c r="O24" i="44"/>
  <c r="E88" i="44"/>
  <c r="Y23" i="44"/>
  <c r="G88" i="44"/>
  <c r="H88" i="44"/>
  <c r="O25" i="44"/>
  <c r="E89" i="44"/>
  <c r="Y24" i="44"/>
  <c r="G89" i="44"/>
  <c r="H89" i="44"/>
  <c r="O26" i="44"/>
  <c r="E90" i="44"/>
  <c r="Y25" i="44"/>
  <c r="G90" i="44"/>
  <c r="H90" i="44"/>
  <c r="O27" i="44"/>
  <c r="E91" i="44"/>
  <c r="Y26" i="44"/>
  <c r="G91" i="44"/>
  <c r="H91" i="44"/>
  <c r="O28" i="44"/>
  <c r="E92" i="44"/>
  <c r="Y27" i="44"/>
  <c r="G92" i="44"/>
  <c r="H92" i="44"/>
  <c r="O29" i="44"/>
  <c r="E93" i="44"/>
  <c r="Y28" i="44"/>
  <c r="G93" i="44"/>
  <c r="H93" i="44"/>
  <c r="O30" i="44"/>
  <c r="Y29" i="44"/>
  <c r="O31" i="44"/>
  <c r="E94" i="44"/>
  <c r="Y30" i="44"/>
  <c r="G94" i="44"/>
  <c r="H94" i="44"/>
  <c r="AC7" i="44"/>
  <c r="AC8" i="44"/>
  <c r="F96" i="44"/>
  <c r="AC9" i="44"/>
  <c r="F97" i="44"/>
  <c r="AC10" i="44"/>
  <c r="AC11" i="44"/>
  <c r="F98" i="44"/>
  <c r="AC12" i="44"/>
  <c r="AC13" i="44"/>
  <c r="AC14" i="44"/>
  <c r="F99" i="44"/>
  <c r="AC15" i="44"/>
  <c r="F100" i="44"/>
  <c r="AC16" i="44"/>
  <c r="F101" i="44"/>
  <c r="AC18" i="44"/>
  <c r="F102" i="44"/>
  <c r="AC19" i="44"/>
  <c r="F103" i="44"/>
  <c r="AC20" i="44"/>
  <c r="AC21" i="44"/>
  <c r="F104" i="44"/>
  <c r="AC22" i="44"/>
  <c r="F105" i="44"/>
  <c r="AC23" i="44"/>
  <c r="F106" i="44"/>
  <c r="AC24" i="44"/>
  <c r="F107" i="44"/>
  <c r="AC25" i="44"/>
  <c r="F108" i="44"/>
  <c r="AC26" i="44"/>
  <c r="F109" i="44"/>
  <c r="AC27" i="44"/>
  <c r="AC28" i="44"/>
  <c r="AC29" i="44"/>
  <c r="F110" i="44"/>
  <c r="AC30" i="44"/>
  <c r="AC31" i="44"/>
  <c r="F111" i="44"/>
  <c r="AC32" i="44"/>
  <c r="F112" i="44"/>
  <c r="AC33" i="44"/>
  <c r="AC34" i="44"/>
  <c r="F113" i="44"/>
  <c r="AC6" i="44"/>
  <c r="F95" i="44"/>
  <c r="X6" i="44"/>
  <c r="F73" i="44"/>
  <c r="X7" i="44"/>
  <c r="F74" i="44"/>
  <c r="X8" i="44"/>
  <c r="F75" i="44"/>
  <c r="X9" i="44"/>
  <c r="F76" i="44"/>
  <c r="X10" i="44"/>
  <c r="F77" i="44"/>
  <c r="X11" i="44"/>
  <c r="F78" i="44"/>
  <c r="X12" i="44"/>
  <c r="F79" i="44"/>
  <c r="X13" i="44"/>
  <c r="F80" i="44"/>
  <c r="X14" i="44"/>
  <c r="F81" i="44"/>
  <c r="X15" i="44"/>
  <c r="F82" i="44"/>
  <c r="X16" i="44"/>
  <c r="X17" i="44"/>
  <c r="F83" i="44"/>
  <c r="X18" i="44"/>
  <c r="X19" i="44"/>
  <c r="F84" i="44"/>
  <c r="X20" i="44"/>
  <c r="F85" i="44"/>
  <c r="X21" i="44"/>
  <c r="F86" i="44"/>
  <c r="X22" i="44"/>
  <c r="F87" i="44"/>
  <c r="X23" i="44"/>
  <c r="F88" i="44"/>
  <c r="X24" i="44"/>
  <c r="F89" i="44"/>
  <c r="X25" i="44"/>
  <c r="F90" i="44"/>
  <c r="X26" i="44"/>
  <c r="F91" i="44"/>
  <c r="X27" i="44"/>
  <c r="F92" i="44"/>
  <c r="X28" i="44"/>
  <c r="F93" i="44"/>
  <c r="X29" i="44"/>
  <c r="X30" i="44"/>
  <c r="F94" i="44"/>
  <c r="S35" i="44"/>
  <c r="S7" i="44"/>
  <c r="D96" i="44"/>
  <c r="S8" i="44"/>
  <c r="S9" i="44"/>
  <c r="D97" i="44"/>
  <c r="S10" i="44"/>
  <c r="D98" i="44"/>
  <c r="S11" i="44"/>
  <c r="S12" i="44"/>
  <c r="S13" i="44"/>
  <c r="D99" i="44"/>
  <c r="S14" i="44"/>
  <c r="D100" i="44"/>
  <c r="S15" i="44"/>
  <c r="D101" i="44"/>
  <c r="S16" i="44"/>
  <c r="D102" i="44"/>
  <c r="S17" i="44"/>
  <c r="D103" i="44"/>
  <c r="S18" i="44"/>
  <c r="D104" i="44"/>
  <c r="S19" i="44"/>
  <c r="D105" i="44"/>
  <c r="S20" i="44"/>
  <c r="D106" i="44"/>
  <c r="S21" i="44"/>
  <c r="D107" i="44"/>
  <c r="S22" i="44"/>
  <c r="D108" i="44"/>
  <c r="S23" i="44"/>
  <c r="S24" i="44"/>
  <c r="S25" i="44"/>
  <c r="D109" i="44"/>
  <c r="S26" i="44"/>
  <c r="S27" i="44"/>
  <c r="S28" i="44"/>
  <c r="S29" i="44"/>
  <c r="S30" i="44"/>
  <c r="D110" i="44"/>
  <c r="S31" i="44"/>
  <c r="D111" i="44"/>
  <c r="S32" i="44"/>
  <c r="D112" i="44"/>
  <c r="S33" i="44"/>
  <c r="S34" i="44"/>
  <c r="S36" i="44"/>
  <c r="D113" i="44"/>
  <c r="S6" i="44"/>
  <c r="D95" i="44"/>
  <c r="I44" i="44"/>
  <c r="B113" i="44"/>
  <c r="J44" i="44"/>
  <c r="C113" i="44"/>
  <c r="I7" i="44"/>
  <c r="J7" i="44"/>
  <c r="I8" i="44"/>
  <c r="B96" i="44"/>
  <c r="J8" i="44"/>
  <c r="C96" i="44"/>
  <c r="I9" i="44"/>
  <c r="J9" i="44"/>
  <c r="I10" i="44"/>
  <c r="B97" i="44"/>
  <c r="J10" i="44"/>
  <c r="C97" i="44"/>
  <c r="I11" i="44"/>
  <c r="J11" i="44"/>
  <c r="I12" i="44"/>
  <c r="B98" i="44"/>
  <c r="J12" i="44"/>
  <c r="C98" i="44"/>
  <c r="I13" i="44"/>
  <c r="J13" i="44"/>
  <c r="I14" i="44"/>
  <c r="J14" i="44"/>
  <c r="I15" i="44"/>
  <c r="B99" i="44"/>
  <c r="J15" i="44"/>
  <c r="C99" i="44"/>
  <c r="I16" i="44"/>
  <c r="B100" i="44"/>
  <c r="J16" i="44"/>
  <c r="C100" i="44"/>
  <c r="I17" i="44"/>
  <c r="J17" i="44"/>
  <c r="I18" i="44"/>
  <c r="B101" i="44"/>
  <c r="C101" i="44"/>
  <c r="I20" i="44"/>
  <c r="J20" i="44"/>
  <c r="I21" i="44"/>
  <c r="J21" i="44"/>
  <c r="I22" i="44"/>
  <c r="B102" i="44"/>
  <c r="J22" i="44"/>
  <c r="C102" i="44"/>
  <c r="I23" i="44"/>
  <c r="B103" i="44"/>
  <c r="J23" i="44"/>
  <c r="C103" i="44"/>
  <c r="I24" i="44"/>
  <c r="J24" i="44"/>
  <c r="I25" i="44"/>
  <c r="B104" i="44"/>
  <c r="J25" i="44"/>
  <c r="C104" i="44"/>
  <c r="I26" i="44"/>
  <c r="B105" i="44"/>
  <c r="J26" i="44"/>
  <c r="C105" i="44"/>
  <c r="I27" i="44"/>
  <c r="B106" i="44"/>
  <c r="J27" i="44"/>
  <c r="C106" i="44"/>
  <c r="I28" i="44"/>
  <c r="B107" i="44"/>
  <c r="J28" i="44"/>
  <c r="C107" i="44"/>
  <c r="I29" i="44"/>
  <c r="B108" i="44"/>
  <c r="J29" i="44"/>
  <c r="C108" i="44"/>
  <c r="I30" i="44"/>
  <c r="J30" i="44"/>
  <c r="I31" i="44"/>
  <c r="J31" i="44"/>
  <c r="I32" i="44"/>
  <c r="B109" i="44"/>
  <c r="J32" i="44"/>
  <c r="C109" i="44"/>
  <c r="I33" i="44"/>
  <c r="J33" i="44"/>
  <c r="I34" i="44"/>
  <c r="J34" i="44"/>
  <c r="I35" i="44"/>
  <c r="J35" i="44"/>
  <c r="I36" i="44"/>
  <c r="J36" i="44"/>
  <c r="I37" i="44"/>
  <c r="B110" i="44"/>
  <c r="J37" i="44"/>
  <c r="C110" i="44"/>
  <c r="I38" i="44"/>
  <c r="J38" i="44"/>
  <c r="I39" i="44"/>
  <c r="B111" i="44"/>
  <c r="J39" i="44"/>
  <c r="C111" i="44"/>
  <c r="I40" i="44"/>
  <c r="B112" i="44"/>
  <c r="J40" i="44"/>
  <c r="C112" i="44"/>
  <c r="I41" i="44"/>
  <c r="J41" i="44"/>
  <c r="I42" i="44"/>
  <c r="J42" i="44"/>
  <c r="I43" i="44"/>
  <c r="J43" i="44"/>
  <c r="J6" i="44"/>
  <c r="C95" i="44"/>
  <c r="I6" i="44"/>
  <c r="B95" i="44"/>
  <c r="E12" i="44"/>
  <c r="E18" i="44"/>
  <c r="D26" i="44"/>
  <c r="B90" i="44"/>
  <c r="E26" i="44"/>
  <c r="C90" i="44"/>
  <c r="N7" i="44"/>
  <c r="N8" i="44"/>
  <c r="D74" i="44"/>
  <c r="N9" i="44"/>
  <c r="D75" i="44"/>
  <c r="N10" i="44"/>
  <c r="D76" i="44"/>
  <c r="N11" i="44"/>
  <c r="D77" i="44"/>
  <c r="N12" i="44"/>
  <c r="D78" i="44"/>
  <c r="N13" i="44"/>
  <c r="D79" i="44"/>
  <c r="N14" i="44"/>
  <c r="D80" i="44"/>
  <c r="N15" i="44"/>
  <c r="D81" i="44"/>
  <c r="N16" i="44"/>
  <c r="D82" i="44"/>
  <c r="N17" i="44"/>
  <c r="N18" i="44"/>
  <c r="D83" i="44"/>
  <c r="N19" i="44"/>
  <c r="N20" i="44"/>
  <c r="D84" i="44"/>
  <c r="N21" i="44"/>
  <c r="D85" i="44"/>
  <c r="N22" i="44"/>
  <c r="D86" i="44"/>
  <c r="N23" i="44"/>
  <c r="D87" i="44"/>
  <c r="N24" i="44"/>
  <c r="D88" i="44"/>
  <c r="N25" i="44"/>
  <c r="D89" i="44"/>
  <c r="N26" i="44"/>
  <c r="D90" i="44"/>
  <c r="N27" i="44"/>
  <c r="D91" i="44"/>
  <c r="N28" i="44"/>
  <c r="D92" i="44"/>
  <c r="N29" i="44"/>
  <c r="D93" i="44"/>
  <c r="N30" i="44"/>
  <c r="N31" i="44"/>
  <c r="D94" i="44"/>
  <c r="N6" i="44"/>
  <c r="D73" i="44"/>
  <c r="D7" i="44"/>
  <c r="E7" i="44"/>
  <c r="D8" i="44"/>
  <c r="B74" i="44"/>
  <c r="E8" i="44"/>
  <c r="C74" i="44"/>
  <c r="D9" i="44"/>
  <c r="B75" i="44"/>
  <c r="E9" i="44"/>
  <c r="C75" i="44"/>
  <c r="D10" i="44"/>
  <c r="E10" i="44"/>
  <c r="D11" i="44"/>
  <c r="B76" i="44"/>
  <c r="E11" i="44"/>
  <c r="C76" i="44"/>
  <c r="D12" i="44"/>
  <c r="B77" i="44"/>
  <c r="C77" i="44"/>
  <c r="D13" i="44"/>
  <c r="B78" i="44"/>
  <c r="E13" i="44"/>
  <c r="C78" i="44"/>
  <c r="D14" i="44"/>
  <c r="B79" i="44"/>
  <c r="E14" i="44"/>
  <c r="C79" i="44"/>
  <c r="D15" i="44"/>
  <c r="B80" i="44"/>
  <c r="E15" i="44"/>
  <c r="C80" i="44"/>
  <c r="D16" i="44"/>
  <c r="B81" i="44"/>
  <c r="E16" i="44"/>
  <c r="C81" i="44"/>
  <c r="D17" i="44"/>
  <c r="B82" i="44"/>
  <c r="E17" i="44"/>
  <c r="C82" i="44"/>
  <c r="D18" i="44"/>
  <c r="B83" i="44"/>
  <c r="C83" i="44"/>
  <c r="D19" i="44"/>
  <c r="B84" i="44"/>
  <c r="E19" i="44"/>
  <c r="C84" i="44"/>
  <c r="D20" i="44"/>
  <c r="E20" i="44"/>
  <c r="D21" i="44"/>
  <c r="B85" i="44"/>
  <c r="E21" i="44"/>
  <c r="C85" i="44"/>
  <c r="D22" i="44"/>
  <c r="B86" i="44"/>
  <c r="E22" i="44"/>
  <c r="C86" i="44"/>
  <c r="D23" i="44"/>
  <c r="B87" i="44"/>
  <c r="E23" i="44"/>
  <c r="C87" i="44"/>
  <c r="D24" i="44"/>
  <c r="B88" i="44"/>
  <c r="E24" i="44"/>
  <c r="C88" i="44"/>
  <c r="D25" i="44"/>
  <c r="B89" i="44"/>
  <c r="E25" i="44"/>
  <c r="C89" i="44"/>
  <c r="D27" i="44"/>
  <c r="B91" i="44"/>
  <c r="E27" i="44"/>
  <c r="C91" i="44"/>
  <c r="D28" i="44"/>
  <c r="B92" i="44"/>
  <c r="E28" i="44"/>
  <c r="C92" i="44"/>
  <c r="D29" i="44"/>
  <c r="B93" i="44"/>
  <c r="E29" i="44"/>
  <c r="C93" i="44"/>
  <c r="D30" i="44"/>
  <c r="B94" i="44"/>
  <c r="E30" i="44"/>
  <c r="C94" i="44"/>
  <c r="E6" i="44"/>
  <c r="C73" i="44"/>
  <c r="D6" i="44"/>
  <c r="B73" i="44"/>
  <c r="B232" i="27"/>
  <c r="C232" i="27"/>
  <c r="I232" i="27"/>
  <c r="J232" i="27"/>
  <c r="M141" i="49"/>
  <c r="K232" i="27"/>
  <c r="L232" i="27"/>
  <c r="M232" i="27"/>
  <c r="N232" i="27"/>
  <c r="B310" i="27"/>
  <c r="C310" i="27"/>
  <c r="I310" i="27"/>
  <c r="J310" i="27"/>
  <c r="M142" i="49"/>
  <c r="K310" i="27"/>
  <c r="L310" i="27"/>
  <c r="M310" i="27"/>
  <c r="N310" i="27"/>
  <c r="B298" i="27"/>
  <c r="C298" i="27"/>
  <c r="I298" i="27"/>
  <c r="J298" i="27"/>
  <c r="M143" i="49"/>
  <c r="K298" i="27"/>
  <c r="L298" i="27"/>
  <c r="M298" i="27"/>
  <c r="N298" i="27"/>
  <c r="B239" i="27"/>
  <c r="C239" i="27"/>
  <c r="I239" i="27"/>
  <c r="J239" i="27"/>
  <c r="M144" i="49"/>
  <c r="K239" i="27"/>
  <c r="L239" i="27"/>
  <c r="M239" i="27"/>
  <c r="N239" i="27"/>
  <c r="B235" i="27"/>
  <c r="C235" i="27"/>
  <c r="I235" i="27"/>
  <c r="J235" i="27"/>
  <c r="M145" i="49"/>
  <c r="K235" i="27"/>
  <c r="L235" i="27"/>
  <c r="M235" i="27"/>
  <c r="N235" i="27"/>
  <c r="B266" i="27"/>
  <c r="C266" i="27"/>
  <c r="I266" i="27"/>
  <c r="J266" i="27"/>
  <c r="M146" i="49"/>
  <c r="K266" i="27"/>
  <c r="L266" i="27"/>
  <c r="M266" i="27"/>
  <c r="N266" i="27"/>
  <c r="B319" i="27"/>
  <c r="C319" i="27"/>
  <c r="I319" i="27"/>
  <c r="J319" i="27"/>
  <c r="M147" i="49"/>
  <c r="K319" i="27"/>
  <c r="L319" i="27"/>
  <c r="M319" i="27"/>
  <c r="N319" i="27"/>
  <c r="B301" i="27"/>
  <c r="C301" i="27"/>
  <c r="I301" i="27"/>
  <c r="J301" i="27"/>
  <c r="M148" i="49"/>
  <c r="K301" i="27"/>
  <c r="L301" i="27"/>
  <c r="M301" i="27"/>
  <c r="N301" i="27"/>
  <c r="B296" i="27"/>
  <c r="C296" i="27"/>
  <c r="I296" i="27"/>
  <c r="J296" i="27"/>
  <c r="M149" i="49"/>
  <c r="K296" i="27"/>
  <c r="L296" i="27"/>
  <c r="M296" i="27"/>
  <c r="N296" i="27"/>
  <c r="B316" i="27"/>
  <c r="C316" i="27"/>
  <c r="I316" i="27"/>
  <c r="J316" i="27"/>
  <c r="M150" i="49"/>
  <c r="K316" i="27"/>
  <c r="L316" i="27"/>
  <c r="M316" i="27"/>
  <c r="N316" i="27"/>
  <c r="B215" i="27"/>
  <c r="C215" i="27"/>
  <c r="I215" i="27"/>
  <c r="J215" i="27"/>
  <c r="M151" i="49"/>
  <c r="K215" i="27"/>
  <c r="L215" i="27"/>
  <c r="M215" i="27"/>
  <c r="N215" i="27"/>
  <c r="B269" i="27"/>
  <c r="C269" i="27"/>
  <c r="I269" i="27"/>
  <c r="J269" i="27"/>
  <c r="M152" i="49"/>
  <c r="K269" i="27"/>
  <c r="L269" i="27"/>
  <c r="M269" i="27"/>
  <c r="N269" i="27"/>
  <c r="B217" i="27"/>
  <c r="C217" i="27"/>
  <c r="I217" i="27"/>
  <c r="J217" i="27"/>
  <c r="M153" i="49"/>
  <c r="K217" i="27"/>
  <c r="L217" i="27"/>
  <c r="M217" i="27"/>
  <c r="N217" i="27"/>
  <c r="B251" i="27"/>
  <c r="C251" i="27"/>
  <c r="I251" i="27"/>
  <c r="J251" i="27"/>
  <c r="M154" i="49"/>
  <c r="K251" i="27"/>
  <c r="L251" i="27"/>
  <c r="M251" i="27"/>
  <c r="N251" i="27"/>
  <c r="B258" i="27"/>
  <c r="C258" i="27"/>
  <c r="I258" i="27"/>
  <c r="J258" i="27"/>
  <c r="M155" i="49"/>
  <c r="K258" i="27"/>
  <c r="L258" i="27"/>
  <c r="M258" i="27"/>
  <c r="N258" i="27"/>
  <c r="B220" i="27"/>
  <c r="C220" i="27"/>
  <c r="I220" i="27"/>
  <c r="J220" i="27"/>
  <c r="M156" i="49"/>
  <c r="K220" i="27"/>
  <c r="L220" i="27"/>
  <c r="M220" i="27"/>
  <c r="N220" i="27"/>
  <c r="B291" i="27"/>
  <c r="C291" i="27"/>
  <c r="I291" i="27"/>
  <c r="J291" i="27"/>
  <c r="M157" i="49"/>
  <c r="K291" i="27"/>
  <c r="L291" i="27"/>
  <c r="M291" i="27"/>
  <c r="N291" i="27"/>
  <c r="B211" i="27"/>
  <c r="C211" i="27"/>
  <c r="I211" i="27"/>
  <c r="J211" i="27"/>
  <c r="M158" i="49"/>
  <c r="K211" i="27"/>
  <c r="L211" i="27"/>
  <c r="M211" i="27"/>
  <c r="N211" i="27"/>
  <c r="B322" i="27"/>
  <c r="C322" i="27"/>
  <c r="I322" i="27"/>
  <c r="J322" i="27"/>
  <c r="M159" i="49"/>
  <c r="K322" i="27"/>
  <c r="L322" i="27"/>
  <c r="M322" i="27"/>
  <c r="N322" i="27"/>
  <c r="B249" i="27"/>
  <c r="C249" i="27"/>
  <c r="I249" i="27"/>
  <c r="J249" i="27"/>
  <c r="M160" i="49"/>
  <c r="K249" i="27"/>
  <c r="L249" i="27"/>
  <c r="M249" i="27"/>
  <c r="N249" i="27"/>
  <c r="B242" i="27"/>
  <c r="C242" i="27"/>
  <c r="I242" i="27"/>
  <c r="J242" i="27"/>
  <c r="M161" i="49"/>
  <c r="K242" i="27"/>
  <c r="L242" i="27"/>
  <c r="M242" i="27"/>
  <c r="N242" i="27"/>
  <c r="B246" i="27"/>
  <c r="C246" i="27"/>
  <c r="I246" i="27"/>
  <c r="J246" i="27"/>
  <c r="M162" i="49"/>
  <c r="K246" i="27"/>
  <c r="L246" i="27"/>
  <c r="M246" i="27"/>
  <c r="N246" i="27"/>
  <c r="B273" i="27"/>
  <c r="C273" i="27"/>
  <c r="I273" i="27"/>
  <c r="J273" i="27"/>
  <c r="M134" i="49"/>
  <c r="K273" i="27"/>
  <c r="L273" i="27"/>
  <c r="M273" i="27"/>
  <c r="N273" i="27"/>
  <c r="B283" i="27"/>
  <c r="C283" i="27"/>
  <c r="I283" i="27"/>
  <c r="J283" i="27"/>
  <c r="M135" i="49"/>
  <c r="K283" i="27"/>
  <c r="L283" i="27"/>
  <c r="M283" i="27"/>
  <c r="N283" i="27"/>
  <c r="B230" i="27"/>
  <c r="C230" i="27"/>
  <c r="I230" i="27"/>
  <c r="J230" i="27"/>
  <c r="M136" i="49"/>
  <c r="K230" i="27"/>
  <c r="L230" i="27"/>
  <c r="M230" i="27"/>
  <c r="N230" i="27"/>
  <c r="B312" i="27"/>
  <c r="C312" i="27"/>
  <c r="I312" i="27"/>
  <c r="J312" i="27"/>
  <c r="M137" i="49"/>
  <c r="K312" i="27"/>
  <c r="L312" i="27"/>
  <c r="M312" i="27"/>
  <c r="N312" i="27"/>
  <c r="B226" i="27"/>
  <c r="C226" i="27"/>
  <c r="I226" i="27"/>
  <c r="J226" i="27"/>
  <c r="M138" i="49"/>
  <c r="K226" i="27"/>
  <c r="L226" i="27"/>
  <c r="M226" i="27"/>
  <c r="N226" i="27"/>
  <c r="B236" i="27"/>
  <c r="C236" i="27"/>
  <c r="I236" i="27"/>
  <c r="J236" i="27"/>
  <c r="M139" i="49"/>
  <c r="K236" i="27"/>
  <c r="L236" i="27"/>
  <c r="M236" i="27"/>
  <c r="N236" i="27"/>
  <c r="B264" i="27"/>
  <c r="C264" i="27"/>
  <c r="I264" i="27"/>
  <c r="J264" i="27"/>
  <c r="M140" i="49"/>
  <c r="K264" i="27"/>
  <c r="L264" i="27"/>
  <c r="M264" i="27"/>
  <c r="N264" i="27"/>
  <c r="B262" i="27"/>
  <c r="C262" i="27"/>
  <c r="I262" i="27"/>
  <c r="J262" i="27"/>
  <c r="M125" i="49"/>
  <c r="K262" i="27"/>
  <c r="L262" i="27"/>
  <c r="M262" i="27"/>
  <c r="N262" i="27"/>
  <c r="B277" i="27"/>
  <c r="C277" i="27"/>
  <c r="I277" i="27"/>
  <c r="J277" i="27"/>
  <c r="M126" i="49"/>
  <c r="K277" i="27"/>
  <c r="L277" i="27"/>
  <c r="M277" i="27"/>
  <c r="N277" i="27"/>
  <c r="B308" i="27"/>
  <c r="C308" i="27"/>
  <c r="I308" i="27"/>
  <c r="J308" i="27"/>
  <c r="M127" i="49"/>
  <c r="K308" i="27"/>
  <c r="L308" i="27"/>
  <c r="M308" i="27"/>
  <c r="N308" i="27"/>
  <c r="B320" i="27"/>
  <c r="C320" i="27"/>
  <c r="I320" i="27"/>
  <c r="J320" i="27"/>
  <c r="M128" i="49"/>
  <c r="K320" i="27"/>
  <c r="L320" i="27"/>
  <c r="M320" i="27"/>
  <c r="N320" i="27"/>
  <c r="B244" i="27"/>
  <c r="C244" i="27"/>
  <c r="I244" i="27"/>
  <c r="J244" i="27"/>
  <c r="M129" i="49"/>
  <c r="K244" i="27"/>
  <c r="L244" i="27"/>
  <c r="M244" i="27"/>
  <c r="N244" i="27"/>
  <c r="B309" i="27"/>
  <c r="C309" i="27"/>
  <c r="I309" i="27"/>
  <c r="J309" i="27"/>
  <c r="M130" i="49"/>
  <c r="K309" i="27"/>
  <c r="L309" i="27"/>
  <c r="M309" i="27"/>
  <c r="N309" i="27"/>
  <c r="B278" i="27"/>
  <c r="C278" i="27"/>
  <c r="I278" i="27"/>
  <c r="J278" i="27"/>
  <c r="M131" i="49"/>
  <c r="K278" i="27"/>
  <c r="L278" i="27"/>
  <c r="M278" i="27"/>
  <c r="N278" i="27"/>
  <c r="B218" i="27"/>
  <c r="C218" i="27"/>
  <c r="I218" i="27"/>
  <c r="J218" i="27"/>
  <c r="M132" i="49"/>
  <c r="K218" i="27"/>
  <c r="L218" i="27"/>
  <c r="M218" i="27"/>
  <c r="N218" i="27"/>
  <c r="B254" i="27"/>
  <c r="C254" i="27"/>
  <c r="I254" i="27"/>
  <c r="J254" i="27"/>
  <c r="M133" i="49"/>
  <c r="K254" i="27"/>
  <c r="L254" i="27"/>
  <c r="M254" i="27"/>
  <c r="N254" i="27"/>
  <c r="B234" i="27"/>
  <c r="C234" i="27"/>
  <c r="I234" i="27"/>
  <c r="J234" i="27"/>
  <c r="M20" i="49"/>
  <c r="K234" i="27"/>
  <c r="L234" i="27"/>
  <c r="M234" i="27"/>
  <c r="N234" i="27"/>
  <c r="B345" i="27"/>
  <c r="C345" i="27"/>
  <c r="I345" i="27"/>
  <c r="J345" i="27"/>
  <c r="M21" i="49"/>
  <c r="K345" i="27"/>
  <c r="L345" i="27"/>
  <c r="M345" i="27"/>
  <c r="N345" i="27"/>
  <c r="B344" i="27"/>
  <c r="C344" i="27"/>
  <c r="I344" i="27"/>
  <c r="J344" i="27"/>
  <c r="M22" i="49"/>
  <c r="K344" i="27"/>
  <c r="L344" i="27"/>
  <c r="M344" i="27"/>
  <c r="N344" i="27"/>
  <c r="B352" i="27"/>
  <c r="C352" i="27"/>
  <c r="I352" i="27"/>
  <c r="J352" i="27"/>
  <c r="M23" i="49"/>
  <c r="K352" i="27"/>
  <c r="L352" i="27"/>
  <c r="M352" i="27"/>
  <c r="N352" i="27"/>
  <c r="B350" i="27"/>
  <c r="C350" i="27"/>
  <c r="I350" i="27"/>
  <c r="J350" i="27"/>
  <c r="M24" i="49"/>
  <c r="K350" i="27"/>
  <c r="L350" i="27"/>
  <c r="M350" i="27"/>
  <c r="N350" i="27"/>
  <c r="B348" i="27"/>
  <c r="C348" i="27"/>
  <c r="I348" i="27"/>
  <c r="J348" i="27"/>
  <c r="M25" i="49"/>
  <c r="K348" i="27"/>
  <c r="L348" i="27"/>
  <c r="M348" i="27"/>
  <c r="N348" i="27"/>
  <c r="B300" i="27"/>
  <c r="C300" i="27"/>
  <c r="I300" i="27"/>
  <c r="J300" i="27"/>
  <c r="M26" i="49"/>
  <c r="K300" i="27"/>
  <c r="L300" i="27"/>
  <c r="M300" i="27"/>
  <c r="N300" i="27"/>
  <c r="B342" i="27"/>
  <c r="C342" i="27"/>
  <c r="I342" i="27"/>
  <c r="J342" i="27"/>
  <c r="M27" i="49"/>
  <c r="K342" i="27"/>
  <c r="L342" i="27"/>
  <c r="M342" i="27"/>
  <c r="N342" i="27"/>
  <c r="B335" i="27"/>
  <c r="C335" i="27"/>
  <c r="I335" i="27"/>
  <c r="J335" i="27"/>
  <c r="M28" i="49"/>
  <c r="K335" i="27"/>
  <c r="L335" i="27"/>
  <c r="M335" i="27"/>
  <c r="N335" i="27"/>
  <c r="B339" i="27"/>
  <c r="C339" i="27"/>
  <c r="I339" i="27"/>
  <c r="J339" i="27"/>
  <c r="M29" i="49"/>
  <c r="K339" i="27"/>
  <c r="L339" i="27"/>
  <c r="M339" i="27"/>
  <c r="N339" i="27"/>
  <c r="B349" i="27"/>
  <c r="C349" i="27"/>
  <c r="I349" i="27"/>
  <c r="J349" i="27"/>
  <c r="M30" i="49"/>
  <c r="K349" i="27"/>
  <c r="L349" i="27"/>
  <c r="M349" i="27"/>
  <c r="N349" i="27"/>
  <c r="B343" i="27"/>
  <c r="C343" i="27"/>
  <c r="I343" i="27"/>
  <c r="J343" i="27"/>
  <c r="M31" i="49"/>
  <c r="K343" i="27"/>
  <c r="L343" i="27"/>
  <c r="M343" i="27"/>
  <c r="N343" i="27"/>
  <c r="B324" i="27"/>
  <c r="C324" i="27"/>
  <c r="I324" i="27"/>
  <c r="J324" i="27"/>
  <c r="M32" i="49"/>
  <c r="K324" i="27"/>
  <c r="L324" i="27"/>
  <c r="M324" i="27"/>
  <c r="N324" i="27"/>
  <c r="B337" i="27"/>
  <c r="C337" i="27"/>
  <c r="I337" i="27"/>
  <c r="J337" i="27"/>
  <c r="M33" i="49"/>
  <c r="K337" i="27"/>
  <c r="L337" i="27"/>
  <c r="M337" i="27"/>
  <c r="N337" i="27"/>
  <c r="B253" i="27"/>
  <c r="C253" i="27"/>
  <c r="I253" i="27"/>
  <c r="J253" i="27"/>
  <c r="M34" i="49"/>
  <c r="K253" i="27"/>
  <c r="L253" i="27"/>
  <c r="M253" i="27"/>
  <c r="N253" i="27"/>
  <c r="B221" i="27"/>
  <c r="C221" i="27"/>
  <c r="I221" i="27"/>
  <c r="J221" i="27"/>
  <c r="M35" i="49"/>
  <c r="K221" i="27"/>
  <c r="L221" i="27"/>
  <c r="M221" i="27"/>
  <c r="N221" i="27"/>
  <c r="B354" i="27"/>
  <c r="C354" i="27"/>
  <c r="I354" i="27"/>
  <c r="J354" i="27"/>
  <c r="M36" i="49"/>
  <c r="K354" i="27"/>
  <c r="L354" i="27"/>
  <c r="M354" i="27"/>
  <c r="N354" i="27"/>
  <c r="B263" i="27"/>
  <c r="C263" i="27"/>
  <c r="I263" i="27"/>
  <c r="J263" i="27"/>
  <c r="M37" i="49"/>
  <c r="K263" i="27"/>
  <c r="L263" i="27"/>
  <c r="M263" i="27"/>
  <c r="N263" i="27"/>
  <c r="B336" i="27"/>
  <c r="C336" i="27"/>
  <c r="I336" i="27"/>
  <c r="J336" i="27"/>
  <c r="M38" i="49"/>
  <c r="K336" i="27"/>
  <c r="L336" i="27"/>
  <c r="M336" i="27"/>
  <c r="N336" i="27"/>
  <c r="B325" i="27"/>
  <c r="C325" i="27"/>
  <c r="I325" i="27"/>
  <c r="J325" i="27"/>
  <c r="M39" i="49"/>
  <c r="K325" i="27"/>
  <c r="L325" i="27"/>
  <c r="M325" i="27"/>
  <c r="N325" i="27"/>
  <c r="B240" i="27"/>
  <c r="C240" i="27"/>
  <c r="I240" i="27"/>
  <c r="J240" i="27"/>
  <c r="M40" i="49"/>
  <c r="K240" i="27"/>
  <c r="L240" i="27"/>
  <c r="M240" i="27"/>
  <c r="N240" i="27"/>
  <c r="B338" i="27"/>
  <c r="C338" i="27"/>
  <c r="I338" i="27"/>
  <c r="J338" i="27"/>
  <c r="M41" i="49"/>
  <c r="K338" i="27"/>
  <c r="L338" i="27"/>
  <c r="M338" i="27"/>
  <c r="N338" i="27"/>
  <c r="B346" i="27"/>
  <c r="C346" i="27"/>
  <c r="I346" i="27"/>
  <c r="J346" i="27"/>
  <c r="M42" i="49"/>
  <c r="K346" i="27"/>
  <c r="L346" i="27"/>
  <c r="M346" i="27"/>
  <c r="N346" i="27"/>
  <c r="B227" i="27"/>
  <c r="C227" i="27"/>
  <c r="I227" i="27"/>
  <c r="J227" i="27"/>
  <c r="M43" i="49"/>
  <c r="K227" i="27"/>
  <c r="L227" i="27"/>
  <c r="M227" i="27"/>
  <c r="N227" i="27"/>
  <c r="B238" i="27"/>
  <c r="C238" i="27"/>
  <c r="I238" i="27"/>
  <c r="J238" i="27"/>
  <c r="M44" i="49"/>
  <c r="K238" i="27"/>
  <c r="L238" i="27"/>
  <c r="M238" i="27"/>
  <c r="N238" i="27"/>
  <c r="B272" i="27"/>
  <c r="C272" i="27"/>
  <c r="I272" i="27"/>
  <c r="J272" i="27"/>
  <c r="M45" i="49"/>
  <c r="K272" i="27"/>
  <c r="L272" i="27"/>
  <c r="M272" i="27"/>
  <c r="N272" i="27"/>
  <c r="B267" i="27"/>
  <c r="C267" i="27"/>
  <c r="I267" i="27"/>
  <c r="J267" i="27"/>
  <c r="M46" i="49"/>
  <c r="K267" i="27"/>
  <c r="L267" i="27"/>
  <c r="M267" i="27"/>
  <c r="N267" i="27"/>
  <c r="B214" i="27"/>
  <c r="C214" i="27"/>
  <c r="I214" i="27"/>
  <c r="J214" i="27"/>
  <c r="M47" i="49"/>
  <c r="K214" i="27"/>
  <c r="L214" i="27"/>
  <c r="M214" i="27"/>
  <c r="N214" i="27"/>
  <c r="B331" i="27"/>
  <c r="C331" i="27"/>
  <c r="I331" i="27"/>
  <c r="J331" i="27"/>
  <c r="M48" i="49"/>
  <c r="K331" i="27"/>
  <c r="L331" i="27"/>
  <c r="M331" i="27"/>
  <c r="N331" i="27"/>
  <c r="B237" i="27"/>
  <c r="C237" i="27"/>
  <c r="I237" i="27"/>
  <c r="J237" i="27"/>
  <c r="M49" i="49"/>
  <c r="K237" i="27"/>
  <c r="L237" i="27"/>
  <c r="M237" i="27"/>
  <c r="N237" i="27"/>
  <c r="B212" i="27"/>
  <c r="C212" i="27"/>
  <c r="I212" i="27"/>
  <c r="J212" i="27"/>
  <c r="M50" i="49"/>
  <c r="K212" i="27"/>
  <c r="L212" i="27"/>
  <c r="M212" i="27"/>
  <c r="N212" i="27"/>
  <c r="B259" i="27"/>
  <c r="C259" i="27"/>
  <c r="I259" i="27"/>
  <c r="J259" i="27"/>
  <c r="M51" i="49"/>
  <c r="K259" i="27"/>
  <c r="L259" i="27"/>
  <c r="M259" i="27"/>
  <c r="N259" i="27"/>
  <c r="B299" i="27"/>
  <c r="C299" i="27"/>
  <c r="I299" i="27"/>
  <c r="J299" i="27"/>
  <c r="M52" i="49"/>
  <c r="K299" i="27"/>
  <c r="L299" i="27"/>
  <c r="M299" i="27"/>
  <c r="N299" i="27"/>
  <c r="B271" i="27"/>
  <c r="C271" i="27"/>
  <c r="I271" i="27"/>
  <c r="J271" i="27"/>
  <c r="M53" i="49"/>
  <c r="K271" i="27"/>
  <c r="L271" i="27"/>
  <c r="M271" i="27"/>
  <c r="N271" i="27"/>
  <c r="B333" i="27"/>
  <c r="C333" i="27"/>
  <c r="I333" i="27"/>
  <c r="J333" i="27"/>
  <c r="M54" i="49"/>
  <c r="K333" i="27"/>
  <c r="L333" i="27"/>
  <c r="M333" i="27"/>
  <c r="N333" i="27"/>
  <c r="B241" i="27"/>
  <c r="C241" i="27"/>
  <c r="I241" i="27"/>
  <c r="J241" i="27"/>
  <c r="M55" i="49"/>
  <c r="K241" i="27"/>
  <c r="L241" i="27"/>
  <c r="M241" i="27"/>
  <c r="N241" i="27"/>
  <c r="B288" i="27"/>
  <c r="C288" i="27"/>
  <c r="I288" i="27"/>
  <c r="J288" i="27"/>
  <c r="M56" i="49"/>
  <c r="K288" i="27"/>
  <c r="L288" i="27"/>
  <c r="M288" i="27"/>
  <c r="N288" i="27"/>
  <c r="B210" i="27"/>
  <c r="C210" i="27"/>
  <c r="I210" i="27"/>
  <c r="J210" i="27"/>
  <c r="M57" i="49"/>
  <c r="K210" i="27"/>
  <c r="L210" i="27"/>
  <c r="M210" i="27"/>
  <c r="N210" i="27"/>
  <c r="B213" i="27"/>
  <c r="C213" i="27"/>
  <c r="I213" i="27"/>
  <c r="J213" i="27"/>
  <c r="M58" i="49"/>
  <c r="K213" i="27"/>
  <c r="L213" i="27"/>
  <c r="M213" i="27"/>
  <c r="N213" i="27"/>
  <c r="B222" i="27"/>
  <c r="C222" i="27"/>
  <c r="I222" i="27"/>
  <c r="J222" i="27"/>
  <c r="M59" i="49"/>
  <c r="K222" i="27"/>
  <c r="L222" i="27"/>
  <c r="M222" i="27"/>
  <c r="N222" i="27"/>
  <c r="B323" i="27"/>
  <c r="C323" i="27"/>
  <c r="I323" i="27"/>
  <c r="J323" i="27"/>
  <c r="M60" i="49"/>
  <c r="K323" i="27"/>
  <c r="L323" i="27"/>
  <c r="M323" i="27"/>
  <c r="N323" i="27"/>
  <c r="B294" i="27"/>
  <c r="C294" i="27"/>
  <c r="I294" i="27"/>
  <c r="J294" i="27"/>
  <c r="M61" i="49"/>
  <c r="K294" i="27"/>
  <c r="L294" i="27"/>
  <c r="M294" i="27"/>
  <c r="N294" i="27"/>
  <c r="B347" i="27"/>
  <c r="C347" i="27"/>
  <c r="I347" i="27"/>
  <c r="J347" i="27"/>
  <c r="M62" i="49"/>
  <c r="K347" i="27"/>
  <c r="L347" i="27"/>
  <c r="M347" i="27"/>
  <c r="N347" i="27"/>
  <c r="B327" i="27"/>
  <c r="C327" i="27"/>
  <c r="I327" i="27"/>
  <c r="J327" i="27"/>
  <c r="M63" i="49"/>
  <c r="K327" i="27"/>
  <c r="L327" i="27"/>
  <c r="M327" i="27"/>
  <c r="N327" i="27"/>
  <c r="B282" i="27"/>
  <c r="C282" i="27"/>
  <c r="I282" i="27"/>
  <c r="J282" i="27"/>
  <c r="M64" i="49"/>
  <c r="K282" i="27"/>
  <c r="L282" i="27"/>
  <c r="M282" i="27"/>
  <c r="N282" i="27"/>
  <c r="B268" i="27"/>
  <c r="C268" i="27"/>
  <c r="I268" i="27"/>
  <c r="J268" i="27"/>
  <c r="M65" i="49"/>
  <c r="K268" i="27"/>
  <c r="L268" i="27"/>
  <c r="M268" i="27"/>
  <c r="N268" i="27"/>
  <c r="B247" i="27"/>
  <c r="C247" i="27"/>
  <c r="I247" i="27"/>
  <c r="J247" i="27"/>
  <c r="M66" i="49"/>
  <c r="K247" i="27"/>
  <c r="L247" i="27"/>
  <c r="M247" i="27"/>
  <c r="N247" i="27"/>
  <c r="B223" i="27"/>
  <c r="C223" i="27"/>
  <c r="I223" i="27"/>
  <c r="J223" i="27"/>
  <c r="M67" i="49"/>
  <c r="K223" i="27"/>
  <c r="L223" i="27"/>
  <c r="M223" i="27"/>
  <c r="N223" i="27"/>
  <c r="B307" i="27"/>
  <c r="C307" i="27"/>
  <c r="I307" i="27"/>
  <c r="J307" i="27"/>
  <c r="M68" i="49"/>
  <c r="K307" i="27"/>
  <c r="L307" i="27"/>
  <c r="M307" i="27"/>
  <c r="N307" i="27"/>
  <c r="B314" i="27"/>
  <c r="C314" i="27"/>
  <c r="I314" i="27"/>
  <c r="J314" i="27"/>
  <c r="M69" i="49"/>
  <c r="K314" i="27"/>
  <c r="L314" i="27"/>
  <c r="M314" i="27"/>
  <c r="N314" i="27"/>
  <c r="B281" i="27"/>
  <c r="C281" i="27"/>
  <c r="I281" i="27"/>
  <c r="J281" i="27"/>
  <c r="M70" i="49"/>
  <c r="K281" i="27"/>
  <c r="L281" i="27"/>
  <c r="M281" i="27"/>
  <c r="N281" i="27"/>
  <c r="B321" i="27"/>
  <c r="C321" i="27"/>
  <c r="I321" i="27"/>
  <c r="J321" i="27"/>
  <c r="M71" i="49"/>
  <c r="K321" i="27"/>
  <c r="L321" i="27"/>
  <c r="M321" i="27"/>
  <c r="N321" i="27"/>
  <c r="B225" i="27"/>
  <c r="C225" i="27"/>
  <c r="I225" i="27"/>
  <c r="J225" i="27"/>
  <c r="M72" i="49"/>
  <c r="K225" i="27"/>
  <c r="L225" i="27"/>
  <c r="M225" i="27"/>
  <c r="N225" i="27"/>
  <c r="B229" i="27"/>
  <c r="C229" i="27"/>
  <c r="I229" i="27"/>
  <c r="J229" i="27"/>
  <c r="M73" i="49"/>
  <c r="K229" i="27"/>
  <c r="L229" i="27"/>
  <c r="M229" i="27"/>
  <c r="N229" i="27"/>
  <c r="B293" i="27"/>
  <c r="C293" i="27"/>
  <c r="I293" i="27"/>
  <c r="J293" i="27"/>
  <c r="M74" i="49"/>
  <c r="K293" i="27"/>
  <c r="L293" i="27"/>
  <c r="M293" i="27"/>
  <c r="N293" i="27"/>
  <c r="B216" i="27"/>
  <c r="C216" i="27"/>
  <c r="I216" i="27"/>
  <c r="J216" i="27"/>
  <c r="M75" i="49"/>
  <c r="K216" i="27"/>
  <c r="L216" i="27"/>
  <c r="M216" i="27"/>
  <c r="N216" i="27"/>
  <c r="B231" i="27"/>
  <c r="C231" i="27"/>
  <c r="I231" i="27"/>
  <c r="J231" i="27"/>
  <c r="M76" i="49"/>
  <c r="K231" i="27"/>
  <c r="L231" i="27"/>
  <c r="M231" i="27"/>
  <c r="N231" i="27"/>
  <c r="B252" i="27"/>
  <c r="C252" i="27"/>
  <c r="I252" i="27"/>
  <c r="J252" i="27"/>
  <c r="M77" i="49"/>
  <c r="K252" i="27"/>
  <c r="L252" i="27"/>
  <c r="M252" i="27"/>
  <c r="N252" i="27"/>
  <c r="B332" i="27"/>
  <c r="C332" i="27"/>
  <c r="I332" i="27"/>
  <c r="J332" i="27"/>
  <c r="M78" i="49"/>
  <c r="K332" i="27"/>
  <c r="L332" i="27"/>
  <c r="M332" i="27"/>
  <c r="N332" i="27"/>
  <c r="B255" i="27"/>
  <c r="C255" i="27"/>
  <c r="I255" i="27"/>
  <c r="J255" i="27"/>
  <c r="M79" i="49"/>
  <c r="K255" i="27"/>
  <c r="L255" i="27"/>
  <c r="M255" i="27"/>
  <c r="N255" i="27"/>
  <c r="B313" i="27"/>
  <c r="C313" i="27"/>
  <c r="I313" i="27"/>
  <c r="J313" i="27"/>
  <c r="M80" i="49"/>
  <c r="K313" i="27"/>
  <c r="L313" i="27"/>
  <c r="M313" i="27"/>
  <c r="N313" i="27"/>
  <c r="B274" i="27"/>
  <c r="C274" i="27"/>
  <c r="I274" i="27"/>
  <c r="J274" i="27"/>
  <c r="M81" i="49"/>
  <c r="K274" i="27"/>
  <c r="L274" i="27"/>
  <c r="M274" i="27"/>
  <c r="N274" i="27"/>
  <c r="B219" i="27"/>
  <c r="C219" i="27"/>
  <c r="I219" i="27"/>
  <c r="J219" i="27"/>
  <c r="M82" i="49"/>
  <c r="K219" i="27"/>
  <c r="L219" i="27"/>
  <c r="M219" i="27"/>
  <c r="N219" i="27"/>
  <c r="B276" i="27"/>
  <c r="C276" i="27"/>
  <c r="I276" i="27"/>
  <c r="J276" i="27"/>
  <c r="M83" i="49"/>
  <c r="K276" i="27"/>
  <c r="L276" i="27"/>
  <c r="M276" i="27"/>
  <c r="N276" i="27"/>
  <c r="B265" i="27"/>
  <c r="C265" i="27"/>
  <c r="I265" i="27"/>
  <c r="J265" i="27"/>
  <c r="M84" i="49"/>
  <c r="K265" i="27"/>
  <c r="L265" i="27"/>
  <c r="M265" i="27"/>
  <c r="N265" i="27"/>
  <c r="B228" i="27"/>
  <c r="C228" i="27"/>
  <c r="I228" i="27"/>
  <c r="J228" i="27"/>
  <c r="M85" i="49"/>
  <c r="K228" i="27"/>
  <c r="L228" i="27"/>
  <c r="M228" i="27"/>
  <c r="N228" i="27"/>
  <c r="B270" i="27"/>
  <c r="C270" i="27"/>
  <c r="I270" i="27"/>
  <c r="J270" i="27"/>
  <c r="M86" i="49"/>
  <c r="K270" i="27"/>
  <c r="L270" i="27"/>
  <c r="M270" i="27"/>
  <c r="N270" i="27"/>
  <c r="B311" i="27"/>
  <c r="C311" i="27"/>
  <c r="I311" i="27"/>
  <c r="J311" i="27"/>
  <c r="M87" i="49"/>
  <c r="K311" i="27"/>
  <c r="L311" i="27"/>
  <c r="M311" i="27"/>
  <c r="N311" i="27"/>
  <c r="B287" i="27"/>
  <c r="C287" i="27"/>
  <c r="I287" i="27"/>
  <c r="J287" i="27"/>
  <c r="M88" i="49"/>
  <c r="K287" i="27"/>
  <c r="L287" i="27"/>
  <c r="M287" i="27"/>
  <c r="N287" i="27"/>
  <c r="B341" i="27"/>
  <c r="C341" i="27"/>
  <c r="I341" i="27"/>
  <c r="J341" i="27"/>
  <c r="M89" i="49"/>
  <c r="K341" i="27"/>
  <c r="L341" i="27"/>
  <c r="M341" i="27"/>
  <c r="N341" i="27"/>
  <c r="B318" i="27"/>
  <c r="C318" i="27"/>
  <c r="I318" i="27"/>
  <c r="J318" i="27"/>
  <c r="M90" i="49"/>
  <c r="K318" i="27"/>
  <c r="L318" i="27"/>
  <c r="M318" i="27"/>
  <c r="N318" i="27"/>
  <c r="B261" i="27"/>
  <c r="C261" i="27"/>
  <c r="I261" i="27"/>
  <c r="J261" i="27"/>
  <c r="M91" i="49"/>
  <c r="K261" i="27"/>
  <c r="L261" i="27"/>
  <c r="M261" i="27"/>
  <c r="N261" i="27"/>
  <c r="B340" i="27"/>
  <c r="C340" i="27"/>
  <c r="I340" i="27"/>
  <c r="J340" i="27"/>
  <c r="M92" i="49"/>
  <c r="K340" i="27"/>
  <c r="L340" i="27"/>
  <c r="M340" i="27"/>
  <c r="N340" i="27"/>
  <c r="B279" i="27"/>
  <c r="C279" i="27"/>
  <c r="I279" i="27"/>
  <c r="J279" i="27"/>
  <c r="M93" i="49"/>
  <c r="K279" i="27"/>
  <c r="L279" i="27"/>
  <c r="M279" i="27"/>
  <c r="N279" i="27"/>
  <c r="B329" i="27"/>
  <c r="C329" i="27"/>
  <c r="I329" i="27"/>
  <c r="J329" i="27"/>
  <c r="M94" i="49"/>
  <c r="K329" i="27"/>
  <c r="L329" i="27"/>
  <c r="M329" i="27"/>
  <c r="N329" i="27"/>
  <c r="B286" i="27"/>
  <c r="C286" i="27"/>
  <c r="I286" i="27"/>
  <c r="J286" i="27"/>
  <c r="M95" i="49"/>
  <c r="K286" i="27"/>
  <c r="L286" i="27"/>
  <c r="M286" i="27"/>
  <c r="N286" i="27"/>
  <c r="B328" i="27"/>
  <c r="C328" i="27"/>
  <c r="I328" i="27"/>
  <c r="J328" i="27"/>
  <c r="M96" i="49"/>
  <c r="K328" i="27"/>
  <c r="L328" i="27"/>
  <c r="M328" i="27"/>
  <c r="N328" i="27"/>
  <c r="B285" i="27"/>
  <c r="C285" i="27"/>
  <c r="I285" i="27"/>
  <c r="J285" i="27"/>
  <c r="M97" i="49"/>
  <c r="K285" i="27"/>
  <c r="L285" i="27"/>
  <c r="M285" i="27"/>
  <c r="N285" i="27"/>
  <c r="B284" i="27"/>
  <c r="C284" i="27"/>
  <c r="I284" i="27"/>
  <c r="J284" i="27"/>
  <c r="M98" i="49"/>
  <c r="K284" i="27"/>
  <c r="L284" i="27"/>
  <c r="M284" i="27"/>
  <c r="N284" i="27"/>
  <c r="B292" i="27"/>
  <c r="C292" i="27"/>
  <c r="I292" i="27"/>
  <c r="J292" i="27"/>
  <c r="M99" i="49"/>
  <c r="K292" i="27"/>
  <c r="L292" i="27"/>
  <c r="M292" i="27"/>
  <c r="N292" i="27"/>
  <c r="B304" i="27"/>
  <c r="C304" i="27"/>
  <c r="I304" i="27"/>
  <c r="J304" i="27"/>
  <c r="M100" i="49"/>
  <c r="K304" i="27"/>
  <c r="L304" i="27"/>
  <c r="M304" i="27"/>
  <c r="N304" i="27"/>
  <c r="B243" i="27"/>
  <c r="C243" i="27"/>
  <c r="I243" i="27"/>
  <c r="J243" i="27"/>
  <c r="M101" i="49"/>
  <c r="K243" i="27"/>
  <c r="L243" i="27"/>
  <c r="M243" i="27"/>
  <c r="N243" i="27"/>
  <c r="B302" i="27"/>
  <c r="C302" i="27"/>
  <c r="I302" i="27"/>
  <c r="J302" i="27"/>
  <c r="M102" i="49"/>
  <c r="K302" i="27"/>
  <c r="L302" i="27"/>
  <c r="M302" i="27"/>
  <c r="N302" i="27"/>
  <c r="B326" i="27"/>
  <c r="C326" i="27"/>
  <c r="I326" i="27"/>
  <c r="J326" i="27"/>
  <c r="M103" i="49"/>
  <c r="K326" i="27"/>
  <c r="L326" i="27"/>
  <c r="M326" i="27"/>
  <c r="N326" i="27"/>
  <c r="B290" i="27"/>
  <c r="C290" i="27"/>
  <c r="I290" i="27"/>
  <c r="J290" i="27"/>
  <c r="M104" i="49"/>
  <c r="K290" i="27"/>
  <c r="L290" i="27"/>
  <c r="M290" i="27"/>
  <c r="N290" i="27"/>
  <c r="B280" i="27"/>
  <c r="C280" i="27"/>
  <c r="I280" i="27"/>
  <c r="J280" i="27"/>
  <c r="M105" i="49"/>
  <c r="K280" i="27"/>
  <c r="L280" i="27"/>
  <c r="M280" i="27"/>
  <c r="N280" i="27"/>
  <c r="B306" i="27"/>
  <c r="C306" i="27"/>
  <c r="I306" i="27"/>
  <c r="J306" i="27"/>
  <c r="M106" i="49"/>
  <c r="K306" i="27"/>
  <c r="L306" i="27"/>
  <c r="M306" i="27"/>
  <c r="N306" i="27"/>
  <c r="B224" i="27"/>
  <c r="C224" i="27"/>
  <c r="I224" i="27"/>
  <c r="J224" i="27"/>
  <c r="M107" i="49"/>
  <c r="K224" i="27"/>
  <c r="L224" i="27"/>
  <c r="M224" i="27"/>
  <c r="N224" i="27"/>
  <c r="B303" i="27"/>
  <c r="C303" i="27"/>
  <c r="I303" i="27"/>
  <c r="J303" i="27"/>
  <c r="M108" i="49"/>
  <c r="K303" i="27"/>
  <c r="L303" i="27"/>
  <c r="M303" i="27"/>
  <c r="N303" i="27"/>
  <c r="B317" i="27"/>
  <c r="C317" i="27"/>
  <c r="I317" i="27"/>
  <c r="J317" i="27"/>
  <c r="M109" i="49"/>
  <c r="K317" i="27"/>
  <c r="L317" i="27"/>
  <c r="M317" i="27"/>
  <c r="N317" i="27"/>
  <c r="B257" i="27"/>
  <c r="C257" i="27"/>
  <c r="I257" i="27"/>
  <c r="J257" i="27"/>
  <c r="M110" i="49"/>
  <c r="K257" i="27"/>
  <c r="L257" i="27"/>
  <c r="M257" i="27"/>
  <c r="N257" i="27"/>
  <c r="B256" i="27"/>
  <c r="C256" i="27"/>
  <c r="I256" i="27"/>
  <c r="J256" i="27"/>
  <c r="M111" i="49"/>
  <c r="K256" i="27"/>
  <c r="L256" i="27"/>
  <c r="M256" i="27"/>
  <c r="N256" i="27"/>
  <c r="B297" i="27"/>
  <c r="C297" i="27"/>
  <c r="I297" i="27"/>
  <c r="J297" i="27"/>
  <c r="M112" i="49"/>
  <c r="K297" i="27"/>
  <c r="L297" i="27"/>
  <c r="M297" i="27"/>
  <c r="N297" i="27"/>
  <c r="B315" i="27"/>
  <c r="C315" i="27"/>
  <c r="I315" i="27"/>
  <c r="J315" i="27"/>
  <c r="M113" i="49"/>
  <c r="K315" i="27"/>
  <c r="L315" i="27"/>
  <c r="M315" i="27"/>
  <c r="N315" i="27"/>
  <c r="B289" i="27"/>
  <c r="C289" i="27"/>
  <c r="I289" i="27"/>
  <c r="J289" i="27"/>
  <c r="M114" i="49"/>
  <c r="K289" i="27"/>
  <c r="L289" i="27"/>
  <c r="M289" i="27"/>
  <c r="N289" i="27"/>
  <c r="B275" i="27"/>
  <c r="C275" i="27"/>
  <c r="I275" i="27"/>
  <c r="J275" i="27"/>
  <c r="M115" i="49"/>
  <c r="K275" i="27"/>
  <c r="L275" i="27"/>
  <c r="M275" i="27"/>
  <c r="N275" i="27"/>
  <c r="B245" i="27"/>
  <c r="C245" i="27"/>
  <c r="I245" i="27"/>
  <c r="J245" i="27"/>
  <c r="M116" i="49"/>
  <c r="K245" i="27"/>
  <c r="L245" i="27"/>
  <c r="M245" i="27"/>
  <c r="N245" i="27"/>
  <c r="B295" i="27"/>
  <c r="C295" i="27"/>
  <c r="I295" i="27"/>
  <c r="J295" i="27"/>
  <c r="M117" i="49"/>
  <c r="K295" i="27"/>
  <c r="L295" i="27"/>
  <c r="M295" i="27"/>
  <c r="N295" i="27"/>
  <c r="B330" i="27"/>
  <c r="C330" i="27"/>
  <c r="I330" i="27"/>
  <c r="J330" i="27"/>
  <c r="M118" i="49"/>
  <c r="K330" i="27"/>
  <c r="L330" i="27"/>
  <c r="M330" i="27"/>
  <c r="N330" i="27"/>
  <c r="B233" i="27"/>
  <c r="C233" i="27"/>
  <c r="I233" i="27"/>
  <c r="J233" i="27"/>
  <c r="M119" i="49"/>
  <c r="K233" i="27"/>
  <c r="L233" i="27"/>
  <c r="M233" i="27"/>
  <c r="N233" i="27"/>
  <c r="B334" i="27"/>
  <c r="C334" i="27"/>
  <c r="I334" i="27"/>
  <c r="J334" i="27"/>
  <c r="M120" i="49"/>
  <c r="K334" i="27"/>
  <c r="L334" i="27"/>
  <c r="M334" i="27"/>
  <c r="N334" i="27"/>
  <c r="B250" i="27"/>
  <c r="C250" i="27"/>
  <c r="I250" i="27"/>
  <c r="J250" i="27"/>
  <c r="M121" i="49"/>
  <c r="K250" i="27"/>
  <c r="L250" i="27"/>
  <c r="M250" i="27"/>
  <c r="N250" i="27"/>
  <c r="B260" i="27"/>
  <c r="C260" i="27"/>
  <c r="I260" i="27"/>
  <c r="J260" i="27"/>
  <c r="M122" i="49"/>
  <c r="K260" i="27"/>
  <c r="L260" i="27"/>
  <c r="M260" i="27"/>
  <c r="N260" i="27"/>
  <c r="B305" i="27"/>
  <c r="C305" i="27"/>
  <c r="I305" i="27"/>
  <c r="J305" i="27"/>
  <c r="M123" i="49"/>
  <c r="K305" i="27"/>
  <c r="L305" i="27"/>
  <c r="M305" i="27"/>
  <c r="N305" i="27"/>
  <c r="B248" i="27"/>
  <c r="C248" i="27"/>
  <c r="I248" i="27"/>
  <c r="J248" i="27"/>
  <c r="M124" i="49"/>
  <c r="K248" i="27"/>
  <c r="L248" i="27"/>
  <c r="M248" i="27"/>
  <c r="N248" i="27"/>
  <c r="M19" i="49"/>
  <c r="K353" i="27"/>
  <c r="J353" i="27"/>
  <c r="L353" i="27"/>
  <c r="N353" i="27"/>
  <c r="I353" i="27"/>
  <c r="M353" i="27"/>
  <c r="C353" i="27"/>
  <c r="B353" i="27"/>
  <c r="J351" i="27"/>
  <c r="M18" i="49"/>
  <c r="K351" i="27"/>
  <c r="L351" i="27"/>
  <c r="I351" i="27"/>
  <c r="M351" i="27"/>
  <c r="N351" i="27"/>
  <c r="B351" i="27"/>
  <c r="C351" i="27"/>
  <c r="C1022" i="27"/>
  <c r="D1022" i="27"/>
  <c r="E1022" i="27"/>
  <c r="F1022" i="27"/>
  <c r="G1022" i="27"/>
  <c r="H1022" i="27"/>
  <c r="I1022" i="27"/>
  <c r="J1022" i="27"/>
  <c r="K1022" i="27"/>
  <c r="L1022" i="27"/>
  <c r="M1022" i="27"/>
  <c r="N1022" i="27"/>
  <c r="C1023" i="27"/>
  <c r="D1023" i="27"/>
  <c r="E1023" i="27"/>
  <c r="F1023" i="27"/>
  <c r="G1023" i="27"/>
  <c r="H1023" i="27"/>
  <c r="I1023" i="27"/>
  <c r="J1023" i="27"/>
  <c r="K1023" i="27"/>
  <c r="L1023" i="27"/>
  <c r="M1023" i="27"/>
  <c r="N1023" i="27"/>
  <c r="C1024" i="27"/>
  <c r="D1024" i="27"/>
  <c r="E1024" i="27"/>
  <c r="F1024" i="27"/>
  <c r="G1024" i="27"/>
  <c r="H1024" i="27"/>
  <c r="I1024" i="27"/>
  <c r="J1024" i="27"/>
  <c r="K1024" i="27"/>
  <c r="L1024" i="27"/>
  <c r="M1024" i="27"/>
  <c r="N1024" i="27"/>
  <c r="C1025" i="27"/>
  <c r="D1025" i="27"/>
  <c r="E1025" i="27"/>
  <c r="F1025" i="27"/>
  <c r="G1025" i="27"/>
  <c r="H1025" i="27"/>
  <c r="I1025" i="27"/>
  <c r="J1025" i="27"/>
  <c r="K1025" i="27"/>
  <c r="L1025" i="27"/>
  <c r="M1025" i="27"/>
  <c r="N1025" i="27"/>
  <c r="C1026" i="27"/>
  <c r="D1026" i="27"/>
  <c r="E1026" i="27"/>
  <c r="F1026" i="27"/>
  <c r="G1026" i="27"/>
  <c r="H1026" i="27"/>
  <c r="I1026" i="27"/>
  <c r="J1026" i="27"/>
  <c r="K1026" i="27"/>
  <c r="L1026" i="27"/>
  <c r="M1026" i="27"/>
  <c r="N1026" i="27"/>
  <c r="C1027" i="27"/>
  <c r="D1027" i="27"/>
  <c r="E1027" i="27"/>
  <c r="F1027" i="27"/>
  <c r="G1027" i="27"/>
  <c r="H1027" i="27"/>
  <c r="I1027" i="27"/>
  <c r="J1027" i="27"/>
  <c r="K1027" i="27"/>
  <c r="L1027" i="27"/>
  <c r="M1027" i="27"/>
  <c r="N1027" i="27"/>
  <c r="K1021" i="27"/>
  <c r="J1021" i="27"/>
  <c r="L1021" i="27"/>
  <c r="N1021" i="27"/>
  <c r="I1021" i="27"/>
  <c r="M1021" i="27"/>
  <c r="H1021" i="27"/>
  <c r="G1021" i="27"/>
  <c r="F1021" i="27"/>
  <c r="E1021" i="27"/>
  <c r="D1021" i="27"/>
  <c r="C1021" i="27"/>
  <c r="K1020" i="27"/>
  <c r="J1020" i="27"/>
  <c r="L1020" i="27"/>
  <c r="N1020" i="27"/>
  <c r="I1020" i="27"/>
  <c r="M1020" i="27"/>
  <c r="D1020" i="27"/>
  <c r="E1020" i="27"/>
  <c r="F1020" i="27"/>
  <c r="G1020" i="27"/>
  <c r="H1020" i="27"/>
  <c r="C1020" i="27"/>
  <c r="F9" i="36"/>
  <c r="H8" i="36"/>
  <c r="J422" i="27"/>
  <c r="L422" i="27"/>
  <c r="C1029" i="27"/>
  <c r="F5" i="10"/>
  <c r="I1029" i="27"/>
  <c r="G5" i="10"/>
  <c r="J1029" i="27"/>
  <c r="I5" i="10"/>
  <c r="K1029" i="27"/>
  <c r="L1029" i="27"/>
  <c r="C1030" i="27"/>
  <c r="F6" i="10"/>
  <c r="I1030" i="27"/>
  <c r="G6" i="10"/>
  <c r="J1030" i="27"/>
  <c r="I6" i="10"/>
  <c r="K1030" i="27"/>
  <c r="L1030" i="27"/>
  <c r="C1031" i="27"/>
  <c r="F7" i="10"/>
  <c r="I1031" i="27"/>
  <c r="G7" i="10"/>
  <c r="J1031" i="27"/>
  <c r="I7" i="10"/>
  <c r="K1031" i="27"/>
  <c r="L1031" i="27"/>
  <c r="C1032" i="27"/>
  <c r="F8" i="10"/>
  <c r="I1032" i="27"/>
  <c r="G8" i="10"/>
  <c r="J1032" i="27"/>
  <c r="I8" i="10"/>
  <c r="K1032" i="27"/>
  <c r="L1032" i="27"/>
  <c r="C1033" i="27"/>
  <c r="F9" i="10"/>
  <c r="I1033" i="27"/>
  <c r="G9" i="10"/>
  <c r="J1033" i="27"/>
  <c r="I9" i="10"/>
  <c r="K1033" i="27"/>
  <c r="L1033" i="27"/>
  <c r="C1034" i="27"/>
  <c r="F10" i="10"/>
  <c r="I1034" i="27"/>
  <c r="G10" i="10"/>
  <c r="J1034" i="27"/>
  <c r="I10" i="10"/>
  <c r="K1034" i="27"/>
  <c r="L1034" i="27"/>
  <c r="C1035" i="27"/>
  <c r="F11" i="10"/>
  <c r="I1035" i="27"/>
  <c r="G11" i="10"/>
  <c r="J1035" i="27"/>
  <c r="I11" i="10"/>
  <c r="K1035" i="27"/>
  <c r="L1035" i="27"/>
  <c r="C1036" i="27"/>
  <c r="F12" i="10"/>
  <c r="I1036" i="27"/>
  <c r="G12" i="10"/>
  <c r="J1036" i="27"/>
  <c r="I12" i="10"/>
  <c r="K1036" i="27"/>
  <c r="L1036" i="27"/>
  <c r="C1037" i="27"/>
  <c r="F13" i="10"/>
  <c r="I1037" i="27"/>
  <c r="G13" i="10"/>
  <c r="J1037" i="27"/>
  <c r="I13" i="10"/>
  <c r="K1037" i="27"/>
  <c r="L1037" i="27"/>
  <c r="C1038" i="27"/>
  <c r="F14" i="10"/>
  <c r="I1038" i="27"/>
  <c r="G14" i="10"/>
  <c r="J1038" i="27"/>
  <c r="I14" i="10"/>
  <c r="K1038" i="27"/>
  <c r="L1038" i="27"/>
  <c r="C1039" i="27"/>
  <c r="F15" i="10"/>
  <c r="I1039" i="27"/>
  <c r="G15" i="10"/>
  <c r="J1039" i="27"/>
  <c r="I15" i="10"/>
  <c r="K1039" i="27"/>
  <c r="L1039" i="27"/>
  <c r="C1040" i="27"/>
  <c r="F16" i="10"/>
  <c r="I1040" i="27"/>
  <c r="G16" i="10"/>
  <c r="J1040" i="27"/>
  <c r="I16" i="10"/>
  <c r="K1040" i="27"/>
  <c r="L1040" i="27"/>
  <c r="C1041" i="27"/>
  <c r="F17" i="10"/>
  <c r="I1041" i="27"/>
  <c r="G17" i="10"/>
  <c r="J1041" i="27"/>
  <c r="I17" i="10"/>
  <c r="K1041" i="27"/>
  <c r="L1041" i="27"/>
  <c r="C1042" i="27"/>
  <c r="F18" i="10"/>
  <c r="I1042" i="27"/>
  <c r="G18" i="10"/>
  <c r="J1042" i="27"/>
  <c r="I18" i="10"/>
  <c r="K1042" i="27"/>
  <c r="L1042" i="27"/>
  <c r="C1043" i="27"/>
  <c r="F19" i="10"/>
  <c r="I1043" i="27"/>
  <c r="G19" i="10"/>
  <c r="J1043" i="27"/>
  <c r="I19" i="10"/>
  <c r="K1043" i="27"/>
  <c r="L1043" i="27"/>
  <c r="C1044" i="27"/>
  <c r="F20" i="10"/>
  <c r="I1044" i="27"/>
  <c r="G20" i="10"/>
  <c r="J1044" i="27"/>
  <c r="I20" i="10"/>
  <c r="K1044" i="27"/>
  <c r="L1044" i="27"/>
  <c r="C1045" i="27"/>
  <c r="F21" i="10"/>
  <c r="I1045" i="27"/>
  <c r="G21" i="10"/>
  <c r="J1045" i="27"/>
  <c r="I21" i="10"/>
  <c r="K1045" i="27"/>
  <c r="L1045" i="27"/>
  <c r="C1046" i="27"/>
  <c r="F22" i="10"/>
  <c r="I1046" i="27"/>
  <c r="G22" i="10"/>
  <c r="J1046" i="27"/>
  <c r="I22" i="10"/>
  <c r="K1046" i="27"/>
  <c r="L1046" i="27"/>
  <c r="F4" i="10"/>
  <c r="I4" i="10"/>
  <c r="K1028" i="27"/>
  <c r="G4" i="10"/>
  <c r="J1028" i="27"/>
  <c r="I1028" i="27"/>
  <c r="C1028" i="27"/>
  <c r="H8" i="11"/>
  <c r="I8" i="11"/>
  <c r="J589" i="27"/>
  <c r="D8" i="11"/>
  <c r="E8" i="11"/>
  <c r="F8" i="11"/>
  <c r="K589" i="27"/>
  <c r="L589" i="27"/>
  <c r="K6" i="33"/>
  <c r="K603" i="27"/>
  <c r="K7" i="33"/>
  <c r="K605" i="27"/>
  <c r="K8" i="33"/>
  <c r="K606" i="27"/>
  <c r="K9" i="33"/>
  <c r="K604" i="27"/>
  <c r="K10" i="33"/>
  <c r="K627" i="27"/>
  <c r="K11" i="33"/>
  <c r="K607" i="27"/>
  <c r="K12" i="33"/>
  <c r="K626" i="27"/>
  <c r="K13" i="33"/>
  <c r="K608" i="27"/>
  <c r="K14" i="33"/>
  <c r="K609" i="27"/>
  <c r="K15" i="33"/>
  <c r="K625" i="27"/>
  <c r="K16" i="33"/>
  <c r="K610" i="27"/>
  <c r="K17" i="33"/>
  <c r="K611" i="27"/>
  <c r="K18" i="33"/>
  <c r="K623" i="27"/>
  <c r="K19" i="33"/>
  <c r="K612" i="27"/>
  <c r="K20" i="33"/>
  <c r="K629" i="27"/>
  <c r="K21" i="33"/>
  <c r="K621" i="27"/>
  <c r="K22" i="33"/>
  <c r="K613" i="27"/>
  <c r="K23" i="33"/>
  <c r="K614" i="27"/>
  <c r="K24" i="33"/>
  <c r="K628" i="27"/>
  <c r="K25" i="33"/>
  <c r="K615" i="27"/>
  <c r="K26" i="33"/>
  <c r="K602" i="27"/>
  <c r="K27" i="33"/>
  <c r="K618" i="27"/>
  <c r="K28" i="33"/>
  <c r="K624" i="27"/>
  <c r="K29" i="33"/>
  <c r="K616" i="27"/>
  <c r="K30" i="33"/>
  <c r="K619" i="27"/>
  <c r="K31" i="33"/>
  <c r="K620" i="27"/>
  <c r="K32" i="33"/>
  <c r="K622" i="27"/>
  <c r="K33" i="33"/>
  <c r="K617" i="27"/>
  <c r="K5" i="33"/>
  <c r="K630" i="27"/>
  <c r="G6" i="33"/>
  <c r="J603" i="27"/>
  <c r="G7" i="33"/>
  <c r="J605" i="27"/>
  <c r="G8" i="33"/>
  <c r="J606" i="27"/>
  <c r="G9" i="33"/>
  <c r="J604" i="27"/>
  <c r="G10" i="33"/>
  <c r="J627" i="27"/>
  <c r="G11" i="33"/>
  <c r="J607" i="27"/>
  <c r="G12" i="33"/>
  <c r="J626" i="27"/>
  <c r="G13" i="33"/>
  <c r="J608" i="27"/>
  <c r="G14" i="33"/>
  <c r="J609" i="27"/>
  <c r="G15" i="33"/>
  <c r="J625" i="27"/>
  <c r="G16" i="33"/>
  <c r="J610" i="27"/>
  <c r="G17" i="33"/>
  <c r="J611" i="27"/>
  <c r="G18" i="33"/>
  <c r="J623" i="27"/>
  <c r="G19" i="33"/>
  <c r="J612" i="27"/>
  <c r="G20" i="33"/>
  <c r="J629" i="27"/>
  <c r="G21" i="33"/>
  <c r="J621" i="27"/>
  <c r="G22" i="33"/>
  <c r="J613" i="27"/>
  <c r="G23" i="33"/>
  <c r="J614" i="27"/>
  <c r="G24" i="33"/>
  <c r="J628" i="27"/>
  <c r="G25" i="33"/>
  <c r="J615" i="27"/>
  <c r="G26" i="33"/>
  <c r="J602" i="27"/>
  <c r="G27" i="33"/>
  <c r="J618" i="27"/>
  <c r="G28" i="33"/>
  <c r="J624" i="27"/>
  <c r="G29" i="33"/>
  <c r="J616" i="27"/>
  <c r="G30" i="33"/>
  <c r="J619" i="27"/>
  <c r="G31" i="33"/>
  <c r="J620" i="27"/>
  <c r="G32" i="33"/>
  <c r="J622" i="27"/>
  <c r="G33" i="33"/>
  <c r="J617" i="27"/>
  <c r="G5" i="33"/>
  <c r="J630" i="27"/>
  <c r="D6" i="33"/>
  <c r="I603" i="27"/>
  <c r="D7" i="33"/>
  <c r="I605" i="27"/>
  <c r="D8" i="33"/>
  <c r="I606" i="27"/>
  <c r="D9" i="33"/>
  <c r="I604" i="27"/>
  <c r="D10" i="33"/>
  <c r="I627" i="27"/>
  <c r="D11" i="33"/>
  <c r="I607" i="27"/>
  <c r="D12" i="33"/>
  <c r="I626" i="27"/>
  <c r="D13" i="33"/>
  <c r="I608" i="27"/>
  <c r="D14" i="33"/>
  <c r="I609" i="27"/>
  <c r="D15" i="33"/>
  <c r="I625" i="27"/>
  <c r="D16" i="33"/>
  <c r="I610" i="27"/>
  <c r="D17" i="33"/>
  <c r="I611" i="27"/>
  <c r="D18" i="33"/>
  <c r="I623" i="27"/>
  <c r="D19" i="33"/>
  <c r="I612" i="27"/>
  <c r="D20" i="33"/>
  <c r="I629" i="27"/>
  <c r="D21" i="33"/>
  <c r="I621" i="27"/>
  <c r="D22" i="33"/>
  <c r="I613" i="27"/>
  <c r="D23" i="33"/>
  <c r="I614" i="27"/>
  <c r="D24" i="33"/>
  <c r="I628" i="27"/>
  <c r="D25" i="33"/>
  <c r="I615" i="27"/>
  <c r="D26" i="33"/>
  <c r="I602" i="27"/>
  <c r="D27" i="33"/>
  <c r="I618" i="27"/>
  <c r="D28" i="33"/>
  <c r="I624" i="27"/>
  <c r="D29" i="33"/>
  <c r="I616" i="27"/>
  <c r="D30" i="33"/>
  <c r="I619" i="27"/>
  <c r="D31" i="33"/>
  <c r="I620" i="27"/>
  <c r="D32" i="33"/>
  <c r="I622" i="27"/>
  <c r="D33" i="33"/>
  <c r="I617" i="27"/>
  <c r="D5" i="33"/>
  <c r="I630" i="27"/>
  <c r="B78" i="27"/>
  <c r="C78" i="27"/>
  <c r="I78" i="27"/>
  <c r="J78" i="27"/>
  <c r="K78" i="27"/>
  <c r="L78" i="27"/>
  <c r="M78" i="27"/>
  <c r="N78" i="27"/>
  <c r="B82" i="27"/>
  <c r="C82" i="27"/>
  <c r="I82" i="27"/>
  <c r="J82" i="27"/>
  <c r="K82" i="27"/>
  <c r="L82" i="27"/>
  <c r="M82" i="27"/>
  <c r="N82" i="27"/>
  <c r="B94" i="27"/>
  <c r="C94" i="27"/>
  <c r="I94" i="27"/>
  <c r="J94" i="27"/>
  <c r="K94" i="27"/>
  <c r="L94" i="27"/>
  <c r="M94" i="27"/>
  <c r="N94" i="27"/>
  <c r="B100" i="27"/>
  <c r="C100" i="27"/>
  <c r="I100" i="27"/>
  <c r="J100" i="27"/>
  <c r="K100" i="27"/>
  <c r="L100" i="27"/>
  <c r="M100" i="27"/>
  <c r="N100" i="27"/>
  <c r="B114" i="27"/>
  <c r="C114" i="27"/>
  <c r="I114" i="27"/>
  <c r="J114" i="27"/>
  <c r="K114" i="27"/>
  <c r="L114" i="27"/>
  <c r="M114" i="27"/>
  <c r="N114" i="27"/>
  <c r="B124" i="27"/>
  <c r="C124" i="27"/>
  <c r="I124" i="27"/>
  <c r="J124" i="27"/>
  <c r="K124" i="27"/>
  <c r="L124" i="27"/>
  <c r="M124" i="27"/>
  <c r="N124" i="27"/>
  <c r="B134" i="27"/>
  <c r="C134" i="27"/>
  <c r="I134" i="27"/>
  <c r="J134" i="27"/>
  <c r="K134" i="27"/>
  <c r="L134" i="27"/>
  <c r="M134" i="27"/>
  <c r="N134" i="27"/>
  <c r="B144" i="27"/>
  <c r="C144" i="27"/>
  <c r="I144" i="27"/>
  <c r="J144" i="27"/>
  <c r="K144" i="27"/>
  <c r="L144" i="27"/>
  <c r="M144" i="27"/>
  <c r="N144" i="27"/>
  <c r="B35" i="27"/>
  <c r="C35" i="27"/>
  <c r="B49" i="27"/>
  <c r="C49" i="27"/>
  <c r="B63" i="27"/>
  <c r="C63" i="27"/>
  <c r="B77" i="27"/>
  <c r="C77" i="27"/>
  <c r="B81" i="27"/>
  <c r="C81" i="27"/>
  <c r="B93" i="27"/>
  <c r="C93" i="27"/>
  <c r="B99" i="27"/>
  <c r="C99" i="27"/>
  <c r="I99" i="27"/>
  <c r="J99" i="27"/>
  <c r="K99" i="27"/>
  <c r="L99" i="27"/>
  <c r="M99" i="27"/>
  <c r="N99" i="27"/>
  <c r="B113" i="27"/>
  <c r="C113" i="27"/>
  <c r="I113" i="27"/>
  <c r="J113" i="27"/>
  <c r="K113" i="27"/>
  <c r="L113" i="27"/>
  <c r="M113" i="27"/>
  <c r="N113" i="27"/>
  <c r="B123" i="27"/>
  <c r="C123" i="27"/>
  <c r="I123" i="27"/>
  <c r="J123" i="27"/>
  <c r="K123" i="27"/>
  <c r="L123" i="27"/>
  <c r="M123" i="27"/>
  <c r="N123" i="27"/>
  <c r="B133" i="27"/>
  <c r="C133" i="27"/>
  <c r="I133" i="27"/>
  <c r="J133" i="27"/>
  <c r="K133" i="27"/>
  <c r="L133" i="27"/>
  <c r="M133" i="27"/>
  <c r="N133" i="27"/>
  <c r="B143" i="27"/>
  <c r="C143" i="27"/>
  <c r="I143" i="27"/>
  <c r="J143" i="27"/>
  <c r="K143" i="27"/>
  <c r="L143" i="27"/>
  <c r="M143" i="27"/>
  <c r="N143" i="27"/>
  <c r="B36" i="27"/>
  <c r="C36" i="27"/>
  <c r="I36" i="27"/>
  <c r="J36" i="27"/>
  <c r="K36" i="27"/>
  <c r="L36" i="27"/>
  <c r="M36" i="27"/>
  <c r="N36" i="27"/>
  <c r="B50" i="27"/>
  <c r="C50" i="27"/>
  <c r="I50" i="27"/>
  <c r="J50" i="27"/>
  <c r="K50" i="27"/>
  <c r="L50" i="27"/>
  <c r="M50" i="27"/>
  <c r="N50" i="27"/>
  <c r="B64" i="27"/>
  <c r="C64" i="27"/>
  <c r="I64" i="27"/>
  <c r="J64" i="27"/>
  <c r="K64" i="27"/>
  <c r="L64" i="27"/>
  <c r="M64" i="27"/>
  <c r="N64" i="27"/>
  <c r="B121" i="27"/>
  <c r="C121" i="27"/>
  <c r="I121" i="27"/>
  <c r="J121" i="27"/>
  <c r="K121" i="27"/>
  <c r="L121" i="27"/>
  <c r="M121" i="27"/>
  <c r="N121" i="27"/>
  <c r="B131" i="27"/>
  <c r="C131" i="27"/>
  <c r="I131" i="27"/>
  <c r="J131" i="27"/>
  <c r="K131" i="27"/>
  <c r="L131" i="27"/>
  <c r="M131" i="27"/>
  <c r="N131" i="27"/>
  <c r="B141" i="27"/>
  <c r="C141" i="27"/>
  <c r="I141" i="27"/>
  <c r="J141" i="27"/>
  <c r="K141" i="27"/>
  <c r="L141" i="27"/>
  <c r="M141" i="27"/>
  <c r="N141" i="27"/>
  <c r="B34" i="27"/>
  <c r="C34" i="27"/>
  <c r="I34" i="27"/>
  <c r="J34" i="27"/>
  <c r="K34" i="27"/>
  <c r="L34" i="27"/>
  <c r="M34" i="27"/>
  <c r="N34" i="27"/>
  <c r="B48" i="27"/>
  <c r="C48" i="27"/>
  <c r="I48" i="27"/>
  <c r="J48" i="27"/>
  <c r="K48" i="27"/>
  <c r="L48" i="27"/>
  <c r="M48" i="27"/>
  <c r="N48" i="27"/>
  <c r="B62" i="27"/>
  <c r="C62" i="27"/>
  <c r="I62" i="27"/>
  <c r="J62" i="27"/>
  <c r="K62" i="27"/>
  <c r="L62" i="27"/>
  <c r="M62" i="27"/>
  <c r="N62" i="27"/>
  <c r="B76" i="27"/>
  <c r="C76" i="27"/>
  <c r="I76" i="27"/>
  <c r="J76" i="27"/>
  <c r="K76" i="27"/>
  <c r="L76" i="27"/>
  <c r="M76" i="27"/>
  <c r="N76" i="27"/>
  <c r="B80" i="27"/>
  <c r="C80" i="27"/>
  <c r="I80" i="27"/>
  <c r="J80" i="27"/>
  <c r="K80" i="27"/>
  <c r="L80" i="27"/>
  <c r="M80" i="27"/>
  <c r="N80" i="27"/>
  <c r="B92" i="27"/>
  <c r="C92" i="27"/>
  <c r="I92" i="27"/>
  <c r="J92" i="27"/>
  <c r="K92" i="27"/>
  <c r="L92" i="27"/>
  <c r="M92" i="27"/>
  <c r="N92" i="27"/>
  <c r="B98" i="27"/>
  <c r="C98" i="27"/>
  <c r="I98" i="27"/>
  <c r="J98" i="27"/>
  <c r="K98" i="27"/>
  <c r="L98" i="27"/>
  <c r="M98" i="27"/>
  <c r="N98" i="27"/>
  <c r="B112" i="27"/>
  <c r="C112" i="27"/>
  <c r="I112" i="27"/>
  <c r="J112" i="27"/>
  <c r="K112" i="27"/>
  <c r="L112" i="27"/>
  <c r="M112" i="27"/>
  <c r="N112" i="27"/>
  <c r="B122" i="27"/>
  <c r="C122" i="27"/>
  <c r="B132" i="27"/>
  <c r="C132" i="27"/>
  <c r="B142" i="27"/>
  <c r="C142" i="27"/>
  <c r="B51" i="27"/>
  <c r="C51" i="27"/>
  <c r="I51" i="27"/>
  <c r="J51" i="27"/>
  <c r="K51" i="27"/>
  <c r="L51" i="27"/>
  <c r="M51" i="27"/>
  <c r="N51" i="27"/>
  <c r="B65" i="27"/>
  <c r="C65" i="27"/>
  <c r="I65" i="27"/>
  <c r="J65" i="27"/>
  <c r="K65" i="27"/>
  <c r="L65" i="27"/>
  <c r="M65" i="27"/>
  <c r="N65" i="27"/>
  <c r="B95" i="27"/>
  <c r="C95" i="27"/>
  <c r="I95" i="27"/>
  <c r="J95" i="27"/>
  <c r="K95" i="27"/>
  <c r="L95" i="27"/>
  <c r="M95" i="27"/>
  <c r="N95" i="27"/>
  <c r="B101" i="27"/>
  <c r="C101" i="27"/>
  <c r="I101" i="27"/>
  <c r="J101" i="27"/>
  <c r="K101" i="27"/>
  <c r="L101" i="27"/>
  <c r="M101" i="27"/>
  <c r="N101" i="27"/>
  <c r="B24" i="27"/>
  <c r="C24" i="27"/>
  <c r="I24" i="27"/>
  <c r="J24" i="27"/>
  <c r="K24" i="27"/>
  <c r="L24" i="27"/>
  <c r="M24" i="27"/>
  <c r="N24" i="27"/>
  <c r="B38" i="27"/>
  <c r="C38" i="27"/>
  <c r="I38" i="27"/>
  <c r="J38" i="27"/>
  <c r="K38" i="27"/>
  <c r="L38" i="27"/>
  <c r="M38" i="27"/>
  <c r="N38" i="27"/>
  <c r="B52" i="27"/>
  <c r="C52" i="27"/>
  <c r="I52" i="27"/>
  <c r="J52" i="27"/>
  <c r="K52" i="27"/>
  <c r="L52" i="27"/>
  <c r="M52" i="27"/>
  <c r="N52" i="27"/>
  <c r="B66" i="27"/>
  <c r="C66" i="27"/>
  <c r="I66" i="27"/>
  <c r="J66" i="27"/>
  <c r="K66" i="27"/>
  <c r="L66" i="27"/>
  <c r="M66" i="27"/>
  <c r="N66" i="27"/>
  <c r="B96" i="27"/>
  <c r="C96" i="27"/>
  <c r="I96" i="27"/>
  <c r="J96" i="27"/>
  <c r="K96" i="27"/>
  <c r="L96" i="27"/>
  <c r="M96" i="27"/>
  <c r="N96" i="27"/>
  <c r="B102" i="27"/>
  <c r="C102" i="27"/>
  <c r="I102" i="27"/>
  <c r="J102" i="27"/>
  <c r="K102" i="27"/>
  <c r="L102" i="27"/>
  <c r="M102" i="27"/>
  <c r="N102" i="27"/>
  <c r="B25" i="27"/>
  <c r="C25" i="27"/>
  <c r="I25" i="27"/>
  <c r="J25" i="27"/>
  <c r="K25" i="27"/>
  <c r="L25" i="27"/>
  <c r="M25" i="27"/>
  <c r="N25" i="27"/>
  <c r="B39" i="27"/>
  <c r="C39" i="27"/>
  <c r="I39" i="27"/>
  <c r="J39" i="27"/>
  <c r="K39" i="27"/>
  <c r="L39" i="27"/>
  <c r="M39" i="27"/>
  <c r="N39" i="27"/>
  <c r="B53" i="27"/>
  <c r="C53" i="27"/>
  <c r="I53" i="27"/>
  <c r="J53" i="27"/>
  <c r="K53" i="27"/>
  <c r="L53" i="27"/>
  <c r="M53" i="27"/>
  <c r="N53" i="27"/>
  <c r="B67" i="27"/>
  <c r="C67" i="27"/>
  <c r="I67" i="27"/>
  <c r="J67" i="27"/>
  <c r="K67" i="27"/>
  <c r="L67" i="27"/>
  <c r="M67" i="27"/>
  <c r="N67" i="27"/>
  <c r="B83" i="27"/>
  <c r="C83" i="27"/>
  <c r="I83" i="27"/>
  <c r="J83" i="27"/>
  <c r="K83" i="27"/>
  <c r="L83" i="27"/>
  <c r="M83" i="27"/>
  <c r="N83" i="27"/>
  <c r="B103" i="27"/>
  <c r="C103" i="27"/>
  <c r="I103" i="27"/>
  <c r="J103" i="27"/>
  <c r="K103" i="27"/>
  <c r="L103" i="27"/>
  <c r="M103" i="27"/>
  <c r="N103" i="27"/>
  <c r="B26" i="27"/>
  <c r="C26" i="27"/>
  <c r="I26" i="27"/>
  <c r="J26" i="27"/>
  <c r="K26" i="27"/>
  <c r="L26" i="27"/>
  <c r="M26" i="27"/>
  <c r="N26" i="27"/>
  <c r="B40" i="27"/>
  <c r="C40" i="27"/>
  <c r="I40" i="27"/>
  <c r="J40" i="27"/>
  <c r="K40" i="27"/>
  <c r="L40" i="27"/>
  <c r="M40" i="27"/>
  <c r="N40" i="27"/>
  <c r="B54" i="27"/>
  <c r="C54" i="27"/>
  <c r="I54" i="27"/>
  <c r="J54" i="27"/>
  <c r="K54" i="27"/>
  <c r="L54" i="27"/>
  <c r="M54" i="27"/>
  <c r="N54" i="27"/>
  <c r="B68" i="27"/>
  <c r="C68" i="27"/>
  <c r="I68" i="27"/>
  <c r="J68" i="27"/>
  <c r="K68" i="27"/>
  <c r="L68" i="27"/>
  <c r="M68" i="27"/>
  <c r="N68" i="27"/>
  <c r="B84" i="27"/>
  <c r="C84" i="27"/>
  <c r="I84" i="27"/>
  <c r="J84" i="27"/>
  <c r="K84" i="27"/>
  <c r="L84" i="27"/>
  <c r="M84" i="27"/>
  <c r="N84" i="27"/>
  <c r="B104" i="27"/>
  <c r="C104" i="27"/>
  <c r="I104" i="27"/>
  <c r="J104" i="27"/>
  <c r="K104" i="27"/>
  <c r="L104" i="27"/>
  <c r="M104" i="27"/>
  <c r="N104" i="27"/>
  <c r="B27" i="27"/>
  <c r="C27" i="27"/>
  <c r="I27" i="27"/>
  <c r="J27" i="27"/>
  <c r="K27" i="27"/>
  <c r="L27" i="27"/>
  <c r="M27" i="27"/>
  <c r="N27" i="27"/>
  <c r="B41" i="27"/>
  <c r="C41" i="27"/>
  <c r="I41" i="27"/>
  <c r="J41" i="27"/>
  <c r="K41" i="27"/>
  <c r="L41" i="27"/>
  <c r="M41" i="27"/>
  <c r="N41" i="27"/>
  <c r="B55" i="27"/>
  <c r="C55" i="27"/>
  <c r="I55" i="27"/>
  <c r="J55" i="27"/>
  <c r="K55" i="27"/>
  <c r="L55" i="27"/>
  <c r="M55" i="27"/>
  <c r="N55" i="27"/>
  <c r="B69" i="27"/>
  <c r="C69" i="27"/>
  <c r="I69" i="27"/>
  <c r="J69" i="27"/>
  <c r="K69" i="27"/>
  <c r="L69" i="27"/>
  <c r="M69" i="27"/>
  <c r="N69" i="27"/>
  <c r="B85" i="27"/>
  <c r="C85" i="27"/>
  <c r="I85" i="27"/>
  <c r="J85" i="27"/>
  <c r="K85" i="27"/>
  <c r="L85" i="27"/>
  <c r="M85" i="27"/>
  <c r="N85" i="27"/>
  <c r="B105" i="27"/>
  <c r="C105" i="27"/>
  <c r="I105" i="27"/>
  <c r="J105" i="27"/>
  <c r="K105" i="27"/>
  <c r="L105" i="27"/>
  <c r="M105" i="27"/>
  <c r="N105" i="27"/>
  <c r="B115" i="27"/>
  <c r="C115" i="27"/>
  <c r="I115" i="27"/>
  <c r="J115" i="27"/>
  <c r="K115" i="27"/>
  <c r="L115" i="27"/>
  <c r="M115" i="27"/>
  <c r="N115" i="27"/>
  <c r="B125" i="27"/>
  <c r="C125" i="27"/>
  <c r="I125" i="27"/>
  <c r="J125" i="27"/>
  <c r="K125" i="27"/>
  <c r="L125" i="27"/>
  <c r="M125" i="27"/>
  <c r="N125" i="27"/>
  <c r="B135" i="27"/>
  <c r="C135" i="27"/>
  <c r="I135" i="27"/>
  <c r="J135" i="27"/>
  <c r="K135" i="27"/>
  <c r="L135" i="27"/>
  <c r="M135" i="27"/>
  <c r="N135" i="27"/>
  <c r="B28" i="27"/>
  <c r="C28" i="27"/>
  <c r="I28" i="27"/>
  <c r="J28" i="27"/>
  <c r="K28" i="27"/>
  <c r="L28" i="27"/>
  <c r="M28" i="27"/>
  <c r="N28" i="27"/>
  <c r="B42" i="27"/>
  <c r="C42" i="27"/>
  <c r="I42" i="27"/>
  <c r="J42" i="27"/>
  <c r="K42" i="27"/>
  <c r="L42" i="27"/>
  <c r="M42" i="27"/>
  <c r="N42" i="27"/>
  <c r="B56" i="27"/>
  <c r="C56" i="27"/>
  <c r="I56" i="27"/>
  <c r="J56" i="27"/>
  <c r="K56" i="27"/>
  <c r="L56" i="27"/>
  <c r="M56" i="27"/>
  <c r="N56" i="27"/>
  <c r="B70" i="27"/>
  <c r="C70" i="27"/>
  <c r="I70" i="27"/>
  <c r="J70" i="27"/>
  <c r="K70" i="27"/>
  <c r="L70" i="27"/>
  <c r="M70" i="27"/>
  <c r="N70" i="27"/>
  <c r="B86" i="27"/>
  <c r="C86" i="27"/>
  <c r="I86" i="27"/>
  <c r="J86" i="27"/>
  <c r="K86" i="27"/>
  <c r="L86" i="27"/>
  <c r="M86" i="27"/>
  <c r="N86" i="27"/>
  <c r="B106" i="27"/>
  <c r="C106" i="27"/>
  <c r="I106" i="27"/>
  <c r="J106" i="27"/>
  <c r="K106" i="27"/>
  <c r="L106" i="27"/>
  <c r="M106" i="27"/>
  <c r="N106" i="27"/>
  <c r="B116" i="27"/>
  <c r="C116" i="27"/>
  <c r="I116" i="27"/>
  <c r="J116" i="27"/>
  <c r="K116" i="27"/>
  <c r="L116" i="27"/>
  <c r="M116" i="27"/>
  <c r="N116" i="27"/>
  <c r="B126" i="27"/>
  <c r="C126" i="27"/>
  <c r="I126" i="27"/>
  <c r="J126" i="27"/>
  <c r="K126" i="27"/>
  <c r="L126" i="27"/>
  <c r="M126" i="27"/>
  <c r="N126" i="27"/>
  <c r="B136" i="27"/>
  <c r="C136" i="27"/>
  <c r="I136" i="27"/>
  <c r="J136" i="27"/>
  <c r="K136" i="27"/>
  <c r="L136" i="27"/>
  <c r="M136" i="27"/>
  <c r="N136" i="27"/>
  <c r="B29" i="27"/>
  <c r="C29" i="27"/>
  <c r="I29" i="27"/>
  <c r="J29" i="27"/>
  <c r="K29" i="27"/>
  <c r="L29" i="27"/>
  <c r="M29" i="27"/>
  <c r="N29" i="27"/>
  <c r="B43" i="27"/>
  <c r="C43" i="27"/>
  <c r="I43" i="27"/>
  <c r="J43" i="27"/>
  <c r="K43" i="27"/>
  <c r="L43" i="27"/>
  <c r="M43" i="27"/>
  <c r="N43" i="27"/>
  <c r="B57" i="27"/>
  <c r="C57" i="27"/>
  <c r="I57" i="27"/>
  <c r="J57" i="27"/>
  <c r="K57" i="27"/>
  <c r="L57" i="27"/>
  <c r="M57" i="27"/>
  <c r="N57" i="27"/>
  <c r="B71" i="27"/>
  <c r="C71" i="27"/>
  <c r="I71" i="27"/>
  <c r="J71" i="27"/>
  <c r="K71" i="27"/>
  <c r="L71" i="27"/>
  <c r="M71" i="27"/>
  <c r="N71" i="27"/>
  <c r="B87" i="27"/>
  <c r="C87" i="27"/>
  <c r="I87" i="27"/>
  <c r="J87" i="27"/>
  <c r="K87" i="27"/>
  <c r="L87" i="27"/>
  <c r="M87" i="27"/>
  <c r="N87" i="27"/>
  <c r="B107" i="27"/>
  <c r="C107" i="27"/>
  <c r="I107" i="27"/>
  <c r="J107" i="27"/>
  <c r="K107" i="27"/>
  <c r="L107" i="27"/>
  <c r="M107" i="27"/>
  <c r="N107" i="27"/>
  <c r="B117" i="27"/>
  <c r="C117" i="27"/>
  <c r="I117" i="27"/>
  <c r="J117" i="27"/>
  <c r="K117" i="27"/>
  <c r="L117" i="27"/>
  <c r="M117" i="27"/>
  <c r="N117" i="27"/>
  <c r="B127" i="27"/>
  <c r="C127" i="27"/>
  <c r="I127" i="27"/>
  <c r="J127" i="27"/>
  <c r="K127" i="27"/>
  <c r="L127" i="27"/>
  <c r="M127" i="27"/>
  <c r="N127" i="27"/>
  <c r="B137" i="27"/>
  <c r="C137" i="27"/>
  <c r="I137" i="27"/>
  <c r="J137" i="27"/>
  <c r="K137" i="27"/>
  <c r="L137" i="27"/>
  <c r="M137" i="27"/>
  <c r="N137" i="27"/>
  <c r="B30" i="27"/>
  <c r="C30" i="27"/>
  <c r="I30" i="27"/>
  <c r="J30" i="27"/>
  <c r="K30" i="27"/>
  <c r="L30" i="27"/>
  <c r="M30" i="27"/>
  <c r="N30" i="27"/>
  <c r="B44" i="27"/>
  <c r="C44" i="27"/>
  <c r="I44" i="27"/>
  <c r="J44" i="27"/>
  <c r="K44" i="27"/>
  <c r="L44" i="27"/>
  <c r="M44" i="27"/>
  <c r="N44" i="27"/>
  <c r="B58" i="27"/>
  <c r="C58" i="27"/>
  <c r="I58" i="27"/>
  <c r="J58" i="27"/>
  <c r="K58" i="27"/>
  <c r="L58" i="27"/>
  <c r="M58" i="27"/>
  <c r="N58" i="27"/>
  <c r="B72" i="27"/>
  <c r="C72" i="27"/>
  <c r="I72" i="27"/>
  <c r="J72" i="27"/>
  <c r="K72" i="27"/>
  <c r="L72" i="27"/>
  <c r="M72" i="27"/>
  <c r="N72" i="27"/>
  <c r="B88" i="27"/>
  <c r="C88" i="27"/>
  <c r="I88" i="27"/>
  <c r="J88" i="27"/>
  <c r="K88" i="27"/>
  <c r="L88" i="27"/>
  <c r="M88" i="27"/>
  <c r="N88" i="27"/>
  <c r="B108" i="27"/>
  <c r="C108" i="27"/>
  <c r="I108" i="27"/>
  <c r="J108" i="27"/>
  <c r="K108" i="27"/>
  <c r="L108" i="27"/>
  <c r="M108" i="27"/>
  <c r="N108" i="27"/>
  <c r="B118" i="27"/>
  <c r="C118" i="27"/>
  <c r="I118" i="27"/>
  <c r="J118" i="27"/>
  <c r="K118" i="27"/>
  <c r="L118" i="27"/>
  <c r="M118" i="27"/>
  <c r="N118" i="27"/>
  <c r="B128" i="27"/>
  <c r="C128" i="27"/>
  <c r="I128" i="27"/>
  <c r="J128" i="27"/>
  <c r="K128" i="27"/>
  <c r="L128" i="27"/>
  <c r="M128" i="27"/>
  <c r="N128" i="27"/>
  <c r="B138" i="27"/>
  <c r="C138" i="27"/>
  <c r="I138" i="27"/>
  <c r="J138" i="27"/>
  <c r="K138" i="27"/>
  <c r="L138" i="27"/>
  <c r="M138" i="27"/>
  <c r="N138" i="27"/>
  <c r="B31" i="27"/>
  <c r="C31" i="27"/>
  <c r="I31" i="27"/>
  <c r="J31" i="27"/>
  <c r="K31" i="27"/>
  <c r="L31" i="27"/>
  <c r="M31" i="27"/>
  <c r="N31" i="27"/>
  <c r="B45" i="27"/>
  <c r="C45" i="27"/>
  <c r="I45" i="27"/>
  <c r="J45" i="27"/>
  <c r="K45" i="27"/>
  <c r="L45" i="27"/>
  <c r="M45" i="27"/>
  <c r="N45" i="27"/>
  <c r="B59" i="27"/>
  <c r="C59" i="27"/>
  <c r="I59" i="27"/>
  <c r="J59" i="27"/>
  <c r="K59" i="27"/>
  <c r="L59" i="27"/>
  <c r="M59" i="27"/>
  <c r="N59" i="27"/>
  <c r="B73" i="27"/>
  <c r="C73" i="27"/>
  <c r="I73" i="27"/>
  <c r="J73" i="27"/>
  <c r="K73" i="27"/>
  <c r="L73" i="27"/>
  <c r="M73" i="27"/>
  <c r="N73" i="27"/>
  <c r="B89" i="27"/>
  <c r="C89" i="27"/>
  <c r="I89" i="27"/>
  <c r="J89" i="27"/>
  <c r="K89" i="27"/>
  <c r="L89" i="27"/>
  <c r="M89" i="27"/>
  <c r="N89" i="27"/>
  <c r="B109" i="27"/>
  <c r="C109" i="27"/>
  <c r="I109" i="27"/>
  <c r="J109" i="27"/>
  <c r="K109" i="27"/>
  <c r="L109" i="27"/>
  <c r="M109" i="27"/>
  <c r="N109" i="27"/>
  <c r="B119" i="27"/>
  <c r="C119" i="27"/>
  <c r="I119" i="27"/>
  <c r="J119" i="27"/>
  <c r="K119" i="27"/>
  <c r="L119" i="27"/>
  <c r="M119" i="27"/>
  <c r="N119" i="27"/>
  <c r="B129" i="27"/>
  <c r="C129" i="27"/>
  <c r="I129" i="27"/>
  <c r="J129" i="27"/>
  <c r="K129" i="27"/>
  <c r="L129" i="27"/>
  <c r="M129" i="27"/>
  <c r="N129" i="27"/>
  <c r="B139" i="27"/>
  <c r="C139" i="27"/>
  <c r="I139" i="27"/>
  <c r="J139" i="27"/>
  <c r="K139" i="27"/>
  <c r="L139" i="27"/>
  <c r="M139" i="27"/>
  <c r="N139" i="27"/>
  <c r="B32" i="27"/>
  <c r="C32" i="27"/>
  <c r="I32" i="27"/>
  <c r="J32" i="27"/>
  <c r="K32" i="27"/>
  <c r="L32" i="27"/>
  <c r="M32" i="27"/>
  <c r="N32" i="27"/>
  <c r="B46" i="27"/>
  <c r="C46" i="27"/>
  <c r="I46" i="27"/>
  <c r="J46" i="27"/>
  <c r="K46" i="27"/>
  <c r="L46" i="27"/>
  <c r="M46" i="27"/>
  <c r="N46" i="27"/>
  <c r="B60" i="27"/>
  <c r="C60" i="27"/>
  <c r="I60" i="27"/>
  <c r="J60" i="27"/>
  <c r="K60" i="27"/>
  <c r="L60" i="27"/>
  <c r="M60" i="27"/>
  <c r="N60" i="27"/>
  <c r="B74" i="27"/>
  <c r="C74" i="27"/>
  <c r="I74" i="27"/>
  <c r="J74" i="27"/>
  <c r="K74" i="27"/>
  <c r="L74" i="27"/>
  <c r="M74" i="27"/>
  <c r="N74" i="27"/>
  <c r="B90" i="27"/>
  <c r="C90" i="27"/>
  <c r="I90" i="27"/>
  <c r="J90" i="27"/>
  <c r="K90" i="27"/>
  <c r="L90" i="27"/>
  <c r="M90" i="27"/>
  <c r="N90" i="27"/>
  <c r="B110" i="27"/>
  <c r="C110" i="27"/>
  <c r="I110" i="27"/>
  <c r="J110" i="27"/>
  <c r="K110" i="27"/>
  <c r="L110" i="27"/>
  <c r="M110" i="27"/>
  <c r="N110" i="27"/>
  <c r="B120" i="27"/>
  <c r="C120" i="27"/>
  <c r="I120" i="27"/>
  <c r="J120" i="27"/>
  <c r="K120" i="27"/>
  <c r="L120" i="27"/>
  <c r="M120" i="27"/>
  <c r="N120" i="27"/>
  <c r="B130" i="27"/>
  <c r="C130" i="27"/>
  <c r="I130" i="27"/>
  <c r="J130" i="27"/>
  <c r="K130" i="27"/>
  <c r="L130" i="27"/>
  <c r="M130" i="27"/>
  <c r="N130" i="27"/>
  <c r="B140" i="27"/>
  <c r="C140" i="27"/>
  <c r="I140" i="27"/>
  <c r="J140" i="27"/>
  <c r="K140" i="27"/>
  <c r="L140" i="27"/>
  <c r="M140" i="27"/>
  <c r="N140" i="27"/>
  <c r="B33" i="27"/>
  <c r="C33" i="27"/>
  <c r="I33" i="27"/>
  <c r="J33" i="27"/>
  <c r="K33" i="27"/>
  <c r="L33" i="27"/>
  <c r="M33" i="27"/>
  <c r="N33" i="27"/>
  <c r="B47" i="27"/>
  <c r="C47" i="27"/>
  <c r="I47" i="27"/>
  <c r="J47" i="27"/>
  <c r="K47" i="27"/>
  <c r="L47" i="27"/>
  <c r="M47" i="27"/>
  <c r="N47" i="27"/>
  <c r="B61" i="27"/>
  <c r="C61" i="27"/>
  <c r="I61" i="27"/>
  <c r="J61" i="27"/>
  <c r="K61" i="27"/>
  <c r="L61" i="27"/>
  <c r="M61" i="27"/>
  <c r="N61" i="27"/>
  <c r="B75" i="27"/>
  <c r="C75" i="27"/>
  <c r="I75" i="27"/>
  <c r="J75" i="27"/>
  <c r="K75" i="27"/>
  <c r="L75" i="27"/>
  <c r="M75" i="27"/>
  <c r="N75" i="27"/>
  <c r="B79" i="27"/>
  <c r="C79" i="27"/>
  <c r="I79" i="27"/>
  <c r="J79" i="27"/>
  <c r="K79" i="27"/>
  <c r="L79" i="27"/>
  <c r="M79" i="27"/>
  <c r="N79" i="27"/>
  <c r="B91" i="27"/>
  <c r="C91" i="27"/>
  <c r="I91" i="27"/>
  <c r="J91" i="27"/>
  <c r="K91" i="27"/>
  <c r="L91" i="27"/>
  <c r="M91" i="27"/>
  <c r="N91" i="27"/>
  <c r="B97" i="27"/>
  <c r="C97" i="27"/>
  <c r="I97" i="27"/>
  <c r="J97" i="27"/>
  <c r="K97" i="27"/>
  <c r="L97" i="27"/>
  <c r="M97" i="27"/>
  <c r="N97" i="27"/>
  <c r="B111" i="27"/>
  <c r="C111" i="27"/>
  <c r="I111" i="27"/>
  <c r="J111" i="27"/>
  <c r="K111" i="27"/>
  <c r="L111" i="27"/>
  <c r="M111" i="27"/>
  <c r="N111" i="27"/>
  <c r="K37" i="27"/>
  <c r="L37" i="27"/>
  <c r="N37" i="27"/>
  <c r="I37" i="27"/>
  <c r="M37" i="27"/>
  <c r="J37" i="27"/>
  <c r="C37" i="27"/>
  <c r="B37" i="27"/>
  <c r="K23" i="27"/>
  <c r="L23" i="27"/>
  <c r="N23" i="27"/>
  <c r="I23" i="27"/>
  <c r="M23" i="27"/>
  <c r="J23" i="27"/>
  <c r="C23" i="27"/>
  <c r="B23" i="27"/>
  <c r="F7" i="39"/>
  <c r="N456" i="27"/>
  <c r="F8" i="39"/>
  <c r="N457" i="27"/>
  <c r="F9" i="39"/>
  <c r="N458" i="27"/>
  <c r="F10" i="39"/>
  <c r="N459" i="27"/>
  <c r="F6" i="39"/>
  <c r="N455" i="27"/>
  <c r="I990" i="27"/>
  <c r="I932" i="27"/>
  <c r="I725" i="27"/>
  <c r="I701" i="27"/>
  <c r="I695" i="27"/>
  <c r="I643" i="27"/>
  <c r="I989" i="27"/>
  <c r="I826" i="27"/>
  <c r="I718" i="27"/>
  <c r="I698" i="27"/>
  <c r="I692" i="27"/>
  <c r="I642" i="27"/>
  <c r="I988" i="27"/>
  <c r="I931" i="27"/>
  <c r="I708" i="27"/>
  <c r="I703" i="27"/>
  <c r="I696" i="27"/>
  <c r="I645" i="27"/>
  <c r="I987" i="27"/>
  <c r="I882" i="27"/>
  <c r="I741" i="27"/>
  <c r="I717" i="27"/>
  <c r="I700" i="27"/>
  <c r="I650" i="27"/>
  <c r="I986" i="27"/>
  <c r="I930" i="27"/>
  <c r="I727" i="27"/>
  <c r="I720" i="27"/>
  <c r="I707" i="27"/>
  <c r="I649" i="27"/>
  <c r="I1014" i="27"/>
  <c r="I1004" i="27"/>
  <c r="I993" i="27"/>
  <c r="I897" i="27"/>
  <c r="I787" i="27"/>
  <c r="I767" i="27"/>
  <c r="I740" i="27"/>
  <c r="I663" i="27"/>
  <c r="I985" i="27"/>
  <c r="I929" i="27"/>
  <c r="I754" i="27"/>
  <c r="I745" i="27"/>
  <c r="I730" i="27"/>
  <c r="I656" i="27"/>
  <c r="I984" i="27"/>
  <c r="I876" i="27"/>
  <c r="I739" i="27"/>
  <c r="I710" i="27"/>
  <c r="I697" i="27"/>
  <c r="I648" i="27"/>
  <c r="I983" i="27"/>
  <c r="I928" i="27"/>
  <c r="I749" i="27"/>
  <c r="I731" i="27"/>
  <c r="I724" i="27"/>
  <c r="I651" i="27"/>
  <c r="I982" i="27"/>
  <c r="I927" i="27"/>
  <c r="I766" i="27"/>
  <c r="I742" i="27"/>
  <c r="I729" i="27"/>
  <c r="I655" i="27"/>
  <c r="I981" i="27"/>
  <c r="I896" i="27"/>
  <c r="I786" i="27"/>
  <c r="I756" i="27"/>
  <c r="I738" i="27"/>
  <c r="I662" i="27"/>
  <c r="I980" i="27"/>
  <c r="I926" i="27"/>
  <c r="I810" i="27"/>
  <c r="I778" i="27"/>
  <c r="I765" i="27"/>
  <c r="I668" i="27"/>
  <c r="I1013" i="27"/>
  <c r="I1000" i="27"/>
  <c r="I992" i="27"/>
  <c r="I895" i="27"/>
  <c r="I815" i="27"/>
  <c r="I777" i="27"/>
  <c r="I753" i="27"/>
  <c r="I667" i="27"/>
  <c r="I979" i="27"/>
  <c r="I925" i="27"/>
  <c r="I748" i="27"/>
  <c r="I737" i="27"/>
  <c r="I716" i="27"/>
  <c r="I654" i="27"/>
  <c r="I978" i="27"/>
  <c r="I894" i="27"/>
  <c r="I785" i="27"/>
  <c r="I750" i="27"/>
  <c r="I728" i="27"/>
  <c r="I661" i="27"/>
  <c r="I977" i="27"/>
  <c r="I924" i="27"/>
  <c r="I800" i="27"/>
  <c r="I772" i="27"/>
  <c r="I764" i="27"/>
  <c r="I665" i="27"/>
  <c r="I923" i="27"/>
  <c r="I849" i="27"/>
  <c r="I825" i="27"/>
  <c r="I799" i="27"/>
  <c r="I675" i="27"/>
  <c r="I976" i="27"/>
  <c r="I922" i="27"/>
  <c r="I875" i="27"/>
  <c r="I844" i="27"/>
  <c r="I834" i="27"/>
  <c r="I684" i="27"/>
  <c r="I1012" i="27"/>
  <c r="I1003" i="27"/>
  <c r="I938" i="27"/>
  <c r="I898" i="27"/>
  <c r="I860" i="27"/>
  <c r="I848" i="27"/>
  <c r="I809" i="27"/>
  <c r="I687" i="27"/>
  <c r="I975" i="27"/>
  <c r="I921" i="27"/>
  <c r="I874" i="27"/>
  <c r="I859" i="27"/>
  <c r="I856" i="27"/>
  <c r="I688" i="27"/>
  <c r="I1019" i="27"/>
  <c r="I1018" i="27"/>
  <c r="I1017" i="27"/>
  <c r="I1016" i="27"/>
  <c r="I1015" i="27"/>
  <c r="I1006" i="27"/>
  <c r="I999" i="27"/>
  <c r="I974" i="27"/>
  <c r="I920" i="27"/>
  <c r="I855" i="27"/>
  <c r="I843" i="27"/>
  <c r="I824" i="27"/>
  <c r="I683" i="27"/>
  <c r="I973" i="27"/>
  <c r="I893" i="27"/>
  <c r="I823" i="27"/>
  <c r="I798" i="27"/>
  <c r="I763" i="27"/>
  <c r="I673" i="27"/>
  <c r="I972" i="27"/>
  <c r="I919" i="27"/>
  <c r="I847" i="27"/>
  <c r="I822" i="27"/>
  <c r="I797" i="27"/>
  <c r="I678" i="27"/>
  <c r="I1011" i="27"/>
  <c r="I1002" i="27"/>
  <c r="I971" i="27"/>
  <c r="I918" i="27"/>
  <c r="I877" i="27"/>
  <c r="I854" i="27"/>
  <c r="I821" i="27"/>
  <c r="I691" i="27"/>
  <c r="I970" i="27"/>
  <c r="I917" i="27"/>
  <c r="I808" i="27"/>
  <c r="I796" i="27"/>
  <c r="I776" i="27"/>
  <c r="I670" i="27"/>
  <c r="I969" i="27"/>
  <c r="I892" i="27"/>
  <c r="I814" i="27"/>
  <c r="I795" i="27"/>
  <c r="I762" i="27"/>
  <c r="I669" i="27"/>
  <c r="I968" i="27"/>
  <c r="I916" i="27"/>
  <c r="I773" i="27"/>
  <c r="I768" i="27"/>
  <c r="I752" i="27"/>
  <c r="I664" i="27"/>
  <c r="I991" i="27"/>
  <c r="I891" i="27"/>
  <c r="I784" i="27"/>
  <c r="I744" i="27"/>
  <c r="I723" i="27"/>
  <c r="I653" i="27"/>
  <c r="I967" i="27"/>
  <c r="I915" i="27"/>
  <c r="I722" i="27"/>
  <c r="I715" i="27"/>
  <c r="I706" i="27"/>
  <c r="I647" i="27"/>
  <c r="I966" i="27"/>
  <c r="I881" i="27"/>
  <c r="I747" i="27"/>
  <c r="I719" i="27"/>
  <c r="I705" i="27"/>
  <c r="I646" i="27"/>
  <c r="I1005" i="27"/>
  <c r="I998" i="27"/>
  <c r="I965" i="27"/>
  <c r="I890" i="27"/>
  <c r="I820" i="27"/>
  <c r="I761" i="27"/>
  <c r="I736" i="27"/>
  <c r="I660" i="27"/>
  <c r="I964" i="27"/>
  <c r="I873" i="27"/>
  <c r="I794" i="27"/>
  <c r="I760" i="27"/>
  <c r="I735" i="27"/>
  <c r="I659" i="27"/>
  <c r="I963" i="27"/>
  <c r="I914" i="27"/>
  <c r="I775" i="27"/>
  <c r="I734" i="27"/>
  <c r="I704" i="27"/>
  <c r="I652" i="27"/>
  <c r="I1010" i="27"/>
  <c r="I997" i="27"/>
  <c r="I962" i="27"/>
  <c r="I872" i="27"/>
  <c r="I733" i="27"/>
  <c r="I709" i="27"/>
  <c r="I699" i="27"/>
  <c r="I644" i="27"/>
  <c r="I961" i="27"/>
  <c r="I889" i="27"/>
  <c r="I771" i="27"/>
  <c r="I743" i="27"/>
  <c r="I721" i="27"/>
  <c r="I658" i="27"/>
  <c r="I960" i="27"/>
  <c r="I913" i="27"/>
  <c r="I759" i="27"/>
  <c r="I751" i="27"/>
  <c r="I714" i="27"/>
  <c r="I657" i="27"/>
  <c r="I959" i="27"/>
  <c r="I880" i="27"/>
  <c r="I783" i="27"/>
  <c r="I774" i="27"/>
  <c r="I755" i="27"/>
  <c r="I666" i="27"/>
  <c r="I1009" i="27"/>
  <c r="I996" i="27"/>
  <c r="I958" i="27"/>
  <c r="I888" i="27"/>
  <c r="I819" i="27"/>
  <c r="I803" i="27"/>
  <c r="I782" i="27"/>
  <c r="I672" i="27"/>
  <c r="I957" i="27"/>
  <c r="I912" i="27"/>
  <c r="I842" i="27"/>
  <c r="I818" i="27"/>
  <c r="I807" i="27"/>
  <c r="I677" i="27"/>
  <c r="I956" i="27"/>
  <c r="I887" i="27"/>
  <c r="I858" i="27"/>
  <c r="I845" i="27"/>
  <c r="I813" i="27"/>
  <c r="I682" i="27"/>
  <c r="I955" i="27"/>
  <c r="I911" i="27"/>
  <c r="I871" i="27"/>
  <c r="I853" i="27"/>
  <c r="I841" i="27"/>
  <c r="I686" i="27"/>
  <c r="I954" i="27"/>
  <c r="I910" i="27"/>
  <c r="I878" i="27"/>
  <c r="I870" i="27"/>
  <c r="I833" i="27"/>
  <c r="I690" i="27"/>
  <c r="I953" i="27"/>
  <c r="I909" i="27"/>
  <c r="I869" i="27"/>
  <c r="I852" i="27"/>
  <c r="I840" i="27"/>
  <c r="I685" i="27"/>
  <c r="I995" i="27"/>
  <c r="I937" i="27"/>
  <c r="I908" i="27"/>
  <c r="I868" i="27"/>
  <c r="I832" i="27"/>
  <c r="I689" i="27"/>
  <c r="I1008" i="27"/>
  <c r="I994" i="27"/>
  <c r="I952" i="27"/>
  <c r="I907" i="27"/>
  <c r="I867" i="27"/>
  <c r="I839" i="27"/>
  <c r="I726" i="27"/>
  <c r="I681" i="27"/>
  <c r="I951" i="27"/>
  <c r="I934" i="27"/>
  <c r="I866" i="27"/>
  <c r="I838" i="27"/>
  <c r="I793" i="27"/>
  <c r="I680" i="27"/>
  <c r="I950" i="27"/>
  <c r="I886" i="27"/>
  <c r="I851" i="27"/>
  <c r="I817" i="27"/>
  <c r="I792" i="27"/>
  <c r="I676" i="27"/>
  <c r="I949" i="27"/>
  <c r="I900" i="27"/>
  <c r="I831" i="27"/>
  <c r="I802" i="27"/>
  <c r="I770" i="27"/>
  <c r="I671" i="27"/>
  <c r="I948" i="27"/>
  <c r="I906" i="27"/>
  <c r="I865" i="27"/>
  <c r="I837" i="27"/>
  <c r="I806" i="27"/>
  <c r="I679" i="27"/>
  <c r="I1007" i="27"/>
  <c r="I1001" i="27"/>
  <c r="I947" i="27"/>
  <c r="I885" i="27"/>
  <c r="I846" i="27"/>
  <c r="I812" i="27"/>
  <c r="I781" i="27"/>
  <c r="I674" i="27"/>
  <c r="I946" i="27"/>
  <c r="I905" i="27"/>
  <c r="I864" i="27"/>
  <c r="I830" i="27"/>
  <c r="I805" i="27"/>
  <c r="I641" i="27"/>
  <c r="I899" i="27"/>
  <c r="I850" i="27"/>
  <c r="I836" i="27"/>
  <c r="I816" i="27"/>
  <c r="I640" i="27"/>
  <c r="I945" i="27"/>
  <c r="I904" i="27"/>
  <c r="I863" i="27"/>
  <c r="I829" i="27"/>
  <c r="I780" i="27"/>
  <c r="I639" i="27"/>
  <c r="I944" i="27"/>
  <c r="I884" i="27"/>
  <c r="I835" i="27"/>
  <c r="I811" i="27"/>
  <c r="I801" i="27"/>
  <c r="I638" i="27"/>
  <c r="I943" i="27"/>
  <c r="I903" i="27"/>
  <c r="I828" i="27"/>
  <c r="I791" i="27"/>
  <c r="I758" i="27"/>
  <c r="I637" i="27"/>
  <c r="I942" i="27"/>
  <c r="I933" i="27"/>
  <c r="I804" i="27"/>
  <c r="I779" i="27"/>
  <c r="I746" i="27"/>
  <c r="I636" i="27"/>
  <c r="I941" i="27"/>
  <c r="I902" i="27"/>
  <c r="I827" i="27"/>
  <c r="I757" i="27"/>
  <c r="I713" i="27"/>
  <c r="I635" i="27"/>
  <c r="I940" i="27"/>
  <c r="I901" i="27"/>
  <c r="I862" i="27"/>
  <c r="I790" i="27"/>
  <c r="I702" i="27"/>
  <c r="I634" i="27"/>
  <c r="I939" i="27"/>
  <c r="I883" i="27"/>
  <c r="I857" i="27"/>
  <c r="I788" i="27"/>
  <c r="I732" i="27"/>
  <c r="I633" i="27"/>
  <c r="I936" i="27"/>
  <c r="I861" i="27"/>
  <c r="I789" i="27"/>
  <c r="I712" i="27"/>
  <c r="I694" i="27"/>
  <c r="I632" i="27"/>
  <c r="I935" i="27"/>
  <c r="I879" i="27"/>
  <c r="I769" i="27"/>
  <c r="I711" i="27"/>
  <c r="I693" i="27"/>
  <c r="I631" i="27"/>
  <c r="B405" i="27"/>
  <c r="C405" i="27"/>
  <c r="G59" i="41"/>
  <c r="I405" i="27"/>
  <c r="H59" i="41"/>
  <c r="J405" i="27"/>
  <c r="I59" i="41"/>
  <c r="K405" i="27"/>
  <c r="L405" i="27"/>
  <c r="M405" i="27"/>
  <c r="N405" i="27"/>
  <c r="O405" i="27"/>
  <c r="B408" i="27"/>
  <c r="C408" i="27"/>
  <c r="G60" i="41"/>
  <c r="I408" i="27"/>
  <c r="H60" i="41"/>
  <c r="J408" i="27"/>
  <c r="I60" i="41"/>
  <c r="K408" i="27"/>
  <c r="L408" i="27"/>
  <c r="M408" i="27"/>
  <c r="N408" i="27"/>
  <c r="O408" i="27"/>
  <c r="B409" i="27"/>
  <c r="C409" i="27"/>
  <c r="G61" i="41"/>
  <c r="I409" i="27"/>
  <c r="H61" i="41"/>
  <c r="J409" i="27"/>
  <c r="I61" i="41"/>
  <c r="K409" i="27"/>
  <c r="L409" i="27"/>
  <c r="M409" i="27"/>
  <c r="N409" i="27"/>
  <c r="O409" i="27"/>
  <c r="B369" i="27"/>
  <c r="C369" i="27"/>
  <c r="G9" i="41"/>
  <c r="I369" i="27"/>
  <c r="H9" i="41"/>
  <c r="J369" i="27"/>
  <c r="I9" i="41"/>
  <c r="K369" i="27"/>
  <c r="L369" i="27"/>
  <c r="M369" i="27"/>
  <c r="N369" i="27"/>
  <c r="O369" i="27"/>
  <c r="B372" i="27"/>
  <c r="C372" i="27"/>
  <c r="G10" i="41"/>
  <c r="I372" i="27"/>
  <c r="H10" i="41"/>
  <c r="J372" i="27"/>
  <c r="I10" i="41"/>
  <c r="K372" i="27"/>
  <c r="L372" i="27"/>
  <c r="M372" i="27"/>
  <c r="N372" i="27"/>
  <c r="O372" i="27"/>
  <c r="B375" i="27"/>
  <c r="C375" i="27"/>
  <c r="G11" i="41"/>
  <c r="I375" i="27"/>
  <c r="H11" i="41"/>
  <c r="J375" i="27"/>
  <c r="I11" i="41"/>
  <c r="K375" i="27"/>
  <c r="L375" i="27"/>
  <c r="M375" i="27"/>
  <c r="N375" i="27"/>
  <c r="O375" i="27"/>
  <c r="B377" i="27"/>
  <c r="C377" i="27"/>
  <c r="G12" i="41"/>
  <c r="I377" i="27"/>
  <c r="H12" i="41"/>
  <c r="J377" i="27"/>
  <c r="I12" i="41"/>
  <c r="K377" i="27"/>
  <c r="L377" i="27"/>
  <c r="M377" i="27"/>
  <c r="N377" i="27"/>
  <c r="O377" i="27"/>
  <c r="B379" i="27"/>
  <c r="C379" i="27"/>
  <c r="G13" i="41"/>
  <c r="I379" i="27"/>
  <c r="H13" i="41"/>
  <c r="J379" i="27"/>
  <c r="I13" i="41"/>
  <c r="K379" i="27"/>
  <c r="L379" i="27"/>
  <c r="M379" i="27"/>
  <c r="N379" i="27"/>
  <c r="O379" i="27"/>
  <c r="B381" i="27"/>
  <c r="C381" i="27"/>
  <c r="G14" i="41"/>
  <c r="I381" i="27"/>
  <c r="H14" i="41"/>
  <c r="J381" i="27"/>
  <c r="I14" i="41"/>
  <c r="K381" i="27"/>
  <c r="L381" i="27"/>
  <c r="M381" i="27"/>
  <c r="N381" i="27"/>
  <c r="O381" i="27"/>
  <c r="B383" i="27"/>
  <c r="C383" i="27"/>
  <c r="G15" i="41"/>
  <c r="I383" i="27"/>
  <c r="H15" i="41"/>
  <c r="J383" i="27"/>
  <c r="I15" i="41"/>
  <c r="K383" i="27"/>
  <c r="L383" i="27"/>
  <c r="M383" i="27"/>
  <c r="N383" i="27"/>
  <c r="O383" i="27"/>
  <c r="B385" i="27"/>
  <c r="C385" i="27"/>
  <c r="G16" i="41"/>
  <c r="I385" i="27"/>
  <c r="H16" i="41"/>
  <c r="J385" i="27"/>
  <c r="I16" i="41"/>
  <c r="K385" i="27"/>
  <c r="L385" i="27"/>
  <c r="M385" i="27"/>
  <c r="N385" i="27"/>
  <c r="O385" i="27"/>
  <c r="B388" i="27"/>
  <c r="C388" i="27"/>
  <c r="G17" i="41"/>
  <c r="I388" i="27"/>
  <c r="H17" i="41"/>
  <c r="J388" i="27"/>
  <c r="I17" i="41"/>
  <c r="K388" i="27"/>
  <c r="L388" i="27"/>
  <c r="M388" i="27"/>
  <c r="N388" i="27"/>
  <c r="O388" i="27"/>
  <c r="B390" i="27"/>
  <c r="C390" i="27"/>
  <c r="G18" i="41"/>
  <c r="I390" i="27"/>
  <c r="H18" i="41"/>
  <c r="J390" i="27"/>
  <c r="I18" i="41"/>
  <c r="K390" i="27"/>
  <c r="L390" i="27"/>
  <c r="M390" i="27"/>
  <c r="N390" i="27"/>
  <c r="O390" i="27"/>
  <c r="B392" i="27"/>
  <c r="C392" i="27"/>
  <c r="G19" i="41"/>
  <c r="I392" i="27"/>
  <c r="H19" i="41"/>
  <c r="J392" i="27"/>
  <c r="I19" i="41"/>
  <c r="K392" i="27"/>
  <c r="L392" i="27"/>
  <c r="M392" i="27"/>
  <c r="N392" i="27"/>
  <c r="O392" i="27"/>
  <c r="B394" i="27"/>
  <c r="C394" i="27"/>
  <c r="G20" i="41"/>
  <c r="I394" i="27"/>
  <c r="H20" i="41"/>
  <c r="J394" i="27"/>
  <c r="I20" i="41"/>
  <c r="K394" i="27"/>
  <c r="L394" i="27"/>
  <c r="M394" i="27"/>
  <c r="N394" i="27"/>
  <c r="O394" i="27"/>
  <c r="B397" i="27"/>
  <c r="C397" i="27"/>
  <c r="G21" i="41"/>
  <c r="I397" i="27"/>
  <c r="H21" i="41"/>
  <c r="J397" i="27"/>
  <c r="I21" i="41"/>
  <c r="K397" i="27"/>
  <c r="L397" i="27"/>
  <c r="M397" i="27"/>
  <c r="N397" i="27"/>
  <c r="O397" i="27"/>
  <c r="B400" i="27"/>
  <c r="C400" i="27"/>
  <c r="G22" i="41"/>
  <c r="I400" i="27"/>
  <c r="H22" i="41"/>
  <c r="J400" i="27"/>
  <c r="I22" i="41"/>
  <c r="K400" i="27"/>
  <c r="L400" i="27"/>
  <c r="M400" i="27"/>
  <c r="N400" i="27"/>
  <c r="O400" i="27"/>
  <c r="B403" i="27"/>
  <c r="C403" i="27"/>
  <c r="G23" i="41"/>
  <c r="I403" i="27"/>
  <c r="H23" i="41"/>
  <c r="J403" i="27"/>
  <c r="I23" i="41"/>
  <c r="K403" i="27"/>
  <c r="L403" i="27"/>
  <c r="M403" i="27"/>
  <c r="N403" i="27"/>
  <c r="O403" i="27"/>
  <c r="B406" i="27"/>
  <c r="C406" i="27"/>
  <c r="G24" i="41"/>
  <c r="I406" i="27"/>
  <c r="H24" i="41"/>
  <c r="J406" i="27"/>
  <c r="I24" i="41"/>
  <c r="K406" i="27"/>
  <c r="L406" i="27"/>
  <c r="M406" i="27"/>
  <c r="N406" i="27"/>
  <c r="O406" i="27"/>
  <c r="B356" i="27"/>
  <c r="C356" i="27"/>
  <c r="G25" i="41"/>
  <c r="I356" i="27"/>
  <c r="H25" i="41"/>
  <c r="J356" i="27"/>
  <c r="I25" i="41"/>
  <c r="K356" i="27"/>
  <c r="L356" i="27"/>
  <c r="M356" i="27"/>
  <c r="N356" i="27"/>
  <c r="O356" i="27"/>
  <c r="B365" i="27"/>
  <c r="C365" i="27"/>
  <c r="G26" i="41"/>
  <c r="I365" i="27"/>
  <c r="H26" i="41"/>
  <c r="J365" i="27"/>
  <c r="I26" i="41"/>
  <c r="K365" i="27"/>
  <c r="L365" i="27"/>
  <c r="M365" i="27"/>
  <c r="N365" i="27"/>
  <c r="O365" i="27"/>
  <c r="B370" i="27"/>
  <c r="C370" i="27"/>
  <c r="G27" i="41"/>
  <c r="I370" i="27"/>
  <c r="H27" i="41"/>
  <c r="J370" i="27"/>
  <c r="I27" i="41"/>
  <c r="K370" i="27"/>
  <c r="L370" i="27"/>
  <c r="M370" i="27"/>
  <c r="N370" i="27"/>
  <c r="O370" i="27"/>
  <c r="B373" i="27"/>
  <c r="C373" i="27"/>
  <c r="G28" i="41"/>
  <c r="I373" i="27"/>
  <c r="H28" i="41"/>
  <c r="J373" i="27"/>
  <c r="I28" i="41"/>
  <c r="K373" i="27"/>
  <c r="L373" i="27"/>
  <c r="M373" i="27"/>
  <c r="N373" i="27"/>
  <c r="O373" i="27"/>
  <c r="B376" i="27"/>
  <c r="C376" i="27"/>
  <c r="G29" i="41"/>
  <c r="I376" i="27"/>
  <c r="H29" i="41"/>
  <c r="J376" i="27"/>
  <c r="I29" i="41"/>
  <c r="K376" i="27"/>
  <c r="L376" i="27"/>
  <c r="M376" i="27"/>
  <c r="N376" i="27"/>
  <c r="O376" i="27"/>
  <c r="B378" i="27"/>
  <c r="C378" i="27"/>
  <c r="G30" i="41"/>
  <c r="I378" i="27"/>
  <c r="H30" i="41"/>
  <c r="J378" i="27"/>
  <c r="I30" i="41"/>
  <c r="K378" i="27"/>
  <c r="L378" i="27"/>
  <c r="M378" i="27"/>
  <c r="N378" i="27"/>
  <c r="O378" i="27"/>
  <c r="B380" i="27"/>
  <c r="C380" i="27"/>
  <c r="G31" i="41"/>
  <c r="I380" i="27"/>
  <c r="H31" i="41"/>
  <c r="J380" i="27"/>
  <c r="I31" i="41"/>
  <c r="K380" i="27"/>
  <c r="L380" i="27"/>
  <c r="M380" i="27"/>
  <c r="N380" i="27"/>
  <c r="O380" i="27"/>
  <c r="B382" i="27"/>
  <c r="C382" i="27"/>
  <c r="G32" i="41"/>
  <c r="I382" i="27"/>
  <c r="H32" i="41"/>
  <c r="J382" i="27"/>
  <c r="I32" i="41"/>
  <c r="K382" i="27"/>
  <c r="L382" i="27"/>
  <c r="M382" i="27"/>
  <c r="N382" i="27"/>
  <c r="O382" i="27"/>
  <c r="B384" i="27"/>
  <c r="C384" i="27"/>
  <c r="G33" i="41"/>
  <c r="I384" i="27"/>
  <c r="H33" i="41"/>
  <c r="J384" i="27"/>
  <c r="I33" i="41"/>
  <c r="K384" i="27"/>
  <c r="L384" i="27"/>
  <c r="M384" i="27"/>
  <c r="N384" i="27"/>
  <c r="O384" i="27"/>
  <c r="B386" i="27"/>
  <c r="C386" i="27"/>
  <c r="G34" i="41"/>
  <c r="I386" i="27"/>
  <c r="H34" i="41"/>
  <c r="J386" i="27"/>
  <c r="I34" i="41"/>
  <c r="K386" i="27"/>
  <c r="L386" i="27"/>
  <c r="M386" i="27"/>
  <c r="N386" i="27"/>
  <c r="O386" i="27"/>
  <c r="B389" i="27"/>
  <c r="C389" i="27"/>
  <c r="G35" i="41"/>
  <c r="I389" i="27"/>
  <c r="H35" i="41"/>
  <c r="J389" i="27"/>
  <c r="I35" i="41"/>
  <c r="K389" i="27"/>
  <c r="L389" i="27"/>
  <c r="M389" i="27"/>
  <c r="N389" i="27"/>
  <c r="O389" i="27"/>
  <c r="B391" i="27"/>
  <c r="C391" i="27"/>
  <c r="G36" i="41"/>
  <c r="I391" i="27"/>
  <c r="H36" i="41"/>
  <c r="J391" i="27"/>
  <c r="I36" i="41"/>
  <c r="K391" i="27"/>
  <c r="L391" i="27"/>
  <c r="M391" i="27"/>
  <c r="N391" i="27"/>
  <c r="O391" i="27"/>
  <c r="B393" i="27"/>
  <c r="C393" i="27"/>
  <c r="G37" i="41"/>
  <c r="I393" i="27"/>
  <c r="H37" i="41"/>
  <c r="J393" i="27"/>
  <c r="I37" i="41"/>
  <c r="K393" i="27"/>
  <c r="L393" i="27"/>
  <c r="M393" i="27"/>
  <c r="N393" i="27"/>
  <c r="O393" i="27"/>
  <c r="B395" i="27"/>
  <c r="C395" i="27"/>
  <c r="G38" i="41"/>
  <c r="I395" i="27"/>
  <c r="H38" i="41"/>
  <c r="J395" i="27"/>
  <c r="I38" i="41"/>
  <c r="K395" i="27"/>
  <c r="L395" i="27"/>
  <c r="M395" i="27"/>
  <c r="N395" i="27"/>
  <c r="O395" i="27"/>
  <c r="B398" i="27"/>
  <c r="C398" i="27"/>
  <c r="G39" i="41"/>
  <c r="I398" i="27"/>
  <c r="H39" i="41"/>
  <c r="J398" i="27"/>
  <c r="I39" i="41"/>
  <c r="K398" i="27"/>
  <c r="L398" i="27"/>
  <c r="M398" i="27"/>
  <c r="N398" i="27"/>
  <c r="O398" i="27"/>
  <c r="B399" i="27"/>
  <c r="C399" i="27"/>
  <c r="G40" i="41"/>
  <c r="I399" i="27"/>
  <c r="H40" i="41"/>
  <c r="J399" i="27"/>
  <c r="I40" i="41"/>
  <c r="K399" i="27"/>
  <c r="L399" i="27"/>
  <c r="M399" i="27"/>
  <c r="N399" i="27"/>
  <c r="O399" i="27"/>
  <c r="B404" i="27"/>
  <c r="C404" i="27"/>
  <c r="G41" i="41"/>
  <c r="I404" i="27"/>
  <c r="H41" i="41"/>
  <c r="J404" i="27"/>
  <c r="I41" i="41"/>
  <c r="K404" i="27"/>
  <c r="L404" i="27"/>
  <c r="M404" i="27"/>
  <c r="N404" i="27"/>
  <c r="O404" i="27"/>
  <c r="B407" i="27"/>
  <c r="C407" i="27"/>
  <c r="G42" i="41"/>
  <c r="I407" i="27"/>
  <c r="H42" i="41"/>
  <c r="J407" i="27"/>
  <c r="I42" i="41"/>
  <c r="K407" i="27"/>
  <c r="L407" i="27"/>
  <c r="M407" i="27"/>
  <c r="N407" i="27"/>
  <c r="O407" i="27"/>
  <c r="B355" i="27"/>
  <c r="C355" i="27"/>
  <c r="G43" i="41"/>
  <c r="I355" i="27"/>
  <c r="H43" i="41"/>
  <c r="J355" i="27"/>
  <c r="I43" i="41"/>
  <c r="K355" i="27"/>
  <c r="L355" i="27"/>
  <c r="M355" i="27"/>
  <c r="N355" i="27"/>
  <c r="O355" i="27"/>
  <c r="B358" i="27"/>
  <c r="C358" i="27"/>
  <c r="G44" i="41"/>
  <c r="I358" i="27"/>
  <c r="H44" i="41"/>
  <c r="J358" i="27"/>
  <c r="I44" i="41"/>
  <c r="K358" i="27"/>
  <c r="L358" i="27"/>
  <c r="M358" i="27"/>
  <c r="N358" i="27"/>
  <c r="O358" i="27"/>
  <c r="B359" i="27"/>
  <c r="C359" i="27"/>
  <c r="G45" i="41"/>
  <c r="I359" i="27"/>
  <c r="H45" i="41"/>
  <c r="J359" i="27"/>
  <c r="I45" i="41"/>
  <c r="K359" i="27"/>
  <c r="L359" i="27"/>
  <c r="M359" i="27"/>
  <c r="N359" i="27"/>
  <c r="O359" i="27"/>
  <c r="B360" i="27"/>
  <c r="C360" i="27"/>
  <c r="G46" i="41"/>
  <c r="I360" i="27"/>
  <c r="H46" i="41"/>
  <c r="J360" i="27"/>
  <c r="I46" i="41"/>
  <c r="K360" i="27"/>
  <c r="L360" i="27"/>
  <c r="M360" i="27"/>
  <c r="N360" i="27"/>
  <c r="O360" i="27"/>
  <c r="B361" i="27"/>
  <c r="C361" i="27"/>
  <c r="G47" i="41"/>
  <c r="I361" i="27"/>
  <c r="H47" i="41"/>
  <c r="J361" i="27"/>
  <c r="I47" i="41"/>
  <c r="K361" i="27"/>
  <c r="L361" i="27"/>
  <c r="M361" i="27"/>
  <c r="N361" i="27"/>
  <c r="O361" i="27"/>
  <c r="B362" i="27"/>
  <c r="C362" i="27"/>
  <c r="G48" i="41"/>
  <c r="I362" i="27"/>
  <c r="H48" i="41"/>
  <c r="J362" i="27"/>
  <c r="I48" i="41"/>
  <c r="K362" i="27"/>
  <c r="L362" i="27"/>
  <c r="M362" i="27"/>
  <c r="N362" i="27"/>
  <c r="O362" i="27"/>
  <c r="B363" i="27"/>
  <c r="C363" i="27"/>
  <c r="G49" i="41"/>
  <c r="I363" i="27"/>
  <c r="H49" i="41"/>
  <c r="J363" i="27"/>
  <c r="I49" i="41"/>
  <c r="K363" i="27"/>
  <c r="L363" i="27"/>
  <c r="M363" i="27"/>
  <c r="N363" i="27"/>
  <c r="O363" i="27"/>
  <c r="B364" i="27"/>
  <c r="C364" i="27"/>
  <c r="G50" i="41"/>
  <c r="I364" i="27"/>
  <c r="H50" i="41"/>
  <c r="J364" i="27"/>
  <c r="I50" i="41"/>
  <c r="K364" i="27"/>
  <c r="L364" i="27"/>
  <c r="M364" i="27"/>
  <c r="N364" i="27"/>
  <c r="O364" i="27"/>
  <c r="B367" i="27"/>
  <c r="C367" i="27"/>
  <c r="G51" i="41"/>
  <c r="I367" i="27"/>
  <c r="H51" i="41"/>
  <c r="J367" i="27"/>
  <c r="I51" i="41"/>
  <c r="K367" i="27"/>
  <c r="L367" i="27"/>
  <c r="M367" i="27"/>
  <c r="N367" i="27"/>
  <c r="O367" i="27"/>
  <c r="B368" i="27"/>
  <c r="C368" i="27"/>
  <c r="G52" i="41"/>
  <c r="I368" i="27"/>
  <c r="H52" i="41"/>
  <c r="J368" i="27"/>
  <c r="I52" i="41"/>
  <c r="K368" i="27"/>
  <c r="L368" i="27"/>
  <c r="M368" i="27"/>
  <c r="N368" i="27"/>
  <c r="O368" i="27"/>
  <c r="B371" i="27"/>
  <c r="C371" i="27"/>
  <c r="G53" i="41"/>
  <c r="I371" i="27"/>
  <c r="H53" i="41"/>
  <c r="J371" i="27"/>
  <c r="I53" i="41"/>
  <c r="K371" i="27"/>
  <c r="L371" i="27"/>
  <c r="M371" i="27"/>
  <c r="N371" i="27"/>
  <c r="O371" i="27"/>
  <c r="B374" i="27"/>
  <c r="C374" i="27"/>
  <c r="G54" i="41"/>
  <c r="I374" i="27"/>
  <c r="H54" i="41"/>
  <c r="J374" i="27"/>
  <c r="I54" i="41"/>
  <c r="K374" i="27"/>
  <c r="L374" i="27"/>
  <c r="M374" i="27"/>
  <c r="N374" i="27"/>
  <c r="O374" i="27"/>
  <c r="B387" i="27"/>
  <c r="C387" i="27"/>
  <c r="G55" i="41"/>
  <c r="I387" i="27"/>
  <c r="H55" i="41"/>
  <c r="J387" i="27"/>
  <c r="I55" i="41"/>
  <c r="K387" i="27"/>
  <c r="L387" i="27"/>
  <c r="M387" i="27"/>
  <c r="N387" i="27"/>
  <c r="O387" i="27"/>
  <c r="B396" i="27"/>
  <c r="C396" i="27"/>
  <c r="G56" i="41"/>
  <c r="I396" i="27"/>
  <c r="H56" i="41"/>
  <c r="J396" i="27"/>
  <c r="I56" i="41"/>
  <c r="K396" i="27"/>
  <c r="L396" i="27"/>
  <c r="M396" i="27"/>
  <c r="N396" i="27"/>
  <c r="O396" i="27"/>
  <c r="B401" i="27"/>
  <c r="C401" i="27"/>
  <c r="G57" i="41"/>
  <c r="I401" i="27"/>
  <c r="H57" i="41"/>
  <c r="J401" i="27"/>
  <c r="I57" i="41"/>
  <c r="K401" i="27"/>
  <c r="L401" i="27"/>
  <c r="M401" i="27"/>
  <c r="N401" i="27"/>
  <c r="O401" i="27"/>
  <c r="B402" i="27"/>
  <c r="C402" i="27"/>
  <c r="G58" i="41"/>
  <c r="I402" i="27"/>
  <c r="H58" i="41"/>
  <c r="J402" i="27"/>
  <c r="I58" i="41"/>
  <c r="K402" i="27"/>
  <c r="L402" i="27"/>
  <c r="M402" i="27"/>
  <c r="N402" i="27"/>
  <c r="O402" i="27"/>
  <c r="O366" i="27"/>
  <c r="G8" i="41"/>
  <c r="I8" i="41"/>
  <c r="K366" i="27"/>
  <c r="H8" i="41"/>
  <c r="J366" i="27"/>
  <c r="L366" i="27"/>
  <c r="N366" i="27"/>
  <c r="I366" i="27"/>
  <c r="M366" i="27"/>
  <c r="C366" i="27"/>
  <c r="B366" i="27"/>
  <c r="O357" i="27"/>
  <c r="G7" i="41"/>
  <c r="H7" i="41"/>
  <c r="J357" i="27"/>
  <c r="I7" i="41"/>
  <c r="K357" i="27"/>
  <c r="L357" i="27"/>
  <c r="I357" i="27"/>
  <c r="M357" i="27"/>
  <c r="N357" i="27"/>
  <c r="C357" i="27"/>
  <c r="B357" i="27"/>
  <c r="I556" i="27"/>
  <c r="D7" i="30"/>
  <c r="J556" i="27"/>
  <c r="H7" i="30"/>
  <c r="F7" i="30"/>
  <c r="I7" i="30"/>
  <c r="K556" i="27"/>
  <c r="L556" i="27"/>
  <c r="M556" i="27"/>
  <c r="N556" i="27"/>
  <c r="I561" i="27"/>
  <c r="D8" i="30"/>
  <c r="J561" i="27"/>
  <c r="H8" i="30"/>
  <c r="F8" i="30"/>
  <c r="I8" i="30"/>
  <c r="K561" i="27"/>
  <c r="L561" i="27"/>
  <c r="M561" i="27"/>
  <c r="N561" i="27"/>
  <c r="I572" i="27"/>
  <c r="D9" i="30"/>
  <c r="J572" i="27"/>
  <c r="H9" i="30"/>
  <c r="F9" i="30"/>
  <c r="I9" i="30"/>
  <c r="K572" i="27"/>
  <c r="L572" i="27"/>
  <c r="M572" i="27"/>
  <c r="N572" i="27"/>
  <c r="H6" i="30"/>
  <c r="F6" i="30"/>
  <c r="I6" i="30"/>
  <c r="K537" i="27"/>
  <c r="D6" i="30"/>
  <c r="J537" i="27"/>
  <c r="L537" i="27"/>
  <c r="N537" i="27"/>
  <c r="I537" i="27"/>
  <c r="M537" i="27"/>
  <c r="H5" i="30"/>
  <c r="F5" i="30"/>
  <c r="I5" i="30"/>
  <c r="K517" i="27"/>
  <c r="D5" i="30"/>
  <c r="J517" i="27"/>
  <c r="L517" i="27"/>
  <c r="N517" i="27"/>
  <c r="I517" i="27"/>
  <c r="M517" i="27"/>
  <c r="B538" i="27"/>
  <c r="C538" i="27"/>
  <c r="G93" i="30"/>
  <c r="M538" i="27"/>
  <c r="H93" i="30"/>
  <c r="N538" i="27"/>
  <c r="B547" i="27"/>
  <c r="C547" i="27"/>
  <c r="G94" i="30"/>
  <c r="M547" i="27"/>
  <c r="H94" i="30"/>
  <c r="N547" i="27"/>
  <c r="B548" i="27"/>
  <c r="C548" i="27"/>
  <c r="G95" i="30"/>
  <c r="M548" i="27"/>
  <c r="H95" i="30"/>
  <c r="N548" i="27"/>
  <c r="B553" i="27"/>
  <c r="C553" i="27"/>
  <c r="G84" i="30"/>
  <c r="M553" i="27"/>
  <c r="H84" i="30"/>
  <c r="N553" i="27"/>
  <c r="B563" i="27"/>
  <c r="C563" i="27"/>
  <c r="G85" i="30"/>
  <c r="M563" i="27"/>
  <c r="H85" i="30"/>
  <c r="N563" i="27"/>
  <c r="B516" i="27"/>
  <c r="C516" i="27"/>
  <c r="G86" i="30"/>
  <c r="M516" i="27"/>
  <c r="H86" i="30"/>
  <c r="N516" i="27"/>
  <c r="B536" i="27"/>
  <c r="C536" i="27"/>
  <c r="G87" i="30"/>
  <c r="M536" i="27"/>
  <c r="H87" i="30"/>
  <c r="N536" i="27"/>
  <c r="B555" i="27"/>
  <c r="C555" i="27"/>
  <c r="G88" i="30"/>
  <c r="M555" i="27"/>
  <c r="H88" i="30"/>
  <c r="N555" i="27"/>
  <c r="B560" i="27"/>
  <c r="C560" i="27"/>
  <c r="G89" i="30"/>
  <c r="M560" i="27"/>
  <c r="H89" i="30"/>
  <c r="N560" i="27"/>
  <c r="B571" i="27"/>
  <c r="C571" i="27"/>
  <c r="G90" i="30"/>
  <c r="M571" i="27"/>
  <c r="H90" i="30"/>
  <c r="N571" i="27"/>
  <c r="B503" i="27"/>
  <c r="C503" i="27"/>
  <c r="G91" i="30"/>
  <c r="M503" i="27"/>
  <c r="H91" i="30"/>
  <c r="N503" i="27"/>
  <c r="B529" i="27"/>
  <c r="C529" i="27"/>
  <c r="G92" i="30"/>
  <c r="M529" i="27"/>
  <c r="H92" i="30"/>
  <c r="N529" i="27"/>
  <c r="B577" i="27"/>
  <c r="C577" i="27"/>
  <c r="G75" i="30"/>
  <c r="M577" i="27"/>
  <c r="H75" i="30"/>
  <c r="N577" i="27"/>
  <c r="B505" i="27"/>
  <c r="C505" i="27"/>
  <c r="G76" i="30"/>
  <c r="M505" i="27"/>
  <c r="H76" i="30"/>
  <c r="N505" i="27"/>
  <c r="B532" i="27"/>
  <c r="C532" i="27"/>
  <c r="G77" i="30"/>
  <c r="M532" i="27"/>
  <c r="H77" i="30"/>
  <c r="N532" i="27"/>
  <c r="B549" i="27"/>
  <c r="C549" i="27"/>
  <c r="G78" i="30"/>
  <c r="M549" i="27"/>
  <c r="H78" i="30"/>
  <c r="N549" i="27"/>
  <c r="B558" i="27"/>
  <c r="C558" i="27"/>
  <c r="G79" i="30"/>
  <c r="M558" i="27"/>
  <c r="H79" i="30"/>
  <c r="N558" i="27"/>
  <c r="B575" i="27"/>
  <c r="C575" i="27"/>
  <c r="G80" i="30"/>
  <c r="M575" i="27"/>
  <c r="H80" i="30"/>
  <c r="N575" i="27"/>
  <c r="B508" i="27"/>
  <c r="C508" i="27"/>
  <c r="G81" i="30"/>
  <c r="M508" i="27"/>
  <c r="H81" i="30"/>
  <c r="N508" i="27"/>
  <c r="B525" i="27"/>
  <c r="C525" i="27"/>
  <c r="G82" i="30"/>
  <c r="M525" i="27"/>
  <c r="H82" i="30"/>
  <c r="N525" i="27"/>
  <c r="B534" i="27"/>
  <c r="C534" i="27"/>
  <c r="G83" i="30"/>
  <c r="M534" i="27"/>
  <c r="H83" i="30"/>
  <c r="N534" i="27"/>
  <c r="B506" i="27"/>
  <c r="C506" i="27"/>
  <c r="G66" i="30"/>
  <c r="M506" i="27"/>
  <c r="H66" i="30"/>
  <c r="N506" i="27"/>
  <c r="B535" i="27"/>
  <c r="C535" i="27"/>
  <c r="G67" i="30"/>
  <c r="M535" i="27"/>
  <c r="H67" i="30"/>
  <c r="N535" i="27"/>
  <c r="B552" i="27"/>
  <c r="C552" i="27"/>
  <c r="G68" i="30"/>
  <c r="M552" i="27"/>
  <c r="H68" i="30"/>
  <c r="N552" i="27"/>
  <c r="B562" i="27"/>
  <c r="C562" i="27"/>
  <c r="G69" i="30"/>
  <c r="M562" i="27"/>
  <c r="H69" i="30"/>
  <c r="N562" i="27"/>
  <c r="B574" i="27"/>
  <c r="C574" i="27"/>
  <c r="G70" i="30"/>
  <c r="M574" i="27"/>
  <c r="H70" i="30"/>
  <c r="N574" i="27"/>
  <c r="B512" i="27"/>
  <c r="C512" i="27"/>
  <c r="G71" i="30"/>
  <c r="M512" i="27"/>
  <c r="H71" i="30"/>
  <c r="N512" i="27"/>
  <c r="B531" i="27"/>
  <c r="C531" i="27"/>
  <c r="G72" i="30"/>
  <c r="M531" i="27"/>
  <c r="H72" i="30"/>
  <c r="N531" i="27"/>
  <c r="B550" i="27"/>
  <c r="C550" i="27"/>
  <c r="G73" i="30"/>
  <c r="M550" i="27"/>
  <c r="H73" i="30"/>
  <c r="N550" i="27"/>
  <c r="B566" i="27"/>
  <c r="C566" i="27"/>
  <c r="G74" i="30"/>
  <c r="M566" i="27"/>
  <c r="H74" i="30"/>
  <c r="N566" i="27"/>
  <c r="B581" i="27"/>
  <c r="C581" i="27"/>
  <c r="G55" i="30"/>
  <c r="M581" i="27"/>
  <c r="H55" i="30"/>
  <c r="N581" i="27"/>
  <c r="B518" i="27"/>
  <c r="C518" i="27"/>
  <c r="G56" i="30"/>
  <c r="M518" i="27"/>
  <c r="H56" i="30"/>
  <c r="N518" i="27"/>
  <c r="B528" i="27"/>
  <c r="C528" i="27"/>
  <c r="G57" i="30"/>
  <c r="M528" i="27"/>
  <c r="H57" i="30"/>
  <c r="N528" i="27"/>
  <c r="B545" i="27"/>
  <c r="C545" i="27"/>
  <c r="G58" i="30"/>
  <c r="M545" i="27"/>
  <c r="H58" i="30"/>
  <c r="N545" i="27"/>
  <c r="B557" i="27"/>
  <c r="C557" i="27"/>
  <c r="G59" i="30"/>
  <c r="M557" i="27"/>
  <c r="H59" i="30"/>
  <c r="N557" i="27"/>
  <c r="B586" i="27"/>
  <c r="C586" i="27"/>
  <c r="G60" i="30"/>
  <c r="M586" i="27"/>
  <c r="H60" i="30"/>
  <c r="N586" i="27"/>
  <c r="B504" i="27"/>
  <c r="C504" i="27"/>
  <c r="G61" i="30"/>
  <c r="M504" i="27"/>
  <c r="H61" i="30"/>
  <c r="N504" i="27"/>
  <c r="B526" i="27"/>
  <c r="C526" i="27"/>
  <c r="G62" i="30"/>
  <c r="M526" i="27"/>
  <c r="H62" i="30"/>
  <c r="N526" i="27"/>
  <c r="B544" i="27"/>
  <c r="C544" i="27"/>
  <c r="G63" i="30"/>
  <c r="M544" i="27"/>
  <c r="H63" i="30"/>
  <c r="N544" i="27"/>
  <c r="B554" i="27"/>
  <c r="C554" i="27"/>
  <c r="G64" i="30"/>
  <c r="M554" i="27"/>
  <c r="H64" i="30"/>
  <c r="N554" i="27"/>
  <c r="B576" i="27"/>
  <c r="C576" i="27"/>
  <c r="G65" i="30"/>
  <c r="M576" i="27"/>
  <c r="H65" i="30"/>
  <c r="N576" i="27"/>
  <c r="B507" i="27"/>
  <c r="C507" i="27"/>
  <c r="G41" i="30"/>
  <c r="M507" i="27"/>
  <c r="H41" i="30"/>
  <c r="N507" i="27"/>
  <c r="B520" i="27"/>
  <c r="C520" i="27"/>
  <c r="G42" i="30"/>
  <c r="M520" i="27"/>
  <c r="H42" i="30"/>
  <c r="N520" i="27"/>
  <c r="B540" i="27"/>
  <c r="C540" i="27"/>
  <c r="G43" i="30"/>
  <c r="M540" i="27"/>
  <c r="H43" i="30"/>
  <c r="N540" i="27"/>
  <c r="B569" i="27"/>
  <c r="C569" i="27"/>
  <c r="G44" i="30"/>
  <c r="M569" i="27"/>
  <c r="H44" i="30"/>
  <c r="N569" i="27"/>
  <c r="B583" i="27"/>
  <c r="C583" i="27"/>
  <c r="G45" i="30"/>
  <c r="M583" i="27"/>
  <c r="H45" i="30"/>
  <c r="N583" i="27"/>
  <c r="B513" i="27"/>
  <c r="C513" i="27"/>
  <c r="G46" i="30"/>
  <c r="M513" i="27"/>
  <c r="H46" i="30"/>
  <c r="N513" i="27"/>
  <c r="B522" i="27"/>
  <c r="C522" i="27"/>
  <c r="G47" i="30"/>
  <c r="M522" i="27"/>
  <c r="H47" i="30"/>
  <c r="N522" i="27"/>
  <c r="B546" i="27"/>
  <c r="C546" i="27"/>
  <c r="G48" i="30"/>
  <c r="M546" i="27"/>
  <c r="H48" i="30"/>
  <c r="N546" i="27"/>
  <c r="B567" i="27"/>
  <c r="C567" i="27"/>
  <c r="G49" i="30"/>
  <c r="M567" i="27"/>
  <c r="H49" i="30"/>
  <c r="N567" i="27"/>
  <c r="B580" i="27"/>
  <c r="C580" i="27"/>
  <c r="G50" i="30"/>
  <c r="M580" i="27"/>
  <c r="H50" i="30"/>
  <c r="N580" i="27"/>
  <c r="B511" i="27"/>
  <c r="C511" i="27"/>
  <c r="G51" i="30"/>
  <c r="M511" i="27"/>
  <c r="H51" i="30"/>
  <c r="N511" i="27"/>
  <c r="B530" i="27"/>
  <c r="C530" i="27"/>
  <c r="G52" i="30"/>
  <c r="M530" i="27"/>
  <c r="H52" i="30"/>
  <c r="N530" i="27"/>
  <c r="B543" i="27"/>
  <c r="C543" i="27"/>
  <c r="G53" i="30"/>
  <c r="M543" i="27"/>
  <c r="H53" i="30"/>
  <c r="N543" i="27"/>
  <c r="B559" i="27"/>
  <c r="C559" i="27"/>
  <c r="G54" i="30"/>
  <c r="M559" i="27"/>
  <c r="H54" i="30"/>
  <c r="N559" i="27"/>
  <c r="B523" i="27"/>
  <c r="C523" i="27"/>
  <c r="G32" i="30"/>
  <c r="M523" i="27"/>
  <c r="H32" i="30"/>
  <c r="N523" i="27"/>
  <c r="B551" i="27"/>
  <c r="C551" i="27"/>
  <c r="G33" i="30"/>
  <c r="M551" i="27"/>
  <c r="H33" i="30"/>
  <c r="N551" i="27"/>
  <c r="B570" i="27"/>
  <c r="C570" i="27"/>
  <c r="G34" i="30"/>
  <c r="M570" i="27"/>
  <c r="H34" i="30"/>
  <c r="N570" i="27"/>
  <c r="B585" i="27"/>
  <c r="C585" i="27"/>
  <c r="G35" i="30"/>
  <c r="M585" i="27"/>
  <c r="H35" i="30"/>
  <c r="N585" i="27"/>
  <c r="B510" i="27"/>
  <c r="C510" i="27"/>
  <c r="G36" i="30"/>
  <c r="M510" i="27"/>
  <c r="H36" i="30"/>
  <c r="N510" i="27"/>
  <c r="B521" i="27"/>
  <c r="C521" i="27"/>
  <c r="G37" i="30"/>
  <c r="M521" i="27"/>
  <c r="H37" i="30"/>
  <c r="N521" i="27"/>
  <c r="B533" i="27"/>
  <c r="C533" i="27"/>
  <c r="G38" i="30"/>
  <c r="M533" i="27"/>
  <c r="H38" i="30"/>
  <c r="N533" i="27"/>
  <c r="B565" i="27"/>
  <c r="C565" i="27"/>
  <c r="G39" i="30"/>
  <c r="M565" i="27"/>
  <c r="H39" i="30"/>
  <c r="N565" i="27"/>
  <c r="B582" i="27"/>
  <c r="C582" i="27"/>
  <c r="G40" i="30"/>
  <c r="M582" i="27"/>
  <c r="H40" i="30"/>
  <c r="N582" i="27"/>
  <c r="B524" i="27"/>
  <c r="C524" i="27"/>
  <c r="G19" i="30"/>
  <c r="M524" i="27"/>
  <c r="H19" i="30"/>
  <c r="N524" i="27"/>
  <c r="B564" i="27"/>
  <c r="C564" i="27"/>
  <c r="G20" i="30"/>
  <c r="M564" i="27"/>
  <c r="H20" i="30"/>
  <c r="N564" i="27"/>
  <c r="B579" i="27"/>
  <c r="C579" i="27"/>
  <c r="G21" i="30"/>
  <c r="M579" i="27"/>
  <c r="H21" i="30"/>
  <c r="N579" i="27"/>
  <c r="B509" i="27"/>
  <c r="C509" i="27"/>
  <c r="G22" i="30"/>
  <c r="M509" i="27"/>
  <c r="H22" i="30"/>
  <c r="N509" i="27"/>
  <c r="B527" i="27"/>
  <c r="C527" i="27"/>
  <c r="G23" i="30"/>
  <c r="M527" i="27"/>
  <c r="H23" i="30"/>
  <c r="N527" i="27"/>
  <c r="B542" i="27"/>
  <c r="C542" i="27"/>
  <c r="G24" i="30"/>
  <c r="M542" i="27"/>
  <c r="H24" i="30"/>
  <c r="N542" i="27"/>
  <c r="B573" i="27"/>
  <c r="C573" i="27"/>
  <c r="G25" i="30"/>
  <c r="M573" i="27"/>
  <c r="H25" i="30"/>
  <c r="N573" i="27"/>
  <c r="B584" i="27"/>
  <c r="C584" i="27"/>
  <c r="G26" i="30"/>
  <c r="M584" i="27"/>
  <c r="H26" i="30"/>
  <c r="N584" i="27"/>
  <c r="B519" i="27"/>
  <c r="C519" i="27"/>
  <c r="G27" i="30"/>
  <c r="M519" i="27"/>
  <c r="H27" i="30"/>
  <c r="N519" i="27"/>
  <c r="B541" i="27"/>
  <c r="C541" i="27"/>
  <c r="G28" i="30"/>
  <c r="M541" i="27"/>
  <c r="H28" i="30"/>
  <c r="N541" i="27"/>
  <c r="B568" i="27"/>
  <c r="C568" i="27"/>
  <c r="G29" i="30"/>
  <c r="M568" i="27"/>
  <c r="H29" i="30"/>
  <c r="N568" i="27"/>
  <c r="B578" i="27"/>
  <c r="C578" i="27"/>
  <c r="G30" i="30"/>
  <c r="M578" i="27"/>
  <c r="H30" i="30"/>
  <c r="N578" i="27"/>
  <c r="B515" i="27"/>
  <c r="C515" i="27"/>
  <c r="G31" i="30"/>
  <c r="M515" i="27"/>
  <c r="H31" i="30"/>
  <c r="N515" i="27"/>
  <c r="H18" i="30"/>
  <c r="N539" i="27"/>
  <c r="G18" i="30"/>
  <c r="M539" i="27"/>
  <c r="C539" i="27"/>
  <c r="B539" i="27"/>
  <c r="B514" i="27"/>
  <c r="H17" i="30"/>
  <c r="N514" i="27"/>
  <c r="G17" i="30"/>
  <c r="M514" i="27"/>
  <c r="C514" i="27"/>
  <c r="C501" i="27"/>
  <c r="E9" i="40"/>
  <c r="M501" i="27"/>
  <c r="F9" i="40"/>
  <c r="N501" i="27"/>
  <c r="C502" i="27"/>
  <c r="E10" i="40"/>
  <c r="M502" i="27"/>
  <c r="F10" i="40"/>
  <c r="N502" i="27"/>
  <c r="E8" i="40"/>
  <c r="F8" i="40"/>
  <c r="N500" i="27"/>
  <c r="M500" i="27"/>
  <c r="C500" i="27"/>
  <c r="E7" i="40"/>
  <c r="F7" i="40"/>
  <c r="N499" i="27"/>
  <c r="M499" i="27"/>
  <c r="C499" i="27"/>
  <c r="B420" i="27"/>
  <c r="C420" i="27"/>
  <c r="F21" i="36"/>
  <c r="I420" i="27"/>
  <c r="H21" i="36"/>
  <c r="J420" i="27"/>
  <c r="L420" i="27"/>
  <c r="M420" i="27"/>
  <c r="B426" i="27"/>
  <c r="C426" i="27"/>
  <c r="F22" i="36"/>
  <c r="I426" i="27"/>
  <c r="H22" i="36"/>
  <c r="J426" i="27"/>
  <c r="L426" i="27"/>
  <c r="M426" i="27"/>
  <c r="B432" i="27"/>
  <c r="C432" i="27"/>
  <c r="F23" i="36"/>
  <c r="I432" i="27"/>
  <c r="H23" i="36"/>
  <c r="J432" i="27"/>
  <c r="L432" i="27"/>
  <c r="M432" i="27"/>
  <c r="B438" i="27"/>
  <c r="C438" i="27"/>
  <c r="F24" i="36"/>
  <c r="I438" i="27"/>
  <c r="H24" i="36"/>
  <c r="J438" i="27"/>
  <c r="L438" i="27"/>
  <c r="M438" i="27"/>
  <c r="B444" i="27"/>
  <c r="C444" i="27"/>
  <c r="F25" i="36"/>
  <c r="I444" i="27"/>
  <c r="H25" i="36"/>
  <c r="J444" i="27"/>
  <c r="L444" i="27"/>
  <c r="M444" i="27"/>
  <c r="B450" i="27"/>
  <c r="C450" i="27"/>
  <c r="F26" i="36"/>
  <c r="I450" i="27"/>
  <c r="H26" i="36"/>
  <c r="J450" i="27"/>
  <c r="L450" i="27"/>
  <c r="M450" i="27"/>
  <c r="B422" i="27"/>
  <c r="C422" i="27"/>
  <c r="F8" i="36"/>
  <c r="I422" i="27"/>
  <c r="M422" i="27"/>
  <c r="B428" i="27"/>
  <c r="C428" i="27"/>
  <c r="I428" i="27"/>
  <c r="F10" i="36"/>
  <c r="H9" i="36"/>
  <c r="J428" i="27"/>
  <c r="L428" i="27"/>
  <c r="M428" i="27"/>
  <c r="B434" i="27"/>
  <c r="C434" i="27"/>
  <c r="I434" i="27"/>
  <c r="F11" i="36"/>
  <c r="H10" i="36"/>
  <c r="J434" i="27"/>
  <c r="L434" i="27"/>
  <c r="M434" i="27"/>
  <c r="B440" i="27"/>
  <c r="C440" i="27"/>
  <c r="I440" i="27"/>
  <c r="F12" i="36"/>
  <c r="H11" i="36"/>
  <c r="J440" i="27"/>
  <c r="L440" i="27"/>
  <c r="M440" i="27"/>
  <c r="B446" i="27"/>
  <c r="C446" i="27"/>
  <c r="I446" i="27"/>
  <c r="F13" i="36"/>
  <c r="H12" i="36"/>
  <c r="J446" i="27"/>
  <c r="L446" i="27"/>
  <c r="M446" i="27"/>
  <c r="B452" i="27"/>
  <c r="C452" i="27"/>
  <c r="I452" i="27"/>
  <c r="F14" i="36"/>
  <c r="H13" i="36"/>
  <c r="J452" i="27"/>
  <c r="L452" i="27"/>
  <c r="M452" i="27"/>
  <c r="B454" i="27"/>
  <c r="C454" i="27"/>
  <c r="I454" i="27"/>
  <c r="F15" i="36"/>
  <c r="H14" i="36"/>
  <c r="J454" i="27"/>
  <c r="L454" i="27"/>
  <c r="M454" i="27"/>
  <c r="B418" i="27"/>
  <c r="C418" i="27"/>
  <c r="I418" i="27"/>
  <c r="H15" i="36"/>
  <c r="J418" i="27"/>
  <c r="L418" i="27"/>
  <c r="M418" i="27"/>
  <c r="B424" i="27"/>
  <c r="C424" i="27"/>
  <c r="F16" i="36"/>
  <c r="I424" i="27"/>
  <c r="H16" i="36"/>
  <c r="J424" i="27"/>
  <c r="L424" i="27"/>
  <c r="M424" i="27"/>
  <c r="B430" i="27"/>
  <c r="C430" i="27"/>
  <c r="F17" i="36"/>
  <c r="I430" i="27"/>
  <c r="H17" i="36"/>
  <c r="J430" i="27"/>
  <c r="L430" i="27"/>
  <c r="M430" i="27"/>
  <c r="B436" i="27"/>
  <c r="C436" i="27"/>
  <c r="F18" i="36"/>
  <c r="I436" i="27"/>
  <c r="H18" i="36"/>
  <c r="J436" i="27"/>
  <c r="L436" i="27"/>
  <c r="M436" i="27"/>
  <c r="B442" i="27"/>
  <c r="C442" i="27"/>
  <c r="F19" i="36"/>
  <c r="I442" i="27"/>
  <c r="H19" i="36"/>
  <c r="J442" i="27"/>
  <c r="L442" i="27"/>
  <c r="M442" i="27"/>
  <c r="B448" i="27"/>
  <c r="C448" i="27"/>
  <c r="F20" i="36"/>
  <c r="I448" i="27"/>
  <c r="H20" i="36"/>
  <c r="J448" i="27"/>
  <c r="L448" i="27"/>
  <c r="M448" i="27"/>
  <c r="H7" i="36"/>
  <c r="J416" i="27"/>
  <c r="L416" i="27"/>
  <c r="F7" i="36"/>
  <c r="I416" i="27"/>
  <c r="M416" i="27"/>
  <c r="C416" i="27"/>
  <c r="B416" i="27"/>
  <c r="B421" i="27"/>
  <c r="C421" i="27"/>
  <c r="I421" i="27"/>
  <c r="G8" i="36"/>
  <c r="J421" i="27"/>
  <c r="L421" i="27"/>
  <c r="M421" i="27"/>
  <c r="B427" i="27"/>
  <c r="C427" i="27"/>
  <c r="I427" i="27"/>
  <c r="G9" i="36"/>
  <c r="J427" i="27"/>
  <c r="L427" i="27"/>
  <c r="M427" i="27"/>
  <c r="B433" i="27"/>
  <c r="C433" i="27"/>
  <c r="I433" i="27"/>
  <c r="G10" i="36"/>
  <c r="J433" i="27"/>
  <c r="L433" i="27"/>
  <c r="M433" i="27"/>
  <c r="B439" i="27"/>
  <c r="C439" i="27"/>
  <c r="I439" i="27"/>
  <c r="G11" i="36"/>
  <c r="J439" i="27"/>
  <c r="L439" i="27"/>
  <c r="M439" i="27"/>
  <c r="B445" i="27"/>
  <c r="C445" i="27"/>
  <c r="I445" i="27"/>
  <c r="G12" i="36"/>
  <c r="J445" i="27"/>
  <c r="L445" i="27"/>
  <c r="M445" i="27"/>
  <c r="B451" i="27"/>
  <c r="C451" i="27"/>
  <c r="I451" i="27"/>
  <c r="G13" i="36"/>
  <c r="J451" i="27"/>
  <c r="L451" i="27"/>
  <c r="M451" i="27"/>
  <c r="B453" i="27"/>
  <c r="C453" i="27"/>
  <c r="I453" i="27"/>
  <c r="G14" i="36"/>
  <c r="J453" i="27"/>
  <c r="L453" i="27"/>
  <c r="M453" i="27"/>
  <c r="B417" i="27"/>
  <c r="C417" i="27"/>
  <c r="I417" i="27"/>
  <c r="G15" i="36"/>
  <c r="J417" i="27"/>
  <c r="L417" i="27"/>
  <c r="M417" i="27"/>
  <c r="B423" i="27"/>
  <c r="C423" i="27"/>
  <c r="I423" i="27"/>
  <c r="G16" i="36"/>
  <c r="J423" i="27"/>
  <c r="L423" i="27"/>
  <c r="M423" i="27"/>
  <c r="B429" i="27"/>
  <c r="C429" i="27"/>
  <c r="I429" i="27"/>
  <c r="G17" i="36"/>
  <c r="J429" i="27"/>
  <c r="L429" i="27"/>
  <c r="M429" i="27"/>
  <c r="B435" i="27"/>
  <c r="C435" i="27"/>
  <c r="I435" i="27"/>
  <c r="G18" i="36"/>
  <c r="J435" i="27"/>
  <c r="L435" i="27"/>
  <c r="M435" i="27"/>
  <c r="B441" i="27"/>
  <c r="C441" i="27"/>
  <c r="I441" i="27"/>
  <c r="G19" i="36"/>
  <c r="J441" i="27"/>
  <c r="L441" i="27"/>
  <c r="M441" i="27"/>
  <c r="B447" i="27"/>
  <c r="C447" i="27"/>
  <c r="I447" i="27"/>
  <c r="G20" i="36"/>
  <c r="J447" i="27"/>
  <c r="L447" i="27"/>
  <c r="M447" i="27"/>
  <c r="B419" i="27"/>
  <c r="C419" i="27"/>
  <c r="I419" i="27"/>
  <c r="G21" i="36"/>
  <c r="J419" i="27"/>
  <c r="L419" i="27"/>
  <c r="M419" i="27"/>
  <c r="B425" i="27"/>
  <c r="C425" i="27"/>
  <c r="I425" i="27"/>
  <c r="G22" i="36"/>
  <c r="J425" i="27"/>
  <c r="L425" i="27"/>
  <c r="M425" i="27"/>
  <c r="B431" i="27"/>
  <c r="C431" i="27"/>
  <c r="I431" i="27"/>
  <c r="G23" i="36"/>
  <c r="J431" i="27"/>
  <c r="L431" i="27"/>
  <c r="M431" i="27"/>
  <c r="B437" i="27"/>
  <c r="C437" i="27"/>
  <c r="I437" i="27"/>
  <c r="G24" i="36"/>
  <c r="J437" i="27"/>
  <c r="L437" i="27"/>
  <c r="M437" i="27"/>
  <c r="B443" i="27"/>
  <c r="C443" i="27"/>
  <c r="I443" i="27"/>
  <c r="G25" i="36"/>
  <c r="J443" i="27"/>
  <c r="L443" i="27"/>
  <c r="M443" i="27"/>
  <c r="B449" i="27"/>
  <c r="C449" i="27"/>
  <c r="I449" i="27"/>
  <c r="G26" i="36"/>
  <c r="J449" i="27"/>
  <c r="L449" i="27"/>
  <c r="M449" i="27"/>
  <c r="G7" i="36"/>
  <c r="J415" i="27"/>
  <c r="L415" i="27"/>
  <c r="I415" i="27"/>
  <c r="M415" i="27"/>
  <c r="C415" i="27"/>
  <c r="B415" i="27"/>
  <c r="F6" i="36"/>
  <c r="G6" i="36"/>
  <c r="J414" i="27"/>
  <c r="L414" i="27"/>
  <c r="I414" i="27"/>
  <c r="M414" i="27"/>
  <c r="E10" i="39"/>
  <c r="M459" i="27"/>
  <c r="C414" i="27"/>
  <c r="B414" i="27"/>
  <c r="B457" i="27"/>
  <c r="C457" i="27"/>
  <c r="E8" i="39"/>
  <c r="M457" i="27"/>
  <c r="B458" i="27"/>
  <c r="C458" i="27"/>
  <c r="E9" i="39"/>
  <c r="M458" i="27"/>
  <c r="B459" i="27"/>
  <c r="C459" i="27"/>
  <c r="E7" i="39"/>
  <c r="M456" i="27"/>
  <c r="C456" i="27"/>
  <c r="B456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D6" i="11"/>
  <c r="E6" i="11"/>
  <c r="F6" i="11"/>
  <c r="K587" i="27"/>
  <c r="H6" i="11"/>
  <c r="I6" i="11"/>
  <c r="J587" i="27"/>
  <c r="L587" i="27"/>
  <c r="N587" i="27"/>
  <c r="D7" i="11"/>
  <c r="E7" i="11"/>
  <c r="F7" i="11"/>
  <c r="K588" i="27"/>
  <c r="H7" i="11"/>
  <c r="I7" i="11"/>
  <c r="J588" i="27"/>
  <c r="L588" i="27"/>
  <c r="N588" i="27"/>
  <c r="N589" i="27"/>
  <c r="D9" i="11"/>
  <c r="E9" i="11"/>
  <c r="F9" i="11"/>
  <c r="K590" i="27"/>
  <c r="H9" i="11"/>
  <c r="I9" i="11"/>
  <c r="J590" i="27"/>
  <c r="L590" i="27"/>
  <c r="N590" i="27"/>
  <c r="D10" i="11"/>
  <c r="E10" i="11"/>
  <c r="F10" i="11"/>
  <c r="K591" i="27"/>
  <c r="H10" i="11"/>
  <c r="I10" i="11"/>
  <c r="J591" i="27"/>
  <c r="L591" i="27"/>
  <c r="N591" i="27"/>
  <c r="D11" i="11"/>
  <c r="E11" i="11"/>
  <c r="F11" i="11"/>
  <c r="K592" i="27"/>
  <c r="H11" i="11"/>
  <c r="I11" i="11"/>
  <c r="J592" i="27"/>
  <c r="L592" i="27"/>
  <c r="N592" i="27"/>
  <c r="D12" i="11"/>
  <c r="E12" i="11"/>
  <c r="F12" i="11"/>
  <c r="K593" i="27"/>
  <c r="H12" i="11"/>
  <c r="I12" i="11"/>
  <c r="J593" i="27"/>
  <c r="L593" i="27"/>
  <c r="N593" i="27"/>
  <c r="D13" i="11"/>
  <c r="E13" i="11"/>
  <c r="F13" i="11"/>
  <c r="K594" i="27"/>
  <c r="H13" i="11"/>
  <c r="I13" i="11"/>
  <c r="J594" i="27"/>
  <c r="L594" i="27"/>
  <c r="N594" i="27"/>
  <c r="D14" i="11"/>
  <c r="E14" i="11"/>
  <c r="F14" i="11"/>
  <c r="K595" i="27"/>
  <c r="H14" i="11"/>
  <c r="I14" i="11"/>
  <c r="J595" i="27"/>
  <c r="L595" i="27"/>
  <c r="N595" i="27"/>
  <c r="D15" i="11"/>
  <c r="E15" i="11"/>
  <c r="F15" i="11"/>
  <c r="K596" i="27"/>
  <c r="H15" i="11"/>
  <c r="I15" i="11"/>
  <c r="J596" i="27"/>
  <c r="L596" i="27"/>
  <c r="N596" i="27"/>
  <c r="D16" i="11"/>
  <c r="E16" i="11"/>
  <c r="F16" i="11"/>
  <c r="K597" i="27"/>
  <c r="H16" i="11"/>
  <c r="I16" i="11"/>
  <c r="J597" i="27"/>
  <c r="L597" i="27"/>
  <c r="N597" i="27"/>
  <c r="D17" i="11"/>
  <c r="E17" i="11"/>
  <c r="F17" i="11"/>
  <c r="K598" i="27"/>
  <c r="H17" i="11"/>
  <c r="I17" i="11"/>
  <c r="J598" i="27"/>
  <c r="L598" i="27"/>
  <c r="N598" i="27"/>
  <c r="D18" i="11"/>
  <c r="E18" i="11"/>
  <c r="F18" i="11"/>
  <c r="K599" i="27"/>
  <c r="H18" i="11"/>
  <c r="I18" i="11"/>
  <c r="J599" i="27"/>
  <c r="L599" i="27"/>
  <c r="N599" i="27"/>
  <c r="D19" i="11"/>
  <c r="E19" i="11"/>
  <c r="F19" i="11"/>
  <c r="K600" i="27"/>
  <c r="H19" i="11"/>
  <c r="I19" i="11"/>
  <c r="J600" i="27"/>
  <c r="L600" i="27"/>
  <c r="N600" i="27"/>
  <c r="D20" i="11"/>
  <c r="E20" i="11"/>
  <c r="F20" i="11"/>
  <c r="K601" i="27"/>
  <c r="H20" i="11"/>
  <c r="I20" i="11"/>
  <c r="J601" i="27"/>
  <c r="L601" i="27"/>
  <c r="N601" i="27"/>
  <c r="L615" i="27"/>
  <c r="N615" i="27"/>
  <c r="L626" i="27"/>
  <c r="N626" i="27"/>
  <c r="L608" i="27"/>
  <c r="N608" i="27"/>
  <c r="L611" i="27"/>
  <c r="N611" i="27"/>
  <c r="L629" i="27"/>
  <c r="N629" i="27"/>
  <c r="L616" i="27"/>
  <c r="N616" i="27"/>
  <c r="L623" i="27"/>
  <c r="N623" i="27"/>
  <c r="L628" i="27"/>
  <c r="N628" i="27"/>
  <c r="L607" i="27"/>
  <c r="N607" i="27"/>
  <c r="L612" i="27"/>
  <c r="N612" i="27"/>
  <c r="L619" i="27"/>
  <c r="N619" i="27"/>
  <c r="L621" i="27"/>
  <c r="N621" i="27"/>
  <c r="L603" i="27"/>
  <c r="N603" i="27"/>
  <c r="L620" i="27"/>
  <c r="N620" i="27"/>
  <c r="L605" i="27"/>
  <c r="N605" i="27"/>
  <c r="L622" i="27"/>
  <c r="N622" i="27"/>
  <c r="L617" i="27"/>
  <c r="N617" i="27"/>
  <c r="L606" i="27"/>
  <c r="N606" i="27"/>
  <c r="L604" i="27"/>
  <c r="N604" i="27"/>
  <c r="L614" i="27"/>
  <c r="N614" i="27"/>
  <c r="L627" i="27"/>
  <c r="N627" i="27"/>
  <c r="L630" i="27"/>
  <c r="N630" i="27"/>
  <c r="L613" i="27"/>
  <c r="N613" i="27"/>
  <c r="L624" i="27"/>
  <c r="N624" i="27"/>
  <c r="L625" i="27"/>
  <c r="N625" i="27"/>
  <c r="L610" i="27"/>
  <c r="N610" i="27"/>
  <c r="L602" i="27"/>
  <c r="N602" i="27"/>
  <c r="L618" i="27"/>
  <c r="N618" i="27"/>
  <c r="L609" i="27"/>
  <c r="N609" i="27"/>
  <c r="L1028" i="27"/>
  <c r="N1028" i="27"/>
  <c r="N1029" i="27"/>
  <c r="N1030" i="27"/>
  <c r="N1031" i="27"/>
  <c r="N1032" i="27"/>
  <c r="N1033" i="27"/>
  <c r="K148" i="27"/>
  <c r="J148" i="27"/>
  <c r="L148" i="27"/>
  <c r="N148" i="27"/>
  <c r="K149" i="27"/>
  <c r="J149" i="27"/>
  <c r="L149" i="27"/>
  <c r="N149" i="27"/>
  <c r="K150" i="27"/>
  <c r="J150" i="27"/>
  <c r="L150" i="27"/>
  <c r="N150" i="27"/>
  <c r="K151" i="27"/>
  <c r="J151" i="27"/>
  <c r="L151" i="27"/>
  <c r="N151" i="27"/>
  <c r="D6" i="31"/>
  <c r="H6" i="31"/>
  <c r="K203" i="27"/>
  <c r="F6" i="31"/>
  <c r="J203" i="27"/>
  <c r="L203" i="27"/>
  <c r="N203" i="27"/>
  <c r="D7" i="31"/>
  <c r="H7" i="31"/>
  <c r="K204" i="27"/>
  <c r="F7" i="31"/>
  <c r="J204" i="27"/>
  <c r="L204" i="27"/>
  <c r="N204" i="27"/>
  <c r="D8" i="31"/>
  <c r="H8" i="31"/>
  <c r="K205" i="27"/>
  <c r="F8" i="31"/>
  <c r="J205" i="27"/>
  <c r="L205" i="27"/>
  <c r="N205" i="27"/>
  <c r="D9" i="31"/>
  <c r="H9" i="31"/>
  <c r="K206" i="27"/>
  <c r="F9" i="31"/>
  <c r="J206" i="27"/>
  <c r="L206" i="27"/>
  <c r="N206" i="27"/>
  <c r="D10" i="31"/>
  <c r="H10" i="31"/>
  <c r="K207" i="27"/>
  <c r="F10" i="31"/>
  <c r="J207" i="27"/>
  <c r="L207" i="27"/>
  <c r="N207" i="27"/>
  <c r="D11" i="31"/>
  <c r="H11" i="31"/>
  <c r="K208" i="27"/>
  <c r="F11" i="31"/>
  <c r="J208" i="27"/>
  <c r="L208" i="27"/>
  <c r="N208" i="27"/>
  <c r="D12" i="31"/>
  <c r="H12" i="31"/>
  <c r="K209" i="27"/>
  <c r="F12" i="31"/>
  <c r="J209" i="27"/>
  <c r="L209" i="27"/>
  <c r="N209" i="27"/>
  <c r="L6" i="4"/>
  <c r="I6" i="4"/>
  <c r="M6" i="4"/>
  <c r="C6" i="4"/>
  <c r="D6" i="4"/>
  <c r="N6" i="4"/>
  <c r="K411" i="27"/>
  <c r="J6" i="4"/>
  <c r="J411" i="27"/>
  <c r="L411" i="27"/>
  <c r="N411" i="27"/>
  <c r="L7" i="4"/>
  <c r="I7" i="4"/>
  <c r="M7" i="4"/>
  <c r="C7" i="4"/>
  <c r="D7" i="4"/>
  <c r="N7" i="4"/>
  <c r="K412" i="27"/>
  <c r="J7" i="4"/>
  <c r="J412" i="27"/>
  <c r="L412" i="27"/>
  <c r="N412" i="27"/>
  <c r="L8" i="4"/>
  <c r="I8" i="4"/>
  <c r="M8" i="4"/>
  <c r="C8" i="4"/>
  <c r="D8" i="4"/>
  <c r="N8" i="4"/>
  <c r="K413" i="27"/>
  <c r="J8" i="4"/>
  <c r="J413" i="27"/>
  <c r="L413" i="27"/>
  <c r="N413" i="27"/>
  <c r="L9" i="4"/>
  <c r="I9" i="4"/>
  <c r="M9" i="4"/>
  <c r="C9" i="4"/>
  <c r="D9" i="4"/>
  <c r="N9" i="4"/>
  <c r="K410" i="27"/>
  <c r="J9" i="4"/>
  <c r="J410" i="27"/>
  <c r="L410" i="27"/>
  <c r="N410" i="27"/>
  <c r="J6" i="35"/>
  <c r="L6" i="35"/>
  <c r="M6" i="35"/>
  <c r="K631" i="27"/>
  <c r="H6" i="35"/>
  <c r="J631" i="27"/>
  <c r="L631" i="27"/>
  <c r="N631" i="27"/>
  <c r="J7" i="35"/>
  <c r="L7" i="35"/>
  <c r="M7" i="35"/>
  <c r="K693" i="27"/>
  <c r="H7" i="35"/>
  <c r="J693" i="27"/>
  <c r="L693" i="27"/>
  <c r="N693" i="27"/>
  <c r="J8" i="35"/>
  <c r="L8" i="35"/>
  <c r="M8" i="35"/>
  <c r="K711" i="27"/>
  <c r="H8" i="35"/>
  <c r="J711" i="27"/>
  <c r="L711" i="27"/>
  <c r="N711" i="27"/>
  <c r="J9" i="35"/>
  <c r="L9" i="35"/>
  <c r="M9" i="35"/>
  <c r="K769" i="27"/>
  <c r="H9" i="35"/>
  <c r="J769" i="27"/>
  <c r="L769" i="27"/>
  <c r="N769" i="27"/>
  <c r="J10" i="35"/>
  <c r="L10" i="35"/>
  <c r="M10" i="35"/>
  <c r="K879" i="27"/>
  <c r="H10" i="35"/>
  <c r="J879" i="27"/>
  <c r="L879" i="27"/>
  <c r="N879" i="27"/>
  <c r="J11" i="35"/>
  <c r="L11" i="35"/>
  <c r="M11" i="35"/>
  <c r="K935" i="27"/>
  <c r="H11" i="35"/>
  <c r="J935" i="27"/>
  <c r="L935" i="27"/>
  <c r="N935" i="27"/>
  <c r="J12" i="35"/>
  <c r="L12" i="35"/>
  <c r="M12" i="35"/>
  <c r="K632" i="27"/>
  <c r="H12" i="35"/>
  <c r="J632" i="27"/>
  <c r="L632" i="27"/>
  <c r="N632" i="27"/>
  <c r="J13" i="35"/>
  <c r="L13" i="35"/>
  <c r="M13" i="35"/>
  <c r="K694" i="27"/>
  <c r="H13" i="35"/>
  <c r="J694" i="27"/>
  <c r="L694" i="27"/>
  <c r="N694" i="27"/>
  <c r="J14" i="35"/>
  <c r="L14" i="35"/>
  <c r="M14" i="35"/>
  <c r="K712" i="27"/>
  <c r="H14" i="35"/>
  <c r="J712" i="27"/>
  <c r="L712" i="27"/>
  <c r="N712" i="27"/>
  <c r="J15" i="35"/>
  <c r="L15" i="35"/>
  <c r="M15" i="35"/>
  <c r="K789" i="27"/>
  <c r="H15" i="35"/>
  <c r="J789" i="27"/>
  <c r="L789" i="27"/>
  <c r="N789" i="27"/>
  <c r="J16" i="35"/>
  <c r="L16" i="35"/>
  <c r="M16" i="35"/>
  <c r="K861" i="27"/>
  <c r="H16" i="35"/>
  <c r="J861" i="27"/>
  <c r="L861" i="27"/>
  <c r="N861" i="27"/>
  <c r="J17" i="35"/>
  <c r="L17" i="35"/>
  <c r="M17" i="35"/>
  <c r="K936" i="27"/>
  <c r="H17" i="35"/>
  <c r="J936" i="27"/>
  <c r="L936" i="27"/>
  <c r="N936" i="27"/>
  <c r="J18" i="35"/>
  <c r="L18" i="35"/>
  <c r="M18" i="35"/>
  <c r="K633" i="27"/>
  <c r="H18" i="35"/>
  <c r="J633" i="27"/>
  <c r="L633" i="27"/>
  <c r="N633" i="27"/>
  <c r="J19" i="35"/>
  <c r="L19" i="35"/>
  <c r="M19" i="35"/>
  <c r="K732" i="27"/>
  <c r="H19" i="35"/>
  <c r="J732" i="27"/>
  <c r="L732" i="27"/>
  <c r="N732" i="27"/>
  <c r="J20" i="35"/>
  <c r="L20" i="35"/>
  <c r="M20" i="35"/>
  <c r="K788" i="27"/>
  <c r="H20" i="35"/>
  <c r="J788" i="27"/>
  <c r="L788" i="27"/>
  <c r="N788" i="27"/>
  <c r="J21" i="35"/>
  <c r="L21" i="35"/>
  <c r="M21" i="35"/>
  <c r="K857" i="27"/>
  <c r="H21" i="35"/>
  <c r="J857" i="27"/>
  <c r="L857" i="27"/>
  <c r="N857" i="27"/>
  <c r="J22" i="35"/>
  <c r="L22" i="35"/>
  <c r="M22" i="35"/>
  <c r="K883" i="27"/>
  <c r="H22" i="35"/>
  <c r="J883" i="27"/>
  <c r="L883" i="27"/>
  <c r="N883" i="27"/>
  <c r="J23" i="35"/>
  <c r="L23" i="35"/>
  <c r="M23" i="35"/>
  <c r="K939" i="27"/>
  <c r="H23" i="35"/>
  <c r="J939" i="27"/>
  <c r="L939" i="27"/>
  <c r="N939" i="27"/>
  <c r="J24" i="35"/>
  <c r="L24" i="35"/>
  <c r="M24" i="35"/>
  <c r="K634" i="27"/>
  <c r="H24" i="35"/>
  <c r="J634" i="27"/>
  <c r="L634" i="27"/>
  <c r="N634" i="27"/>
  <c r="J25" i="35"/>
  <c r="L25" i="35"/>
  <c r="M25" i="35"/>
  <c r="K702" i="27"/>
  <c r="H25" i="35"/>
  <c r="J702" i="27"/>
  <c r="L702" i="27"/>
  <c r="N702" i="27"/>
  <c r="J26" i="35"/>
  <c r="L26" i="35"/>
  <c r="M26" i="35"/>
  <c r="K790" i="27"/>
  <c r="H26" i="35"/>
  <c r="J790" i="27"/>
  <c r="L790" i="27"/>
  <c r="N790" i="27"/>
  <c r="J27" i="35"/>
  <c r="L27" i="35"/>
  <c r="M27" i="35"/>
  <c r="K862" i="27"/>
  <c r="H27" i="35"/>
  <c r="J862" i="27"/>
  <c r="L862" i="27"/>
  <c r="N862" i="27"/>
  <c r="J28" i="35"/>
  <c r="L28" i="35"/>
  <c r="M28" i="35"/>
  <c r="K901" i="27"/>
  <c r="H28" i="35"/>
  <c r="J901" i="27"/>
  <c r="L901" i="27"/>
  <c r="N901" i="27"/>
  <c r="J29" i="35"/>
  <c r="L29" i="35"/>
  <c r="M29" i="35"/>
  <c r="K940" i="27"/>
  <c r="H29" i="35"/>
  <c r="J940" i="27"/>
  <c r="L940" i="27"/>
  <c r="N940" i="27"/>
  <c r="J30" i="35"/>
  <c r="L30" i="35"/>
  <c r="M30" i="35"/>
  <c r="K635" i="27"/>
  <c r="H30" i="35"/>
  <c r="J635" i="27"/>
  <c r="L635" i="27"/>
  <c r="N635" i="27"/>
  <c r="J31" i="35"/>
  <c r="L31" i="35"/>
  <c r="M31" i="35"/>
  <c r="K713" i="27"/>
  <c r="H31" i="35"/>
  <c r="J713" i="27"/>
  <c r="L713" i="27"/>
  <c r="N713" i="27"/>
  <c r="J32" i="35"/>
  <c r="L32" i="35"/>
  <c r="M32" i="35"/>
  <c r="K757" i="27"/>
  <c r="H32" i="35"/>
  <c r="J757" i="27"/>
  <c r="L757" i="27"/>
  <c r="N757" i="27"/>
  <c r="J33" i="35"/>
  <c r="L33" i="35"/>
  <c r="M33" i="35"/>
  <c r="K827" i="27"/>
  <c r="H33" i="35"/>
  <c r="J827" i="27"/>
  <c r="L827" i="27"/>
  <c r="N827" i="27"/>
  <c r="J34" i="35"/>
  <c r="L34" i="35"/>
  <c r="M34" i="35"/>
  <c r="K902" i="27"/>
  <c r="H34" i="35"/>
  <c r="J902" i="27"/>
  <c r="L902" i="27"/>
  <c r="N902" i="27"/>
  <c r="J35" i="35"/>
  <c r="L35" i="35"/>
  <c r="M35" i="35"/>
  <c r="K941" i="27"/>
  <c r="H35" i="35"/>
  <c r="J941" i="27"/>
  <c r="L941" i="27"/>
  <c r="N941" i="27"/>
  <c r="J36" i="35"/>
  <c r="L36" i="35"/>
  <c r="M36" i="35"/>
  <c r="K636" i="27"/>
  <c r="H36" i="35"/>
  <c r="J636" i="27"/>
  <c r="L636" i="27"/>
  <c r="N636" i="27"/>
  <c r="J37" i="35"/>
  <c r="L37" i="35"/>
  <c r="M37" i="35"/>
  <c r="K746" i="27"/>
  <c r="H37" i="35"/>
  <c r="J746" i="27"/>
  <c r="L746" i="27"/>
  <c r="N746" i="27"/>
  <c r="J38" i="35"/>
  <c r="L38" i="35"/>
  <c r="M38" i="35"/>
  <c r="K779" i="27"/>
  <c r="H38" i="35"/>
  <c r="J779" i="27"/>
  <c r="L779" i="27"/>
  <c r="N779" i="27"/>
  <c r="J39" i="35"/>
  <c r="L39" i="35"/>
  <c r="M39" i="35"/>
  <c r="K804" i="27"/>
  <c r="H39" i="35"/>
  <c r="J804" i="27"/>
  <c r="L804" i="27"/>
  <c r="N804" i="27"/>
  <c r="J40" i="35"/>
  <c r="L40" i="35"/>
  <c r="M40" i="35"/>
  <c r="K933" i="27"/>
  <c r="H40" i="35"/>
  <c r="J933" i="27"/>
  <c r="L933" i="27"/>
  <c r="N933" i="27"/>
  <c r="J41" i="35"/>
  <c r="L41" i="35"/>
  <c r="M41" i="35"/>
  <c r="K942" i="27"/>
  <c r="H41" i="35"/>
  <c r="J942" i="27"/>
  <c r="L942" i="27"/>
  <c r="N942" i="27"/>
  <c r="J42" i="35"/>
  <c r="L42" i="35"/>
  <c r="M42" i="35"/>
  <c r="K637" i="27"/>
  <c r="H42" i="35"/>
  <c r="J637" i="27"/>
  <c r="L637" i="27"/>
  <c r="N637" i="27"/>
  <c r="J43" i="35"/>
  <c r="L43" i="35"/>
  <c r="M43" i="35"/>
  <c r="K758" i="27"/>
  <c r="H43" i="35"/>
  <c r="J758" i="27"/>
  <c r="L758" i="27"/>
  <c r="N758" i="27"/>
  <c r="J44" i="35"/>
  <c r="L44" i="35"/>
  <c r="M44" i="35"/>
  <c r="K791" i="27"/>
  <c r="H44" i="35"/>
  <c r="J791" i="27"/>
  <c r="L791" i="27"/>
  <c r="N791" i="27"/>
  <c r="J45" i="35"/>
  <c r="L45" i="35"/>
  <c r="M45" i="35"/>
  <c r="K828" i="27"/>
  <c r="H45" i="35"/>
  <c r="J828" i="27"/>
  <c r="L828" i="27"/>
  <c r="N828" i="27"/>
  <c r="J46" i="35"/>
  <c r="L46" i="35"/>
  <c r="M46" i="35"/>
  <c r="K903" i="27"/>
  <c r="H46" i="35"/>
  <c r="J903" i="27"/>
  <c r="L903" i="27"/>
  <c r="N903" i="27"/>
  <c r="J47" i="35"/>
  <c r="L47" i="35"/>
  <c r="M47" i="35"/>
  <c r="K943" i="27"/>
  <c r="H47" i="35"/>
  <c r="J943" i="27"/>
  <c r="L943" i="27"/>
  <c r="N943" i="27"/>
  <c r="J49" i="35"/>
  <c r="L49" i="35"/>
  <c r="M49" i="35"/>
  <c r="K801" i="27"/>
  <c r="H49" i="35"/>
  <c r="J801" i="27"/>
  <c r="L801" i="27"/>
  <c r="N801" i="27"/>
  <c r="J50" i="35"/>
  <c r="L50" i="35"/>
  <c r="M50" i="35"/>
  <c r="K811" i="27"/>
  <c r="H50" i="35"/>
  <c r="J811" i="27"/>
  <c r="L811" i="27"/>
  <c r="N811" i="27"/>
  <c r="J51" i="35"/>
  <c r="L51" i="35"/>
  <c r="M51" i="35"/>
  <c r="K835" i="27"/>
  <c r="H51" i="35"/>
  <c r="J835" i="27"/>
  <c r="L835" i="27"/>
  <c r="N835" i="27"/>
  <c r="J52" i="35"/>
  <c r="L52" i="35"/>
  <c r="M52" i="35"/>
  <c r="K884" i="27"/>
  <c r="H52" i="35"/>
  <c r="J884" i="27"/>
  <c r="L884" i="27"/>
  <c r="N884" i="27"/>
  <c r="J53" i="35"/>
  <c r="L53" i="35"/>
  <c r="M53" i="35"/>
  <c r="K944" i="27"/>
  <c r="H53" i="35"/>
  <c r="J944" i="27"/>
  <c r="L944" i="27"/>
  <c r="N944" i="27"/>
  <c r="J54" i="35"/>
  <c r="L54" i="35"/>
  <c r="M54" i="35"/>
  <c r="K639" i="27"/>
  <c r="H54" i="35"/>
  <c r="J639" i="27"/>
  <c r="L639" i="27"/>
  <c r="N639" i="27"/>
  <c r="J55" i="35"/>
  <c r="L55" i="35"/>
  <c r="M55" i="35"/>
  <c r="K780" i="27"/>
  <c r="H55" i="35"/>
  <c r="J780" i="27"/>
  <c r="L780" i="27"/>
  <c r="N780" i="27"/>
  <c r="J56" i="35"/>
  <c r="L56" i="35"/>
  <c r="M56" i="35"/>
  <c r="K829" i="27"/>
  <c r="H56" i="35"/>
  <c r="J829" i="27"/>
  <c r="L829" i="27"/>
  <c r="N829" i="27"/>
  <c r="J57" i="35"/>
  <c r="L57" i="35"/>
  <c r="M57" i="35"/>
  <c r="K863" i="27"/>
  <c r="H57" i="35"/>
  <c r="J863" i="27"/>
  <c r="L863" i="27"/>
  <c r="N863" i="27"/>
  <c r="J58" i="35"/>
  <c r="L58" i="35"/>
  <c r="M58" i="35"/>
  <c r="K904" i="27"/>
  <c r="H58" i="35"/>
  <c r="J904" i="27"/>
  <c r="L904" i="27"/>
  <c r="N904" i="27"/>
  <c r="J59" i="35"/>
  <c r="L59" i="35"/>
  <c r="M59" i="35"/>
  <c r="K945" i="27"/>
  <c r="H59" i="35"/>
  <c r="J945" i="27"/>
  <c r="L945" i="27"/>
  <c r="N945" i="27"/>
  <c r="J60" i="35"/>
  <c r="L60" i="35"/>
  <c r="M60" i="35"/>
  <c r="K640" i="27"/>
  <c r="H60" i="35"/>
  <c r="J640" i="27"/>
  <c r="L640" i="27"/>
  <c r="N640" i="27"/>
  <c r="J61" i="35"/>
  <c r="L61" i="35"/>
  <c r="M61" i="35"/>
  <c r="K816" i="27"/>
  <c r="H61" i="35"/>
  <c r="J816" i="27"/>
  <c r="L816" i="27"/>
  <c r="N816" i="27"/>
  <c r="J62" i="35"/>
  <c r="L62" i="35"/>
  <c r="M62" i="35"/>
  <c r="K836" i="27"/>
  <c r="H62" i="35"/>
  <c r="J836" i="27"/>
  <c r="L836" i="27"/>
  <c r="N836" i="27"/>
  <c r="J63" i="35"/>
  <c r="L63" i="35"/>
  <c r="M63" i="35"/>
  <c r="K850" i="27"/>
  <c r="H63" i="35"/>
  <c r="J850" i="27"/>
  <c r="L850" i="27"/>
  <c r="N850" i="27"/>
  <c r="J64" i="35"/>
  <c r="L64" i="35"/>
  <c r="M64" i="35"/>
  <c r="K899" i="27"/>
  <c r="H64" i="35"/>
  <c r="J899" i="27"/>
  <c r="L899" i="27"/>
  <c r="N899" i="27"/>
  <c r="J65" i="35"/>
  <c r="L65" i="35"/>
  <c r="M65" i="35"/>
  <c r="K641" i="27"/>
  <c r="H65" i="35"/>
  <c r="J641" i="27"/>
  <c r="L641" i="27"/>
  <c r="N641" i="27"/>
  <c r="J66" i="35"/>
  <c r="L66" i="35"/>
  <c r="M66" i="35"/>
  <c r="K805" i="27"/>
  <c r="H66" i="35"/>
  <c r="J805" i="27"/>
  <c r="L805" i="27"/>
  <c r="N805" i="27"/>
  <c r="J67" i="35"/>
  <c r="L67" i="35"/>
  <c r="M67" i="35"/>
  <c r="K830" i="27"/>
  <c r="H67" i="35"/>
  <c r="J830" i="27"/>
  <c r="L830" i="27"/>
  <c r="N830" i="27"/>
  <c r="J68" i="35"/>
  <c r="L68" i="35"/>
  <c r="M68" i="35"/>
  <c r="K864" i="27"/>
  <c r="H68" i="35"/>
  <c r="J864" i="27"/>
  <c r="L864" i="27"/>
  <c r="N864" i="27"/>
  <c r="J69" i="35"/>
  <c r="L69" i="35"/>
  <c r="M69" i="35"/>
  <c r="K905" i="27"/>
  <c r="H69" i="35"/>
  <c r="J905" i="27"/>
  <c r="L905" i="27"/>
  <c r="N905" i="27"/>
  <c r="J70" i="35"/>
  <c r="L70" i="35"/>
  <c r="M70" i="35"/>
  <c r="K946" i="27"/>
  <c r="H70" i="35"/>
  <c r="J946" i="27"/>
  <c r="L946" i="27"/>
  <c r="N946" i="27"/>
  <c r="J71" i="35"/>
  <c r="L71" i="35"/>
  <c r="M71" i="35"/>
  <c r="K674" i="27"/>
  <c r="H71" i="35"/>
  <c r="J674" i="27"/>
  <c r="L674" i="27"/>
  <c r="N674" i="27"/>
  <c r="J72" i="35"/>
  <c r="L72" i="35"/>
  <c r="M72" i="35"/>
  <c r="K781" i="27"/>
  <c r="H72" i="35"/>
  <c r="J781" i="27"/>
  <c r="L781" i="27"/>
  <c r="N781" i="27"/>
  <c r="J73" i="35"/>
  <c r="L73" i="35"/>
  <c r="M73" i="35"/>
  <c r="K812" i="27"/>
  <c r="H73" i="35"/>
  <c r="J812" i="27"/>
  <c r="L812" i="27"/>
  <c r="N812" i="27"/>
  <c r="J74" i="35"/>
  <c r="L74" i="35"/>
  <c r="M74" i="35"/>
  <c r="K846" i="27"/>
  <c r="H74" i="35"/>
  <c r="J846" i="27"/>
  <c r="L846" i="27"/>
  <c r="N846" i="27"/>
  <c r="J75" i="35"/>
  <c r="L75" i="35"/>
  <c r="M75" i="35"/>
  <c r="K885" i="27"/>
  <c r="H75" i="35"/>
  <c r="J885" i="27"/>
  <c r="L885" i="27"/>
  <c r="N885" i="27"/>
  <c r="J76" i="35"/>
  <c r="L76" i="35"/>
  <c r="M76" i="35"/>
  <c r="K947" i="27"/>
  <c r="H76" i="35"/>
  <c r="J947" i="27"/>
  <c r="L947" i="27"/>
  <c r="N947" i="27"/>
  <c r="J77" i="35"/>
  <c r="L77" i="35"/>
  <c r="M77" i="35"/>
  <c r="K1001" i="27"/>
  <c r="H77" i="35"/>
  <c r="J1001" i="27"/>
  <c r="L1001" i="27"/>
  <c r="N1001" i="27"/>
  <c r="J78" i="35"/>
  <c r="L78" i="35"/>
  <c r="M78" i="35"/>
  <c r="K1007" i="27"/>
  <c r="H78" i="35"/>
  <c r="J1007" i="27"/>
  <c r="L1007" i="27"/>
  <c r="N1007" i="27"/>
  <c r="J79" i="35"/>
  <c r="L79" i="35"/>
  <c r="M79" i="35"/>
  <c r="K679" i="27"/>
  <c r="H79" i="35"/>
  <c r="J679" i="27"/>
  <c r="L679" i="27"/>
  <c r="N679" i="27"/>
  <c r="J80" i="35"/>
  <c r="L80" i="35"/>
  <c r="M80" i="35"/>
  <c r="K806" i="27"/>
  <c r="H80" i="35"/>
  <c r="J806" i="27"/>
  <c r="L806" i="27"/>
  <c r="N806" i="27"/>
  <c r="J81" i="35"/>
  <c r="L81" i="35"/>
  <c r="M81" i="35"/>
  <c r="K837" i="27"/>
  <c r="H81" i="35"/>
  <c r="J837" i="27"/>
  <c r="L837" i="27"/>
  <c r="N837" i="27"/>
  <c r="J82" i="35"/>
  <c r="L82" i="35"/>
  <c r="M82" i="35"/>
  <c r="K865" i="27"/>
  <c r="H82" i="35"/>
  <c r="J865" i="27"/>
  <c r="L865" i="27"/>
  <c r="N865" i="27"/>
  <c r="J83" i="35"/>
  <c r="L83" i="35"/>
  <c r="M83" i="35"/>
  <c r="K906" i="27"/>
  <c r="H83" i="35"/>
  <c r="J906" i="27"/>
  <c r="L906" i="27"/>
  <c r="N906" i="27"/>
  <c r="J84" i="35"/>
  <c r="L84" i="35"/>
  <c r="M84" i="35"/>
  <c r="K948" i="27"/>
  <c r="H84" i="35"/>
  <c r="J948" i="27"/>
  <c r="L948" i="27"/>
  <c r="N948" i="27"/>
  <c r="J85" i="35"/>
  <c r="L85" i="35"/>
  <c r="M85" i="35"/>
  <c r="K671" i="27"/>
  <c r="H85" i="35"/>
  <c r="J671" i="27"/>
  <c r="L671" i="27"/>
  <c r="N671" i="27"/>
  <c r="J86" i="35"/>
  <c r="L86" i="35"/>
  <c r="M86" i="35"/>
  <c r="K770" i="27"/>
  <c r="H86" i="35"/>
  <c r="J770" i="27"/>
  <c r="L770" i="27"/>
  <c r="N770" i="27"/>
  <c r="J87" i="35"/>
  <c r="L87" i="35"/>
  <c r="M87" i="35"/>
  <c r="K802" i="27"/>
  <c r="H87" i="35"/>
  <c r="J802" i="27"/>
  <c r="L802" i="27"/>
  <c r="N802" i="27"/>
  <c r="J88" i="35"/>
  <c r="L88" i="35"/>
  <c r="M88" i="35"/>
  <c r="K831" i="27"/>
  <c r="H88" i="35"/>
  <c r="J831" i="27"/>
  <c r="L831" i="27"/>
  <c r="N831" i="27"/>
  <c r="J89" i="35"/>
  <c r="L89" i="35"/>
  <c r="M89" i="35"/>
  <c r="K900" i="27"/>
  <c r="H89" i="35"/>
  <c r="J900" i="27"/>
  <c r="L900" i="27"/>
  <c r="N900" i="27"/>
  <c r="J90" i="35"/>
  <c r="L90" i="35"/>
  <c r="M90" i="35"/>
  <c r="K949" i="27"/>
  <c r="H90" i="35"/>
  <c r="J949" i="27"/>
  <c r="L949" i="27"/>
  <c r="N949" i="27"/>
  <c r="J91" i="35"/>
  <c r="L91" i="35"/>
  <c r="M91" i="35"/>
  <c r="K676" i="27"/>
  <c r="H91" i="35"/>
  <c r="J676" i="27"/>
  <c r="L676" i="27"/>
  <c r="N676" i="27"/>
  <c r="J92" i="35"/>
  <c r="L92" i="35"/>
  <c r="M92" i="35"/>
  <c r="K792" i="27"/>
  <c r="H92" i="35"/>
  <c r="J792" i="27"/>
  <c r="L792" i="27"/>
  <c r="N792" i="27"/>
  <c r="J93" i="35"/>
  <c r="L93" i="35"/>
  <c r="M93" i="35"/>
  <c r="K817" i="27"/>
  <c r="H93" i="35"/>
  <c r="J817" i="27"/>
  <c r="L817" i="27"/>
  <c r="N817" i="27"/>
  <c r="J94" i="35"/>
  <c r="L94" i="35"/>
  <c r="M94" i="35"/>
  <c r="K851" i="27"/>
  <c r="H94" i="35"/>
  <c r="J851" i="27"/>
  <c r="L851" i="27"/>
  <c r="N851" i="27"/>
  <c r="J95" i="35"/>
  <c r="L95" i="35"/>
  <c r="M95" i="35"/>
  <c r="K886" i="27"/>
  <c r="H95" i="35"/>
  <c r="J886" i="27"/>
  <c r="L886" i="27"/>
  <c r="N886" i="27"/>
  <c r="J96" i="35"/>
  <c r="L96" i="35"/>
  <c r="M96" i="35"/>
  <c r="K950" i="27"/>
  <c r="H96" i="35"/>
  <c r="J950" i="27"/>
  <c r="L950" i="27"/>
  <c r="N950" i="27"/>
  <c r="J97" i="35"/>
  <c r="L97" i="35"/>
  <c r="M97" i="35"/>
  <c r="K680" i="27"/>
  <c r="H97" i="35"/>
  <c r="J680" i="27"/>
  <c r="L680" i="27"/>
  <c r="N680" i="27"/>
  <c r="J98" i="35"/>
  <c r="L98" i="35"/>
  <c r="M98" i="35"/>
  <c r="K793" i="27"/>
  <c r="H98" i="35"/>
  <c r="J793" i="27"/>
  <c r="L793" i="27"/>
  <c r="N793" i="27"/>
  <c r="J99" i="35"/>
  <c r="L99" i="35"/>
  <c r="M99" i="35"/>
  <c r="K838" i="27"/>
  <c r="H99" i="35"/>
  <c r="J838" i="27"/>
  <c r="L838" i="27"/>
  <c r="N838" i="27"/>
  <c r="J100" i="35"/>
  <c r="L100" i="35"/>
  <c r="M100" i="35"/>
  <c r="K866" i="27"/>
  <c r="H100" i="35"/>
  <c r="J866" i="27"/>
  <c r="L866" i="27"/>
  <c r="N866" i="27"/>
  <c r="J101" i="35"/>
  <c r="L101" i="35"/>
  <c r="M101" i="35"/>
  <c r="K934" i="27"/>
  <c r="H101" i="35"/>
  <c r="J934" i="27"/>
  <c r="L934" i="27"/>
  <c r="N934" i="27"/>
  <c r="J102" i="35"/>
  <c r="L102" i="35"/>
  <c r="M102" i="35"/>
  <c r="K951" i="27"/>
  <c r="H102" i="35"/>
  <c r="J951" i="27"/>
  <c r="L951" i="27"/>
  <c r="N951" i="27"/>
  <c r="J103" i="35"/>
  <c r="L103" i="35"/>
  <c r="M103" i="35"/>
  <c r="K681" i="27"/>
  <c r="H103" i="35"/>
  <c r="J681" i="27"/>
  <c r="L681" i="27"/>
  <c r="N681" i="27"/>
  <c r="J104" i="35"/>
  <c r="L104" i="35"/>
  <c r="M104" i="35"/>
  <c r="K726" i="27"/>
  <c r="H104" i="35"/>
  <c r="J726" i="27"/>
  <c r="L726" i="27"/>
  <c r="N726" i="27"/>
  <c r="J105" i="35"/>
  <c r="L105" i="35"/>
  <c r="M105" i="35"/>
  <c r="K839" i="27"/>
  <c r="H105" i="35"/>
  <c r="J839" i="27"/>
  <c r="L839" i="27"/>
  <c r="N839" i="27"/>
  <c r="J106" i="35"/>
  <c r="L106" i="35"/>
  <c r="M106" i="35"/>
  <c r="K867" i="27"/>
  <c r="H106" i="35"/>
  <c r="J867" i="27"/>
  <c r="L867" i="27"/>
  <c r="N867" i="27"/>
  <c r="J107" i="35"/>
  <c r="L107" i="35"/>
  <c r="M107" i="35"/>
  <c r="K907" i="27"/>
  <c r="H107" i="35"/>
  <c r="J907" i="27"/>
  <c r="L907" i="27"/>
  <c r="N907" i="27"/>
  <c r="J108" i="35"/>
  <c r="L108" i="35"/>
  <c r="M108" i="35"/>
  <c r="K952" i="27"/>
  <c r="H108" i="35"/>
  <c r="J952" i="27"/>
  <c r="L952" i="27"/>
  <c r="N952" i="27"/>
  <c r="J109" i="35"/>
  <c r="L109" i="35"/>
  <c r="M109" i="35"/>
  <c r="K994" i="27"/>
  <c r="H109" i="35"/>
  <c r="J994" i="27"/>
  <c r="L994" i="27"/>
  <c r="N994" i="27"/>
  <c r="J110" i="35"/>
  <c r="L110" i="35"/>
  <c r="M110" i="35"/>
  <c r="K1008" i="27"/>
  <c r="H110" i="35"/>
  <c r="J1008" i="27"/>
  <c r="L1008" i="27"/>
  <c r="N1008" i="27"/>
  <c r="J111" i="35"/>
  <c r="L111" i="35"/>
  <c r="M111" i="35"/>
  <c r="K689" i="27"/>
  <c r="H111" i="35"/>
  <c r="J689" i="27"/>
  <c r="L689" i="27"/>
  <c r="N689" i="27"/>
  <c r="J112" i="35"/>
  <c r="L112" i="35"/>
  <c r="M112" i="35"/>
  <c r="K832" i="27"/>
  <c r="H112" i="35"/>
  <c r="J832" i="27"/>
  <c r="L832" i="27"/>
  <c r="N832" i="27"/>
  <c r="J113" i="35"/>
  <c r="L113" i="35"/>
  <c r="M113" i="35"/>
  <c r="K868" i="27"/>
  <c r="H113" i="35"/>
  <c r="J868" i="27"/>
  <c r="L868" i="27"/>
  <c r="N868" i="27"/>
  <c r="J114" i="35"/>
  <c r="L114" i="35"/>
  <c r="M114" i="35"/>
  <c r="K908" i="27"/>
  <c r="H114" i="35"/>
  <c r="J908" i="27"/>
  <c r="L908" i="27"/>
  <c r="N908" i="27"/>
  <c r="J115" i="35"/>
  <c r="L115" i="35"/>
  <c r="M115" i="35"/>
  <c r="K937" i="27"/>
  <c r="H115" i="35"/>
  <c r="J937" i="27"/>
  <c r="L937" i="27"/>
  <c r="N937" i="27"/>
  <c r="J116" i="35"/>
  <c r="L116" i="35"/>
  <c r="M116" i="35"/>
  <c r="K995" i="27"/>
  <c r="H116" i="35"/>
  <c r="J995" i="27"/>
  <c r="L995" i="27"/>
  <c r="N995" i="27"/>
  <c r="J117" i="35"/>
  <c r="L117" i="35"/>
  <c r="M117" i="35"/>
  <c r="K685" i="27"/>
  <c r="H117" i="35"/>
  <c r="J685" i="27"/>
  <c r="L685" i="27"/>
  <c r="N685" i="27"/>
  <c r="J118" i="35"/>
  <c r="L118" i="35"/>
  <c r="M118" i="35"/>
  <c r="K840" i="27"/>
  <c r="H118" i="35"/>
  <c r="J840" i="27"/>
  <c r="L840" i="27"/>
  <c r="N840" i="27"/>
  <c r="J119" i="35"/>
  <c r="L119" i="35"/>
  <c r="M119" i="35"/>
  <c r="K852" i="27"/>
  <c r="H119" i="35"/>
  <c r="J852" i="27"/>
  <c r="L852" i="27"/>
  <c r="N852" i="27"/>
  <c r="J120" i="35"/>
  <c r="L120" i="35"/>
  <c r="M120" i="35"/>
  <c r="K869" i="27"/>
  <c r="H120" i="35"/>
  <c r="J869" i="27"/>
  <c r="L869" i="27"/>
  <c r="N869" i="27"/>
  <c r="J121" i="35"/>
  <c r="L121" i="35"/>
  <c r="M121" i="35"/>
  <c r="K909" i="27"/>
  <c r="H121" i="35"/>
  <c r="J909" i="27"/>
  <c r="L909" i="27"/>
  <c r="N909" i="27"/>
  <c r="J122" i="35"/>
  <c r="L122" i="35"/>
  <c r="M122" i="35"/>
  <c r="K953" i="27"/>
  <c r="H122" i="35"/>
  <c r="J953" i="27"/>
  <c r="L953" i="27"/>
  <c r="N953" i="27"/>
  <c r="J123" i="35"/>
  <c r="L123" i="35"/>
  <c r="M123" i="35"/>
  <c r="K690" i="27"/>
  <c r="H123" i="35"/>
  <c r="J690" i="27"/>
  <c r="L690" i="27"/>
  <c r="N690" i="27"/>
  <c r="J124" i="35"/>
  <c r="L124" i="35"/>
  <c r="M124" i="35"/>
  <c r="K833" i="27"/>
  <c r="H124" i="35"/>
  <c r="J833" i="27"/>
  <c r="L833" i="27"/>
  <c r="N833" i="27"/>
  <c r="J125" i="35"/>
  <c r="L125" i="35"/>
  <c r="M125" i="35"/>
  <c r="K870" i="27"/>
  <c r="H125" i="35"/>
  <c r="J870" i="27"/>
  <c r="L870" i="27"/>
  <c r="N870" i="27"/>
  <c r="J126" i="35"/>
  <c r="L126" i="35"/>
  <c r="M126" i="35"/>
  <c r="K878" i="27"/>
  <c r="H126" i="35"/>
  <c r="J878" i="27"/>
  <c r="L878" i="27"/>
  <c r="N878" i="27"/>
  <c r="J127" i="35"/>
  <c r="L127" i="35"/>
  <c r="M127" i="35"/>
  <c r="K910" i="27"/>
  <c r="H127" i="35"/>
  <c r="J910" i="27"/>
  <c r="L910" i="27"/>
  <c r="N910" i="27"/>
  <c r="J128" i="35"/>
  <c r="L128" i="35"/>
  <c r="M128" i="35"/>
  <c r="K954" i="27"/>
  <c r="H128" i="35"/>
  <c r="J954" i="27"/>
  <c r="L954" i="27"/>
  <c r="N954" i="27"/>
  <c r="J129" i="35"/>
  <c r="L129" i="35"/>
  <c r="M129" i="35"/>
  <c r="K686" i="27"/>
  <c r="H129" i="35"/>
  <c r="J686" i="27"/>
  <c r="L686" i="27"/>
  <c r="N686" i="27"/>
  <c r="J130" i="35"/>
  <c r="L130" i="35"/>
  <c r="M130" i="35"/>
  <c r="K841" i="27"/>
  <c r="H130" i="35"/>
  <c r="J841" i="27"/>
  <c r="L841" i="27"/>
  <c r="N841" i="27"/>
  <c r="J131" i="35"/>
  <c r="L131" i="35"/>
  <c r="M131" i="35"/>
  <c r="K853" i="27"/>
  <c r="H131" i="35"/>
  <c r="J853" i="27"/>
  <c r="L853" i="27"/>
  <c r="N853" i="27"/>
  <c r="J132" i="35"/>
  <c r="L132" i="35"/>
  <c r="M132" i="35"/>
  <c r="K871" i="27"/>
  <c r="H132" i="35"/>
  <c r="J871" i="27"/>
  <c r="L871" i="27"/>
  <c r="N871" i="27"/>
  <c r="J133" i="35"/>
  <c r="L133" i="35"/>
  <c r="M133" i="35"/>
  <c r="K911" i="27"/>
  <c r="H133" i="35"/>
  <c r="J911" i="27"/>
  <c r="L911" i="27"/>
  <c r="N911" i="27"/>
  <c r="J134" i="35"/>
  <c r="L134" i="35"/>
  <c r="M134" i="35"/>
  <c r="K955" i="27"/>
  <c r="H134" i="35"/>
  <c r="J955" i="27"/>
  <c r="L955" i="27"/>
  <c r="N955" i="27"/>
  <c r="J135" i="35"/>
  <c r="L135" i="35"/>
  <c r="M135" i="35"/>
  <c r="K682" i="27"/>
  <c r="H135" i="35"/>
  <c r="J682" i="27"/>
  <c r="L682" i="27"/>
  <c r="N682" i="27"/>
  <c r="J136" i="35"/>
  <c r="L136" i="35"/>
  <c r="M136" i="35"/>
  <c r="K813" i="27"/>
  <c r="H136" i="35"/>
  <c r="J813" i="27"/>
  <c r="L813" i="27"/>
  <c r="N813" i="27"/>
  <c r="J137" i="35"/>
  <c r="L137" i="35"/>
  <c r="M137" i="35"/>
  <c r="K845" i="27"/>
  <c r="H137" i="35"/>
  <c r="J845" i="27"/>
  <c r="L845" i="27"/>
  <c r="N845" i="27"/>
  <c r="J138" i="35"/>
  <c r="L138" i="35"/>
  <c r="M138" i="35"/>
  <c r="K858" i="27"/>
  <c r="H138" i="35"/>
  <c r="J858" i="27"/>
  <c r="L858" i="27"/>
  <c r="N858" i="27"/>
  <c r="J139" i="35"/>
  <c r="L139" i="35"/>
  <c r="M139" i="35"/>
  <c r="K887" i="27"/>
  <c r="H139" i="35"/>
  <c r="J887" i="27"/>
  <c r="L887" i="27"/>
  <c r="N887" i="27"/>
  <c r="J140" i="35"/>
  <c r="L140" i="35"/>
  <c r="M140" i="35"/>
  <c r="K956" i="27"/>
  <c r="H140" i="35"/>
  <c r="J956" i="27"/>
  <c r="L956" i="27"/>
  <c r="N956" i="27"/>
  <c r="J141" i="35"/>
  <c r="L141" i="35"/>
  <c r="M141" i="35"/>
  <c r="K677" i="27"/>
  <c r="H141" i="35"/>
  <c r="J677" i="27"/>
  <c r="L677" i="27"/>
  <c r="N677" i="27"/>
  <c r="J142" i="35"/>
  <c r="L142" i="35"/>
  <c r="M142" i="35"/>
  <c r="K807" i="27"/>
  <c r="H142" i="35"/>
  <c r="J807" i="27"/>
  <c r="L807" i="27"/>
  <c r="N807" i="27"/>
  <c r="J143" i="35"/>
  <c r="L143" i="35"/>
  <c r="M143" i="35"/>
  <c r="K818" i="27"/>
  <c r="H143" i="35"/>
  <c r="J818" i="27"/>
  <c r="L818" i="27"/>
  <c r="N818" i="27"/>
  <c r="J144" i="35"/>
  <c r="L144" i="35"/>
  <c r="M144" i="35"/>
  <c r="K842" i="27"/>
  <c r="H144" i="35"/>
  <c r="J842" i="27"/>
  <c r="L842" i="27"/>
  <c r="N842" i="27"/>
  <c r="J145" i="35"/>
  <c r="L145" i="35"/>
  <c r="M145" i="35"/>
  <c r="K912" i="27"/>
  <c r="H145" i="35"/>
  <c r="J912" i="27"/>
  <c r="L912" i="27"/>
  <c r="N912" i="27"/>
  <c r="J146" i="35"/>
  <c r="L146" i="35"/>
  <c r="M146" i="35"/>
  <c r="K957" i="27"/>
  <c r="H146" i="35"/>
  <c r="J957" i="27"/>
  <c r="L957" i="27"/>
  <c r="N957" i="27"/>
  <c r="J147" i="35"/>
  <c r="L147" i="35"/>
  <c r="M147" i="35"/>
  <c r="K672" i="27"/>
  <c r="H147" i="35"/>
  <c r="J672" i="27"/>
  <c r="L672" i="27"/>
  <c r="N672" i="27"/>
  <c r="J148" i="35"/>
  <c r="L148" i="35"/>
  <c r="M148" i="35"/>
  <c r="K782" i="27"/>
  <c r="H148" i="35"/>
  <c r="J782" i="27"/>
  <c r="L782" i="27"/>
  <c r="N782" i="27"/>
  <c r="J149" i="35"/>
  <c r="L149" i="35"/>
  <c r="M149" i="35"/>
  <c r="K803" i="27"/>
  <c r="H149" i="35"/>
  <c r="J803" i="27"/>
  <c r="L803" i="27"/>
  <c r="N803" i="27"/>
  <c r="J150" i="35"/>
  <c r="L150" i="35"/>
  <c r="M150" i="35"/>
  <c r="K819" i="27"/>
  <c r="H150" i="35"/>
  <c r="J819" i="27"/>
  <c r="L819" i="27"/>
  <c r="N819" i="27"/>
  <c r="J151" i="35"/>
  <c r="L151" i="35"/>
  <c r="M151" i="35"/>
  <c r="K888" i="27"/>
  <c r="H151" i="35"/>
  <c r="J888" i="27"/>
  <c r="L888" i="27"/>
  <c r="N888" i="27"/>
  <c r="J152" i="35"/>
  <c r="L152" i="35"/>
  <c r="M152" i="35"/>
  <c r="K958" i="27"/>
  <c r="H152" i="35"/>
  <c r="J958" i="27"/>
  <c r="L958" i="27"/>
  <c r="N958" i="27"/>
  <c r="J153" i="35"/>
  <c r="L153" i="35"/>
  <c r="M153" i="35"/>
  <c r="K996" i="27"/>
  <c r="H153" i="35"/>
  <c r="J996" i="27"/>
  <c r="L996" i="27"/>
  <c r="N996" i="27"/>
  <c r="J154" i="35"/>
  <c r="L154" i="35"/>
  <c r="M154" i="35"/>
  <c r="K1009" i="27"/>
  <c r="H154" i="35"/>
  <c r="J1009" i="27"/>
  <c r="L1009" i="27"/>
  <c r="N1009" i="27"/>
  <c r="J155" i="35"/>
  <c r="L155" i="35"/>
  <c r="M155" i="35"/>
  <c r="K666" i="27"/>
  <c r="H155" i="35"/>
  <c r="J666" i="27"/>
  <c r="L666" i="27"/>
  <c r="N666" i="27"/>
  <c r="J156" i="35"/>
  <c r="L156" i="35"/>
  <c r="M156" i="35"/>
  <c r="K755" i="27"/>
  <c r="H156" i="35"/>
  <c r="J755" i="27"/>
  <c r="L755" i="27"/>
  <c r="N755" i="27"/>
  <c r="J157" i="35"/>
  <c r="L157" i="35"/>
  <c r="M157" i="35"/>
  <c r="K774" i="27"/>
  <c r="H157" i="35"/>
  <c r="J774" i="27"/>
  <c r="L774" i="27"/>
  <c r="N774" i="27"/>
  <c r="J158" i="35"/>
  <c r="L158" i="35"/>
  <c r="M158" i="35"/>
  <c r="K783" i="27"/>
  <c r="H158" i="35"/>
  <c r="J783" i="27"/>
  <c r="L783" i="27"/>
  <c r="N783" i="27"/>
  <c r="J159" i="35"/>
  <c r="L159" i="35"/>
  <c r="M159" i="35"/>
  <c r="K880" i="27"/>
  <c r="H159" i="35"/>
  <c r="J880" i="27"/>
  <c r="L880" i="27"/>
  <c r="N880" i="27"/>
  <c r="J160" i="35"/>
  <c r="L160" i="35"/>
  <c r="M160" i="35"/>
  <c r="K959" i="27"/>
  <c r="H160" i="35"/>
  <c r="J959" i="27"/>
  <c r="L959" i="27"/>
  <c r="N959" i="27"/>
  <c r="J161" i="35"/>
  <c r="L161" i="35"/>
  <c r="M161" i="35"/>
  <c r="K657" i="27"/>
  <c r="H161" i="35"/>
  <c r="J657" i="27"/>
  <c r="L657" i="27"/>
  <c r="N657" i="27"/>
  <c r="J162" i="35"/>
  <c r="L162" i="35"/>
  <c r="M162" i="35"/>
  <c r="K714" i="27"/>
  <c r="H162" i="35"/>
  <c r="J714" i="27"/>
  <c r="L714" i="27"/>
  <c r="N714" i="27"/>
  <c r="J163" i="35"/>
  <c r="L163" i="35"/>
  <c r="M163" i="35"/>
  <c r="K751" i="27"/>
  <c r="H163" i="35"/>
  <c r="J751" i="27"/>
  <c r="L751" i="27"/>
  <c r="N751" i="27"/>
  <c r="J164" i="35"/>
  <c r="L164" i="35"/>
  <c r="M164" i="35"/>
  <c r="K759" i="27"/>
  <c r="H164" i="35"/>
  <c r="J759" i="27"/>
  <c r="L759" i="27"/>
  <c r="N759" i="27"/>
  <c r="J165" i="35"/>
  <c r="L165" i="35"/>
  <c r="M165" i="35"/>
  <c r="K913" i="27"/>
  <c r="H165" i="35"/>
  <c r="J913" i="27"/>
  <c r="L913" i="27"/>
  <c r="N913" i="27"/>
  <c r="J166" i="35"/>
  <c r="L166" i="35"/>
  <c r="M166" i="35"/>
  <c r="K960" i="27"/>
  <c r="H166" i="35"/>
  <c r="J960" i="27"/>
  <c r="L960" i="27"/>
  <c r="N960" i="27"/>
  <c r="J167" i="35"/>
  <c r="L167" i="35"/>
  <c r="M167" i="35"/>
  <c r="K658" i="27"/>
  <c r="H167" i="35"/>
  <c r="J658" i="27"/>
  <c r="L658" i="27"/>
  <c r="N658" i="27"/>
  <c r="J168" i="35"/>
  <c r="L168" i="35"/>
  <c r="M168" i="35"/>
  <c r="K721" i="27"/>
  <c r="H168" i="35"/>
  <c r="J721" i="27"/>
  <c r="L721" i="27"/>
  <c r="N721" i="27"/>
  <c r="J169" i="35"/>
  <c r="L169" i="35"/>
  <c r="M169" i="35"/>
  <c r="K743" i="27"/>
  <c r="H169" i="35"/>
  <c r="J743" i="27"/>
  <c r="L743" i="27"/>
  <c r="N743" i="27"/>
  <c r="J170" i="35"/>
  <c r="L170" i="35"/>
  <c r="M170" i="35"/>
  <c r="K771" i="27"/>
  <c r="H170" i="35"/>
  <c r="J771" i="27"/>
  <c r="L771" i="27"/>
  <c r="N771" i="27"/>
  <c r="J171" i="35"/>
  <c r="L171" i="35"/>
  <c r="M171" i="35"/>
  <c r="K889" i="27"/>
  <c r="H171" i="35"/>
  <c r="J889" i="27"/>
  <c r="L889" i="27"/>
  <c r="N889" i="27"/>
  <c r="J172" i="35"/>
  <c r="L172" i="35"/>
  <c r="M172" i="35"/>
  <c r="K961" i="27"/>
  <c r="H172" i="35"/>
  <c r="J961" i="27"/>
  <c r="L961" i="27"/>
  <c r="N961" i="27"/>
  <c r="J173" i="35"/>
  <c r="L173" i="35"/>
  <c r="M173" i="35"/>
  <c r="K644" i="27"/>
  <c r="H173" i="35"/>
  <c r="J644" i="27"/>
  <c r="L644" i="27"/>
  <c r="N644" i="27"/>
  <c r="J174" i="35"/>
  <c r="L174" i="35"/>
  <c r="M174" i="35"/>
  <c r="K699" i="27"/>
  <c r="H174" i="35"/>
  <c r="J699" i="27"/>
  <c r="L699" i="27"/>
  <c r="N699" i="27"/>
  <c r="J175" i="35"/>
  <c r="L175" i="35"/>
  <c r="M175" i="35"/>
  <c r="K709" i="27"/>
  <c r="H175" i="35"/>
  <c r="J709" i="27"/>
  <c r="L709" i="27"/>
  <c r="N709" i="27"/>
  <c r="J176" i="35"/>
  <c r="L176" i="35"/>
  <c r="M176" i="35"/>
  <c r="K733" i="27"/>
  <c r="H176" i="35"/>
  <c r="J733" i="27"/>
  <c r="L733" i="27"/>
  <c r="N733" i="27"/>
  <c r="J177" i="35"/>
  <c r="L177" i="35"/>
  <c r="M177" i="35"/>
  <c r="K872" i="27"/>
  <c r="H177" i="35"/>
  <c r="J872" i="27"/>
  <c r="L872" i="27"/>
  <c r="N872" i="27"/>
  <c r="J178" i="35"/>
  <c r="L178" i="35"/>
  <c r="M178" i="35"/>
  <c r="K962" i="27"/>
  <c r="H178" i="35"/>
  <c r="J962" i="27"/>
  <c r="L962" i="27"/>
  <c r="N962" i="27"/>
  <c r="J179" i="35"/>
  <c r="L179" i="35"/>
  <c r="M179" i="35"/>
  <c r="K997" i="27"/>
  <c r="H179" i="35"/>
  <c r="J997" i="27"/>
  <c r="L997" i="27"/>
  <c r="N997" i="27"/>
  <c r="J180" i="35"/>
  <c r="L180" i="35"/>
  <c r="M180" i="35"/>
  <c r="K1010" i="27"/>
  <c r="H180" i="35"/>
  <c r="J1010" i="27"/>
  <c r="L1010" i="27"/>
  <c r="N1010" i="27"/>
  <c r="J181" i="35"/>
  <c r="L181" i="35"/>
  <c r="M181" i="35"/>
  <c r="K652" i="27"/>
  <c r="H181" i="35"/>
  <c r="J652" i="27"/>
  <c r="L652" i="27"/>
  <c r="N652" i="27"/>
  <c r="J182" i="35"/>
  <c r="L182" i="35"/>
  <c r="M182" i="35"/>
  <c r="K704" i="27"/>
  <c r="H182" i="35"/>
  <c r="J704" i="27"/>
  <c r="L704" i="27"/>
  <c r="N704" i="27"/>
  <c r="J183" i="35"/>
  <c r="L183" i="35"/>
  <c r="M183" i="35"/>
  <c r="K734" i="27"/>
  <c r="H183" i="35"/>
  <c r="J734" i="27"/>
  <c r="L734" i="27"/>
  <c r="N734" i="27"/>
  <c r="J184" i="35"/>
  <c r="L184" i="35"/>
  <c r="M184" i="35"/>
  <c r="K775" i="27"/>
  <c r="H184" i="35"/>
  <c r="J775" i="27"/>
  <c r="L775" i="27"/>
  <c r="N775" i="27"/>
  <c r="J185" i="35"/>
  <c r="L185" i="35"/>
  <c r="M185" i="35"/>
  <c r="K914" i="27"/>
  <c r="H185" i="35"/>
  <c r="J914" i="27"/>
  <c r="L914" i="27"/>
  <c r="N914" i="27"/>
  <c r="J186" i="35"/>
  <c r="L186" i="35"/>
  <c r="M186" i="35"/>
  <c r="K963" i="27"/>
  <c r="H186" i="35"/>
  <c r="J963" i="27"/>
  <c r="L963" i="27"/>
  <c r="N963" i="27"/>
  <c r="J187" i="35"/>
  <c r="L187" i="35"/>
  <c r="M187" i="35"/>
  <c r="K659" i="27"/>
  <c r="H187" i="35"/>
  <c r="J659" i="27"/>
  <c r="L659" i="27"/>
  <c r="N659" i="27"/>
  <c r="J188" i="35"/>
  <c r="L188" i="35"/>
  <c r="M188" i="35"/>
  <c r="K735" i="27"/>
  <c r="H188" i="35"/>
  <c r="J735" i="27"/>
  <c r="L735" i="27"/>
  <c r="N735" i="27"/>
  <c r="J189" i="35"/>
  <c r="L189" i="35"/>
  <c r="M189" i="35"/>
  <c r="K760" i="27"/>
  <c r="H189" i="35"/>
  <c r="J760" i="27"/>
  <c r="L760" i="27"/>
  <c r="N760" i="27"/>
  <c r="J190" i="35"/>
  <c r="L190" i="35"/>
  <c r="M190" i="35"/>
  <c r="K794" i="27"/>
  <c r="H190" i="35"/>
  <c r="J794" i="27"/>
  <c r="L794" i="27"/>
  <c r="N794" i="27"/>
  <c r="J191" i="35"/>
  <c r="L191" i="35"/>
  <c r="M191" i="35"/>
  <c r="K873" i="27"/>
  <c r="H191" i="35"/>
  <c r="J873" i="27"/>
  <c r="L873" i="27"/>
  <c r="N873" i="27"/>
  <c r="J192" i="35"/>
  <c r="L192" i="35"/>
  <c r="M192" i="35"/>
  <c r="K964" i="27"/>
  <c r="H192" i="35"/>
  <c r="J964" i="27"/>
  <c r="L964" i="27"/>
  <c r="N964" i="27"/>
  <c r="J193" i="35"/>
  <c r="L193" i="35"/>
  <c r="M193" i="35"/>
  <c r="K660" i="27"/>
  <c r="H193" i="35"/>
  <c r="J660" i="27"/>
  <c r="L660" i="27"/>
  <c r="N660" i="27"/>
  <c r="J194" i="35"/>
  <c r="L194" i="35"/>
  <c r="M194" i="35"/>
  <c r="K736" i="27"/>
  <c r="H194" i="35"/>
  <c r="J736" i="27"/>
  <c r="L736" i="27"/>
  <c r="N736" i="27"/>
  <c r="J195" i="35"/>
  <c r="L195" i="35"/>
  <c r="M195" i="35"/>
  <c r="K761" i="27"/>
  <c r="H195" i="35"/>
  <c r="J761" i="27"/>
  <c r="L761" i="27"/>
  <c r="N761" i="27"/>
  <c r="J196" i="35"/>
  <c r="L196" i="35"/>
  <c r="M196" i="35"/>
  <c r="K820" i="27"/>
  <c r="H196" i="35"/>
  <c r="J820" i="27"/>
  <c r="L820" i="27"/>
  <c r="N820" i="27"/>
  <c r="J197" i="35"/>
  <c r="L197" i="35"/>
  <c r="M197" i="35"/>
  <c r="K890" i="27"/>
  <c r="H197" i="35"/>
  <c r="J890" i="27"/>
  <c r="L890" i="27"/>
  <c r="N890" i="27"/>
  <c r="J198" i="35"/>
  <c r="L198" i="35"/>
  <c r="M198" i="35"/>
  <c r="K965" i="27"/>
  <c r="H198" i="35"/>
  <c r="J965" i="27"/>
  <c r="L965" i="27"/>
  <c r="N965" i="27"/>
  <c r="J199" i="35"/>
  <c r="L199" i="35"/>
  <c r="M199" i="35"/>
  <c r="K998" i="27"/>
  <c r="H199" i="35"/>
  <c r="J998" i="27"/>
  <c r="L998" i="27"/>
  <c r="N998" i="27"/>
  <c r="J200" i="35"/>
  <c r="L200" i="35"/>
  <c r="M200" i="35"/>
  <c r="K1005" i="27"/>
  <c r="H200" i="35"/>
  <c r="J1005" i="27"/>
  <c r="L1005" i="27"/>
  <c r="N1005" i="27"/>
  <c r="J201" i="35"/>
  <c r="L201" i="35"/>
  <c r="M201" i="35"/>
  <c r="K646" i="27"/>
  <c r="H201" i="35"/>
  <c r="J646" i="27"/>
  <c r="L646" i="27"/>
  <c r="N646" i="27"/>
  <c r="J202" i="35"/>
  <c r="L202" i="35"/>
  <c r="M202" i="35"/>
  <c r="K705" i="27"/>
  <c r="H202" i="35"/>
  <c r="J705" i="27"/>
  <c r="L705" i="27"/>
  <c r="N705" i="27"/>
  <c r="J203" i="35"/>
  <c r="L203" i="35"/>
  <c r="M203" i="35"/>
  <c r="K719" i="27"/>
  <c r="H203" i="35"/>
  <c r="J719" i="27"/>
  <c r="L719" i="27"/>
  <c r="N719" i="27"/>
  <c r="J204" i="35"/>
  <c r="L204" i="35"/>
  <c r="M204" i="35"/>
  <c r="K747" i="27"/>
  <c r="H204" i="35"/>
  <c r="J747" i="27"/>
  <c r="L747" i="27"/>
  <c r="N747" i="27"/>
  <c r="J205" i="35"/>
  <c r="L205" i="35"/>
  <c r="M205" i="35"/>
  <c r="K881" i="27"/>
  <c r="H205" i="35"/>
  <c r="J881" i="27"/>
  <c r="L881" i="27"/>
  <c r="N881" i="27"/>
  <c r="J206" i="35"/>
  <c r="L206" i="35"/>
  <c r="M206" i="35"/>
  <c r="K966" i="27"/>
  <c r="H206" i="35"/>
  <c r="J966" i="27"/>
  <c r="L966" i="27"/>
  <c r="N966" i="27"/>
  <c r="J207" i="35"/>
  <c r="L207" i="35"/>
  <c r="M207" i="35"/>
  <c r="K647" i="27"/>
  <c r="H207" i="35"/>
  <c r="J647" i="27"/>
  <c r="L647" i="27"/>
  <c r="N647" i="27"/>
  <c r="J208" i="35"/>
  <c r="L208" i="35"/>
  <c r="M208" i="35"/>
  <c r="K706" i="27"/>
  <c r="H208" i="35"/>
  <c r="J706" i="27"/>
  <c r="L706" i="27"/>
  <c r="N706" i="27"/>
  <c r="J209" i="35"/>
  <c r="L209" i="35"/>
  <c r="M209" i="35"/>
  <c r="K715" i="27"/>
  <c r="H209" i="35"/>
  <c r="J715" i="27"/>
  <c r="L715" i="27"/>
  <c r="N715" i="27"/>
  <c r="J210" i="35"/>
  <c r="L210" i="35"/>
  <c r="M210" i="35"/>
  <c r="K722" i="27"/>
  <c r="H210" i="35"/>
  <c r="J722" i="27"/>
  <c r="L722" i="27"/>
  <c r="N722" i="27"/>
  <c r="J211" i="35"/>
  <c r="L211" i="35"/>
  <c r="M211" i="35"/>
  <c r="K915" i="27"/>
  <c r="H211" i="35"/>
  <c r="J915" i="27"/>
  <c r="L915" i="27"/>
  <c r="N915" i="27"/>
  <c r="J212" i="35"/>
  <c r="L212" i="35"/>
  <c r="M212" i="35"/>
  <c r="K967" i="27"/>
  <c r="H212" i="35"/>
  <c r="J967" i="27"/>
  <c r="L967" i="27"/>
  <c r="N967" i="27"/>
  <c r="J213" i="35"/>
  <c r="L213" i="35"/>
  <c r="M213" i="35"/>
  <c r="K653" i="27"/>
  <c r="H213" i="35"/>
  <c r="J653" i="27"/>
  <c r="L653" i="27"/>
  <c r="N653" i="27"/>
  <c r="J214" i="35"/>
  <c r="L214" i="35"/>
  <c r="M214" i="35"/>
  <c r="K723" i="27"/>
  <c r="H214" i="35"/>
  <c r="J723" i="27"/>
  <c r="L723" i="27"/>
  <c r="N723" i="27"/>
  <c r="J215" i="35"/>
  <c r="L215" i="35"/>
  <c r="M215" i="35"/>
  <c r="K744" i="27"/>
  <c r="H215" i="35"/>
  <c r="J744" i="27"/>
  <c r="L744" i="27"/>
  <c r="N744" i="27"/>
  <c r="J216" i="35"/>
  <c r="L216" i="35"/>
  <c r="M216" i="35"/>
  <c r="K784" i="27"/>
  <c r="H216" i="35"/>
  <c r="J784" i="27"/>
  <c r="L784" i="27"/>
  <c r="N784" i="27"/>
  <c r="J217" i="35"/>
  <c r="L217" i="35"/>
  <c r="M217" i="35"/>
  <c r="K891" i="27"/>
  <c r="H217" i="35"/>
  <c r="J891" i="27"/>
  <c r="L891" i="27"/>
  <c r="N891" i="27"/>
  <c r="J218" i="35"/>
  <c r="L218" i="35"/>
  <c r="M218" i="35"/>
  <c r="K991" i="27"/>
  <c r="H218" i="35"/>
  <c r="J991" i="27"/>
  <c r="L991" i="27"/>
  <c r="N991" i="27"/>
  <c r="J220" i="35"/>
  <c r="L220" i="35"/>
  <c r="M220" i="35"/>
  <c r="K664" i="27"/>
  <c r="H220" i="35"/>
  <c r="J664" i="27"/>
  <c r="L664" i="27"/>
  <c r="N664" i="27"/>
  <c r="J221" i="35"/>
  <c r="L221" i="35"/>
  <c r="M221" i="35"/>
  <c r="K752" i="27"/>
  <c r="H221" i="35"/>
  <c r="J752" i="27"/>
  <c r="L752" i="27"/>
  <c r="N752" i="27"/>
  <c r="J222" i="35"/>
  <c r="L222" i="35"/>
  <c r="M222" i="35"/>
  <c r="K768" i="27"/>
  <c r="H222" i="35"/>
  <c r="J768" i="27"/>
  <c r="L768" i="27"/>
  <c r="N768" i="27"/>
  <c r="J223" i="35"/>
  <c r="L223" i="35"/>
  <c r="M223" i="35"/>
  <c r="K773" i="27"/>
  <c r="H223" i="35"/>
  <c r="J773" i="27"/>
  <c r="L773" i="27"/>
  <c r="N773" i="27"/>
  <c r="J224" i="35"/>
  <c r="L224" i="35"/>
  <c r="M224" i="35"/>
  <c r="K916" i="27"/>
  <c r="H224" i="35"/>
  <c r="J916" i="27"/>
  <c r="L916" i="27"/>
  <c r="N916" i="27"/>
  <c r="J225" i="35"/>
  <c r="L225" i="35"/>
  <c r="M225" i="35"/>
  <c r="K968" i="27"/>
  <c r="H225" i="35"/>
  <c r="J968" i="27"/>
  <c r="L968" i="27"/>
  <c r="N968" i="27"/>
  <c r="J226" i="35"/>
  <c r="L226" i="35"/>
  <c r="M226" i="35"/>
  <c r="K669" i="27"/>
  <c r="H226" i="35"/>
  <c r="J669" i="27"/>
  <c r="L669" i="27"/>
  <c r="N669" i="27"/>
  <c r="J227" i="35"/>
  <c r="L227" i="35"/>
  <c r="M227" i="35"/>
  <c r="K762" i="27"/>
  <c r="H227" i="35"/>
  <c r="J762" i="27"/>
  <c r="L762" i="27"/>
  <c r="N762" i="27"/>
  <c r="J228" i="35"/>
  <c r="L228" i="35"/>
  <c r="M228" i="35"/>
  <c r="K795" i="27"/>
  <c r="H228" i="35"/>
  <c r="J795" i="27"/>
  <c r="L795" i="27"/>
  <c r="N795" i="27"/>
  <c r="J229" i="35"/>
  <c r="L229" i="35"/>
  <c r="M229" i="35"/>
  <c r="K814" i="27"/>
  <c r="H229" i="35"/>
  <c r="J814" i="27"/>
  <c r="L814" i="27"/>
  <c r="N814" i="27"/>
  <c r="J230" i="35"/>
  <c r="L230" i="35"/>
  <c r="M230" i="35"/>
  <c r="K892" i="27"/>
  <c r="H230" i="35"/>
  <c r="J892" i="27"/>
  <c r="L892" i="27"/>
  <c r="N892" i="27"/>
  <c r="J231" i="35"/>
  <c r="L231" i="35"/>
  <c r="M231" i="35"/>
  <c r="K969" i="27"/>
  <c r="H231" i="35"/>
  <c r="J969" i="27"/>
  <c r="L969" i="27"/>
  <c r="N969" i="27"/>
  <c r="J232" i="35"/>
  <c r="L232" i="35"/>
  <c r="M232" i="35"/>
  <c r="K670" i="27"/>
  <c r="H232" i="35"/>
  <c r="J670" i="27"/>
  <c r="L670" i="27"/>
  <c r="N670" i="27"/>
  <c r="J233" i="35"/>
  <c r="L233" i="35"/>
  <c r="M233" i="35"/>
  <c r="K776" i="27"/>
  <c r="H233" i="35"/>
  <c r="J776" i="27"/>
  <c r="L776" i="27"/>
  <c r="N776" i="27"/>
  <c r="J234" i="35"/>
  <c r="L234" i="35"/>
  <c r="M234" i="35"/>
  <c r="K796" i="27"/>
  <c r="H234" i="35"/>
  <c r="J796" i="27"/>
  <c r="L796" i="27"/>
  <c r="N796" i="27"/>
  <c r="J235" i="35"/>
  <c r="L235" i="35"/>
  <c r="M235" i="35"/>
  <c r="K808" i="27"/>
  <c r="H235" i="35"/>
  <c r="J808" i="27"/>
  <c r="L808" i="27"/>
  <c r="N808" i="27"/>
  <c r="J236" i="35"/>
  <c r="L236" i="35"/>
  <c r="M236" i="35"/>
  <c r="K917" i="27"/>
  <c r="H236" i="35"/>
  <c r="J917" i="27"/>
  <c r="L917" i="27"/>
  <c r="N917" i="27"/>
  <c r="J237" i="35"/>
  <c r="L237" i="35"/>
  <c r="M237" i="35"/>
  <c r="K970" i="27"/>
  <c r="H237" i="35"/>
  <c r="J970" i="27"/>
  <c r="L970" i="27"/>
  <c r="N970" i="27"/>
  <c r="J238" i="35"/>
  <c r="L238" i="35"/>
  <c r="M238" i="35"/>
  <c r="K691" i="27"/>
  <c r="H238" i="35"/>
  <c r="J691" i="27"/>
  <c r="L691" i="27"/>
  <c r="N691" i="27"/>
  <c r="J239" i="35"/>
  <c r="L239" i="35"/>
  <c r="M239" i="35"/>
  <c r="K821" i="27"/>
  <c r="H239" i="35"/>
  <c r="J821" i="27"/>
  <c r="L821" i="27"/>
  <c r="N821" i="27"/>
  <c r="J240" i="35"/>
  <c r="L240" i="35"/>
  <c r="M240" i="35"/>
  <c r="K854" i="27"/>
  <c r="H240" i="35"/>
  <c r="J854" i="27"/>
  <c r="L854" i="27"/>
  <c r="N854" i="27"/>
  <c r="J241" i="35"/>
  <c r="L241" i="35"/>
  <c r="M241" i="35"/>
  <c r="K877" i="27"/>
  <c r="H241" i="35"/>
  <c r="J877" i="27"/>
  <c r="L877" i="27"/>
  <c r="N877" i="27"/>
  <c r="J242" i="35"/>
  <c r="L242" i="35"/>
  <c r="M242" i="35"/>
  <c r="K918" i="27"/>
  <c r="H242" i="35"/>
  <c r="J918" i="27"/>
  <c r="L918" i="27"/>
  <c r="N918" i="27"/>
  <c r="J243" i="35"/>
  <c r="L243" i="35"/>
  <c r="M243" i="35"/>
  <c r="K971" i="27"/>
  <c r="H243" i="35"/>
  <c r="J971" i="27"/>
  <c r="L971" i="27"/>
  <c r="N971" i="27"/>
  <c r="J244" i="35"/>
  <c r="L244" i="35"/>
  <c r="M244" i="35"/>
  <c r="K1002" i="27"/>
  <c r="H244" i="35"/>
  <c r="J1002" i="27"/>
  <c r="L1002" i="27"/>
  <c r="N1002" i="27"/>
  <c r="J245" i="35"/>
  <c r="L245" i="35"/>
  <c r="M245" i="35"/>
  <c r="K1011" i="27"/>
  <c r="H245" i="35"/>
  <c r="J1011" i="27"/>
  <c r="L1011" i="27"/>
  <c r="N1011" i="27"/>
  <c r="J246" i="35"/>
  <c r="L246" i="35"/>
  <c r="M246" i="35"/>
  <c r="K678" i="27"/>
  <c r="H246" i="35"/>
  <c r="J678" i="27"/>
  <c r="L678" i="27"/>
  <c r="N678" i="27"/>
  <c r="J247" i="35"/>
  <c r="L247" i="35"/>
  <c r="M247" i="35"/>
  <c r="K797" i="27"/>
  <c r="H247" i="35"/>
  <c r="J797" i="27"/>
  <c r="L797" i="27"/>
  <c r="N797" i="27"/>
  <c r="J248" i="35"/>
  <c r="L248" i="35"/>
  <c r="M248" i="35"/>
  <c r="K822" i="27"/>
  <c r="H248" i="35"/>
  <c r="J822" i="27"/>
  <c r="L822" i="27"/>
  <c r="N822" i="27"/>
  <c r="J249" i="35"/>
  <c r="L249" i="35"/>
  <c r="M249" i="35"/>
  <c r="K847" i="27"/>
  <c r="H249" i="35"/>
  <c r="J847" i="27"/>
  <c r="L847" i="27"/>
  <c r="N847" i="27"/>
  <c r="J250" i="35"/>
  <c r="L250" i="35"/>
  <c r="M250" i="35"/>
  <c r="K919" i="27"/>
  <c r="H250" i="35"/>
  <c r="J919" i="27"/>
  <c r="L919" i="27"/>
  <c r="N919" i="27"/>
  <c r="J251" i="35"/>
  <c r="L251" i="35"/>
  <c r="M251" i="35"/>
  <c r="K972" i="27"/>
  <c r="H251" i="35"/>
  <c r="J972" i="27"/>
  <c r="L972" i="27"/>
  <c r="N972" i="27"/>
  <c r="J252" i="35"/>
  <c r="L252" i="35"/>
  <c r="M252" i="35"/>
  <c r="K673" i="27"/>
  <c r="H252" i="35"/>
  <c r="J673" i="27"/>
  <c r="L673" i="27"/>
  <c r="N673" i="27"/>
  <c r="J253" i="35"/>
  <c r="L253" i="35"/>
  <c r="M253" i="35"/>
  <c r="K763" i="27"/>
  <c r="H253" i="35"/>
  <c r="J763" i="27"/>
  <c r="L763" i="27"/>
  <c r="N763" i="27"/>
  <c r="J254" i="35"/>
  <c r="L254" i="35"/>
  <c r="M254" i="35"/>
  <c r="K798" i="27"/>
  <c r="H254" i="35"/>
  <c r="J798" i="27"/>
  <c r="L798" i="27"/>
  <c r="N798" i="27"/>
  <c r="J255" i="35"/>
  <c r="L255" i="35"/>
  <c r="M255" i="35"/>
  <c r="K823" i="27"/>
  <c r="H255" i="35"/>
  <c r="J823" i="27"/>
  <c r="L823" i="27"/>
  <c r="N823" i="27"/>
  <c r="J256" i="35"/>
  <c r="L256" i="35"/>
  <c r="M256" i="35"/>
  <c r="K893" i="27"/>
  <c r="H256" i="35"/>
  <c r="J893" i="27"/>
  <c r="L893" i="27"/>
  <c r="N893" i="27"/>
  <c r="J257" i="35"/>
  <c r="L257" i="35"/>
  <c r="M257" i="35"/>
  <c r="K973" i="27"/>
  <c r="H257" i="35"/>
  <c r="J973" i="27"/>
  <c r="L973" i="27"/>
  <c r="N973" i="27"/>
  <c r="J258" i="35"/>
  <c r="L258" i="35"/>
  <c r="M258" i="35"/>
  <c r="K683" i="27"/>
  <c r="H258" i="35"/>
  <c r="J683" i="27"/>
  <c r="L683" i="27"/>
  <c r="N683" i="27"/>
  <c r="J259" i="35"/>
  <c r="L259" i="35"/>
  <c r="M259" i="35"/>
  <c r="K824" i="27"/>
  <c r="H259" i="35"/>
  <c r="J824" i="27"/>
  <c r="L824" i="27"/>
  <c r="N824" i="27"/>
  <c r="J260" i="35"/>
  <c r="L260" i="35"/>
  <c r="M260" i="35"/>
  <c r="K843" i="27"/>
  <c r="H260" i="35"/>
  <c r="J843" i="27"/>
  <c r="L843" i="27"/>
  <c r="N843" i="27"/>
  <c r="J261" i="35"/>
  <c r="L261" i="35"/>
  <c r="M261" i="35"/>
  <c r="K855" i="27"/>
  <c r="H261" i="35"/>
  <c r="J855" i="27"/>
  <c r="L855" i="27"/>
  <c r="N855" i="27"/>
  <c r="J262" i="35"/>
  <c r="L262" i="35"/>
  <c r="M262" i="35"/>
  <c r="K920" i="27"/>
  <c r="H262" i="35"/>
  <c r="J920" i="27"/>
  <c r="L920" i="27"/>
  <c r="N920" i="27"/>
  <c r="J263" i="35"/>
  <c r="M263" i="35"/>
  <c r="K974" i="27"/>
  <c r="H263" i="35"/>
  <c r="J974" i="27"/>
  <c r="L974" i="27"/>
  <c r="N974" i="27"/>
  <c r="J264" i="35"/>
  <c r="M264" i="35"/>
  <c r="K999" i="27"/>
  <c r="H264" i="35"/>
  <c r="J999" i="27"/>
  <c r="L999" i="27"/>
  <c r="N999" i="27"/>
  <c r="J265" i="35"/>
  <c r="M265" i="35"/>
  <c r="K1006" i="27"/>
  <c r="H265" i="35"/>
  <c r="J1006" i="27"/>
  <c r="L1006" i="27"/>
  <c r="N1006" i="27"/>
  <c r="J266" i="35"/>
  <c r="M266" i="35"/>
  <c r="K1015" i="27"/>
  <c r="H266" i="35"/>
  <c r="J1015" i="27"/>
  <c r="L1015" i="27"/>
  <c r="N1015" i="27"/>
  <c r="J267" i="35"/>
  <c r="M267" i="35"/>
  <c r="K1016" i="27"/>
  <c r="H267" i="35"/>
  <c r="J1016" i="27"/>
  <c r="L1016" i="27"/>
  <c r="N1016" i="27"/>
  <c r="J268" i="35"/>
  <c r="M268" i="35"/>
  <c r="K1017" i="27"/>
  <c r="H268" i="35"/>
  <c r="J1017" i="27"/>
  <c r="L1017" i="27"/>
  <c r="N1017" i="27"/>
  <c r="J269" i="35"/>
  <c r="M269" i="35"/>
  <c r="K1018" i="27"/>
  <c r="H269" i="35"/>
  <c r="J1018" i="27"/>
  <c r="L1018" i="27"/>
  <c r="N1018" i="27"/>
  <c r="J270" i="35"/>
  <c r="M270" i="35"/>
  <c r="K1019" i="27"/>
  <c r="H270" i="35"/>
  <c r="J1019" i="27"/>
  <c r="L1019" i="27"/>
  <c r="N1019" i="27"/>
  <c r="J271" i="35"/>
  <c r="M271" i="35"/>
  <c r="K688" i="27"/>
  <c r="H271" i="35"/>
  <c r="J688" i="27"/>
  <c r="L688" i="27"/>
  <c r="N688" i="27"/>
  <c r="J272" i="35"/>
  <c r="M272" i="35"/>
  <c r="K856" i="27"/>
  <c r="H272" i="35"/>
  <c r="J856" i="27"/>
  <c r="L856" i="27"/>
  <c r="N856" i="27"/>
  <c r="J273" i="35"/>
  <c r="M273" i="35"/>
  <c r="K859" i="27"/>
  <c r="H273" i="35"/>
  <c r="J859" i="27"/>
  <c r="L859" i="27"/>
  <c r="N859" i="27"/>
  <c r="J274" i="35"/>
  <c r="M274" i="35"/>
  <c r="K874" i="27"/>
  <c r="H274" i="35"/>
  <c r="J874" i="27"/>
  <c r="L874" i="27"/>
  <c r="N874" i="27"/>
  <c r="J275" i="35"/>
  <c r="M275" i="35"/>
  <c r="K921" i="27"/>
  <c r="H275" i="35"/>
  <c r="J921" i="27"/>
  <c r="L921" i="27"/>
  <c r="N921" i="27"/>
  <c r="J276" i="35"/>
  <c r="M276" i="35"/>
  <c r="K975" i="27"/>
  <c r="H276" i="35"/>
  <c r="J975" i="27"/>
  <c r="L975" i="27"/>
  <c r="N975" i="27"/>
  <c r="J277" i="35"/>
  <c r="M277" i="35"/>
  <c r="K687" i="27"/>
  <c r="H277" i="35"/>
  <c r="J687" i="27"/>
  <c r="L687" i="27"/>
  <c r="N687" i="27"/>
  <c r="J278" i="35"/>
  <c r="M278" i="35"/>
  <c r="K809" i="27"/>
  <c r="H278" i="35"/>
  <c r="J809" i="27"/>
  <c r="L809" i="27"/>
  <c r="N809" i="27"/>
  <c r="J279" i="35"/>
  <c r="M279" i="35"/>
  <c r="K848" i="27"/>
  <c r="H279" i="35"/>
  <c r="J848" i="27"/>
  <c r="L848" i="27"/>
  <c r="N848" i="27"/>
  <c r="J280" i="35"/>
  <c r="M280" i="35"/>
  <c r="K860" i="27"/>
  <c r="H280" i="35"/>
  <c r="J860" i="27"/>
  <c r="L860" i="27"/>
  <c r="N860" i="27"/>
  <c r="J281" i="35"/>
  <c r="M281" i="35"/>
  <c r="K898" i="27"/>
  <c r="H281" i="35"/>
  <c r="J898" i="27"/>
  <c r="L898" i="27"/>
  <c r="N898" i="27"/>
  <c r="J282" i="35"/>
  <c r="M282" i="35"/>
  <c r="K938" i="27"/>
  <c r="H282" i="35"/>
  <c r="J938" i="27"/>
  <c r="L938" i="27"/>
  <c r="N938" i="27"/>
  <c r="J283" i="35"/>
  <c r="M283" i="35"/>
  <c r="K1003" i="27"/>
  <c r="H283" i="35"/>
  <c r="J1003" i="27"/>
  <c r="L1003" i="27"/>
  <c r="N1003" i="27"/>
  <c r="J284" i="35"/>
  <c r="M284" i="35"/>
  <c r="K1012" i="27"/>
  <c r="H284" i="35"/>
  <c r="J1012" i="27"/>
  <c r="L1012" i="27"/>
  <c r="N1012" i="27"/>
  <c r="J285" i="35"/>
  <c r="L285" i="35"/>
  <c r="M285" i="35"/>
  <c r="K684" i="27"/>
  <c r="H285" i="35"/>
  <c r="J684" i="27"/>
  <c r="L684" i="27"/>
  <c r="N684" i="27"/>
  <c r="J286" i="35"/>
  <c r="L286" i="35"/>
  <c r="M286" i="35"/>
  <c r="K834" i="27"/>
  <c r="H286" i="35"/>
  <c r="J834" i="27"/>
  <c r="L834" i="27"/>
  <c r="N834" i="27"/>
  <c r="J287" i="35"/>
  <c r="L287" i="35"/>
  <c r="M287" i="35"/>
  <c r="K844" i="27"/>
  <c r="H287" i="35"/>
  <c r="J844" i="27"/>
  <c r="L844" i="27"/>
  <c r="N844" i="27"/>
  <c r="J288" i="35"/>
  <c r="L288" i="35"/>
  <c r="M288" i="35"/>
  <c r="K875" i="27"/>
  <c r="H288" i="35"/>
  <c r="J875" i="27"/>
  <c r="L875" i="27"/>
  <c r="N875" i="27"/>
  <c r="J289" i="35"/>
  <c r="L289" i="35"/>
  <c r="M289" i="35"/>
  <c r="K922" i="27"/>
  <c r="H289" i="35"/>
  <c r="J922" i="27"/>
  <c r="L922" i="27"/>
  <c r="N922" i="27"/>
  <c r="J290" i="35"/>
  <c r="L290" i="35"/>
  <c r="M290" i="35"/>
  <c r="K976" i="27"/>
  <c r="H290" i="35"/>
  <c r="J976" i="27"/>
  <c r="L976" i="27"/>
  <c r="N976" i="27"/>
  <c r="J291" i="35"/>
  <c r="M291" i="35"/>
  <c r="K675" i="27"/>
  <c r="H291" i="35"/>
  <c r="J675" i="27"/>
  <c r="L675" i="27"/>
  <c r="N675" i="27"/>
  <c r="J292" i="35"/>
  <c r="M292" i="35"/>
  <c r="K799" i="27"/>
  <c r="H292" i="35"/>
  <c r="J799" i="27"/>
  <c r="L799" i="27"/>
  <c r="N799" i="27"/>
  <c r="J293" i="35"/>
  <c r="M293" i="35"/>
  <c r="K825" i="27"/>
  <c r="H293" i="35"/>
  <c r="J825" i="27"/>
  <c r="L825" i="27"/>
  <c r="N825" i="27"/>
  <c r="J294" i="35"/>
  <c r="M294" i="35"/>
  <c r="K849" i="27"/>
  <c r="H294" i="35"/>
  <c r="J849" i="27"/>
  <c r="L849" i="27"/>
  <c r="N849" i="27"/>
  <c r="J295" i="35"/>
  <c r="M295" i="35"/>
  <c r="K923" i="27"/>
  <c r="H295" i="35"/>
  <c r="J923" i="27"/>
  <c r="L923" i="27"/>
  <c r="N923" i="27"/>
  <c r="J296" i="35"/>
  <c r="L296" i="35"/>
  <c r="M296" i="35"/>
  <c r="K665" i="27"/>
  <c r="H296" i="35"/>
  <c r="J665" i="27"/>
  <c r="L665" i="27"/>
  <c r="N665" i="27"/>
  <c r="J297" i="35"/>
  <c r="L297" i="35"/>
  <c r="M297" i="35"/>
  <c r="K764" i="27"/>
  <c r="H297" i="35"/>
  <c r="J764" i="27"/>
  <c r="L764" i="27"/>
  <c r="N764" i="27"/>
  <c r="J298" i="35"/>
  <c r="L298" i="35"/>
  <c r="M298" i="35"/>
  <c r="K772" i="27"/>
  <c r="H298" i="35"/>
  <c r="J772" i="27"/>
  <c r="L772" i="27"/>
  <c r="N772" i="27"/>
  <c r="J299" i="35"/>
  <c r="L299" i="35"/>
  <c r="M299" i="35"/>
  <c r="K800" i="27"/>
  <c r="H299" i="35"/>
  <c r="J800" i="27"/>
  <c r="L800" i="27"/>
  <c r="N800" i="27"/>
  <c r="J300" i="35"/>
  <c r="L300" i="35"/>
  <c r="M300" i="35"/>
  <c r="K924" i="27"/>
  <c r="H300" i="35"/>
  <c r="J924" i="27"/>
  <c r="L924" i="27"/>
  <c r="N924" i="27"/>
  <c r="J301" i="35"/>
  <c r="L301" i="35"/>
  <c r="M301" i="35"/>
  <c r="K977" i="27"/>
  <c r="H301" i="35"/>
  <c r="J977" i="27"/>
  <c r="L977" i="27"/>
  <c r="N977" i="27"/>
  <c r="J302" i="35"/>
  <c r="L302" i="35"/>
  <c r="M302" i="35"/>
  <c r="K661" i="27"/>
  <c r="H302" i="35"/>
  <c r="J661" i="27"/>
  <c r="L661" i="27"/>
  <c r="N661" i="27"/>
  <c r="J303" i="35"/>
  <c r="L303" i="35"/>
  <c r="M303" i="35"/>
  <c r="K728" i="27"/>
  <c r="H303" i="35"/>
  <c r="J728" i="27"/>
  <c r="L728" i="27"/>
  <c r="N728" i="27"/>
  <c r="J304" i="35"/>
  <c r="L304" i="35"/>
  <c r="M304" i="35"/>
  <c r="K750" i="27"/>
  <c r="H304" i="35"/>
  <c r="J750" i="27"/>
  <c r="L750" i="27"/>
  <c r="N750" i="27"/>
  <c r="J305" i="35"/>
  <c r="L305" i="35"/>
  <c r="M305" i="35"/>
  <c r="K785" i="27"/>
  <c r="H305" i="35"/>
  <c r="J785" i="27"/>
  <c r="L785" i="27"/>
  <c r="N785" i="27"/>
  <c r="J306" i="35"/>
  <c r="L306" i="35"/>
  <c r="M306" i="35"/>
  <c r="K894" i="27"/>
  <c r="H306" i="35"/>
  <c r="J894" i="27"/>
  <c r="L894" i="27"/>
  <c r="N894" i="27"/>
  <c r="J307" i="35"/>
  <c r="L307" i="35"/>
  <c r="M307" i="35"/>
  <c r="K978" i="27"/>
  <c r="H307" i="35"/>
  <c r="J978" i="27"/>
  <c r="L978" i="27"/>
  <c r="N978" i="27"/>
  <c r="J308" i="35"/>
  <c r="L308" i="35"/>
  <c r="M308" i="35"/>
  <c r="K654" i="27"/>
  <c r="H308" i="35"/>
  <c r="J654" i="27"/>
  <c r="L654" i="27"/>
  <c r="N654" i="27"/>
  <c r="J309" i="35"/>
  <c r="L309" i="35"/>
  <c r="M309" i="35"/>
  <c r="K716" i="27"/>
  <c r="H309" i="35"/>
  <c r="J716" i="27"/>
  <c r="L716" i="27"/>
  <c r="N716" i="27"/>
  <c r="J310" i="35"/>
  <c r="L310" i="35"/>
  <c r="M310" i="35"/>
  <c r="K737" i="27"/>
  <c r="H310" i="35"/>
  <c r="J737" i="27"/>
  <c r="L737" i="27"/>
  <c r="N737" i="27"/>
  <c r="J311" i="35"/>
  <c r="L311" i="35"/>
  <c r="M311" i="35"/>
  <c r="K748" i="27"/>
  <c r="H311" i="35"/>
  <c r="J748" i="27"/>
  <c r="L748" i="27"/>
  <c r="N748" i="27"/>
  <c r="J312" i="35"/>
  <c r="L312" i="35"/>
  <c r="M312" i="35"/>
  <c r="K925" i="27"/>
  <c r="H312" i="35"/>
  <c r="J925" i="27"/>
  <c r="L925" i="27"/>
  <c r="N925" i="27"/>
  <c r="J313" i="35"/>
  <c r="L313" i="35"/>
  <c r="M313" i="35"/>
  <c r="K979" i="27"/>
  <c r="H313" i="35"/>
  <c r="J979" i="27"/>
  <c r="L979" i="27"/>
  <c r="N979" i="27"/>
  <c r="J314" i="35"/>
  <c r="L314" i="35"/>
  <c r="M314" i="35"/>
  <c r="K667" i="27"/>
  <c r="H314" i="35"/>
  <c r="J667" i="27"/>
  <c r="L667" i="27"/>
  <c r="N667" i="27"/>
  <c r="J315" i="35"/>
  <c r="L315" i="35"/>
  <c r="M315" i="35"/>
  <c r="K753" i="27"/>
  <c r="H315" i="35"/>
  <c r="J753" i="27"/>
  <c r="L753" i="27"/>
  <c r="N753" i="27"/>
  <c r="J316" i="35"/>
  <c r="L316" i="35"/>
  <c r="M316" i="35"/>
  <c r="K777" i="27"/>
  <c r="H316" i="35"/>
  <c r="J777" i="27"/>
  <c r="L777" i="27"/>
  <c r="N777" i="27"/>
  <c r="J317" i="35"/>
  <c r="L317" i="35"/>
  <c r="M317" i="35"/>
  <c r="K815" i="27"/>
  <c r="H317" i="35"/>
  <c r="J815" i="27"/>
  <c r="L815" i="27"/>
  <c r="N815" i="27"/>
  <c r="J318" i="35"/>
  <c r="L318" i="35"/>
  <c r="M318" i="35"/>
  <c r="K895" i="27"/>
  <c r="H318" i="35"/>
  <c r="J895" i="27"/>
  <c r="L895" i="27"/>
  <c r="N895" i="27"/>
  <c r="J319" i="35"/>
  <c r="L319" i="35"/>
  <c r="M319" i="35"/>
  <c r="K992" i="27"/>
  <c r="H319" i="35"/>
  <c r="J992" i="27"/>
  <c r="L992" i="27"/>
  <c r="N992" i="27"/>
  <c r="J320" i="35"/>
  <c r="L320" i="35"/>
  <c r="M320" i="35"/>
  <c r="K1000" i="27"/>
  <c r="H320" i="35"/>
  <c r="J1000" i="27"/>
  <c r="L1000" i="27"/>
  <c r="N1000" i="27"/>
  <c r="J321" i="35"/>
  <c r="L321" i="35"/>
  <c r="M321" i="35"/>
  <c r="K1013" i="27"/>
  <c r="H321" i="35"/>
  <c r="J1013" i="27"/>
  <c r="L1013" i="27"/>
  <c r="N1013" i="27"/>
  <c r="J322" i="35"/>
  <c r="L322" i="35"/>
  <c r="M322" i="35"/>
  <c r="K668" i="27"/>
  <c r="H322" i="35"/>
  <c r="J668" i="27"/>
  <c r="L668" i="27"/>
  <c r="N668" i="27"/>
  <c r="J323" i="35"/>
  <c r="L323" i="35"/>
  <c r="M323" i="35"/>
  <c r="K765" i="27"/>
  <c r="H323" i="35"/>
  <c r="J765" i="27"/>
  <c r="L765" i="27"/>
  <c r="N765" i="27"/>
  <c r="J324" i="35"/>
  <c r="L324" i="35"/>
  <c r="M324" i="35"/>
  <c r="K778" i="27"/>
  <c r="H324" i="35"/>
  <c r="J778" i="27"/>
  <c r="L778" i="27"/>
  <c r="N778" i="27"/>
  <c r="J325" i="35"/>
  <c r="L325" i="35"/>
  <c r="M325" i="35"/>
  <c r="K810" i="27"/>
  <c r="H325" i="35"/>
  <c r="J810" i="27"/>
  <c r="L810" i="27"/>
  <c r="N810" i="27"/>
  <c r="J326" i="35"/>
  <c r="L326" i="35"/>
  <c r="M326" i="35"/>
  <c r="K926" i="27"/>
  <c r="H326" i="35"/>
  <c r="J926" i="27"/>
  <c r="L926" i="27"/>
  <c r="N926" i="27"/>
  <c r="J327" i="35"/>
  <c r="L327" i="35"/>
  <c r="M327" i="35"/>
  <c r="K980" i="27"/>
  <c r="H327" i="35"/>
  <c r="J980" i="27"/>
  <c r="L980" i="27"/>
  <c r="N980" i="27"/>
  <c r="J328" i="35"/>
  <c r="L328" i="35"/>
  <c r="M328" i="35"/>
  <c r="K662" i="27"/>
  <c r="H328" i="35"/>
  <c r="J662" i="27"/>
  <c r="L662" i="27"/>
  <c r="N662" i="27"/>
  <c r="J329" i="35"/>
  <c r="L329" i="35"/>
  <c r="M329" i="35"/>
  <c r="K738" i="27"/>
  <c r="H329" i="35"/>
  <c r="J738" i="27"/>
  <c r="L738" i="27"/>
  <c r="N738" i="27"/>
  <c r="J330" i="35"/>
  <c r="L330" i="35"/>
  <c r="M330" i="35"/>
  <c r="K756" i="27"/>
  <c r="H330" i="35"/>
  <c r="J756" i="27"/>
  <c r="L756" i="27"/>
  <c r="N756" i="27"/>
  <c r="J331" i="35"/>
  <c r="L331" i="35"/>
  <c r="M331" i="35"/>
  <c r="K786" i="27"/>
  <c r="H331" i="35"/>
  <c r="J786" i="27"/>
  <c r="L786" i="27"/>
  <c r="N786" i="27"/>
  <c r="J332" i="35"/>
  <c r="L332" i="35"/>
  <c r="M332" i="35"/>
  <c r="K896" i="27"/>
  <c r="H332" i="35"/>
  <c r="J896" i="27"/>
  <c r="L896" i="27"/>
  <c r="N896" i="27"/>
  <c r="J333" i="35"/>
  <c r="L333" i="35"/>
  <c r="M333" i="35"/>
  <c r="K981" i="27"/>
  <c r="H333" i="35"/>
  <c r="J981" i="27"/>
  <c r="L981" i="27"/>
  <c r="N981" i="27"/>
  <c r="J334" i="35"/>
  <c r="L334" i="35"/>
  <c r="M334" i="35"/>
  <c r="K655" i="27"/>
  <c r="H334" i="35"/>
  <c r="J655" i="27"/>
  <c r="L655" i="27"/>
  <c r="N655" i="27"/>
  <c r="J335" i="35"/>
  <c r="L335" i="35"/>
  <c r="M335" i="35"/>
  <c r="K729" i="27"/>
  <c r="H335" i="35"/>
  <c r="J729" i="27"/>
  <c r="L729" i="27"/>
  <c r="N729" i="27"/>
  <c r="J336" i="35"/>
  <c r="L336" i="35"/>
  <c r="M336" i="35"/>
  <c r="K742" i="27"/>
  <c r="H336" i="35"/>
  <c r="J742" i="27"/>
  <c r="L742" i="27"/>
  <c r="N742" i="27"/>
  <c r="J337" i="35"/>
  <c r="L337" i="35"/>
  <c r="M337" i="35"/>
  <c r="K766" i="27"/>
  <c r="H337" i="35"/>
  <c r="J766" i="27"/>
  <c r="L766" i="27"/>
  <c r="N766" i="27"/>
  <c r="J338" i="35"/>
  <c r="L338" i="35"/>
  <c r="M338" i="35"/>
  <c r="K927" i="27"/>
  <c r="H338" i="35"/>
  <c r="J927" i="27"/>
  <c r="L927" i="27"/>
  <c r="N927" i="27"/>
  <c r="J339" i="35"/>
  <c r="L339" i="35"/>
  <c r="M339" i="35"/>
  <c r="K982" i="27"/>
  <c r="H339" i="35"/>
  <c r="J982" i="27"/>
  <c r="L982" i="27"/>
  <c r="N982" i="27"/>
  <c r="J340" i="35"/>
  <c r="L340" i="35"/>
  <c r="M340" i="35"/>
  <c r="K651" i="27"/>
  <c r="H340" i="35"/>
  <c r="J651" i="27"/>
  <c r="L651" i="27"/>
  <c r="N651" i="27"/>
  <c r="J341" i="35"/>
  <c r="L341" i="35"/>
  <c r="M341" i="35"/>
  <c r="K724" i="27"/>
  <c r="H341" i="35"/>
  <c r="J724" i="27"/>
  <c r="L724" i="27"/>
  <c r="N724" i="27"/>
  <c r="J342" i="35"/>
  <c r="L342" i="35"/>
  <c r="M342" i="35"/>
  <c r="K731" i="27"/>
  <c r="H342" i="35"/>
  <c r="J731" i="27"/>
  <c r="L731" i="27"/>
  <c r="N731" i="27"/>
  <c r="J343" i="35"/>
  <c r="L343" i="35"/>
  <c r="M343" i="35"/>
  <c r="K749" i="27"/>
  <c r="H343" i="35"/>
  <c r="J749" i="27"/>
  <c r="L749" i="27"/>
  <c r="N749" i="27"/>
  <c r="J344" i="35"/>
  <c r="L344" i="35"/>
  <c r="M344" i="35"/>
  <c r="K928" i="27"/>
  <c r="H344" i="35"/>
  <c r="J928" i="27"/>
  <c r="L928" i="27"/>
  <c r="N928" i="27"/>
  <c r="J345" i="35"/>
  <c r="L345" i="35"/>
  <c r="M345" i="35"/>
  <c r="K983" i="27"/>
  <c r="H345" i="35"/>
  <c r="J983" i="27"/>
  <c r="L983" i="27"/>
  <c r="N983" i="27"/>
  <c r="J346" i="35"/>
  <c r="L346" i="35"/>
  <c r="M346" i="35"/>
  <c r="K648" i="27"/>
  <c r="H346" i="35"/>
  <c r="J648" i="27"/>
  <c r="L648" i="27"/>
  <c r="N648" i="27"/>
  <c r="J347" i="35"/>
  <c r="L347" i="35"/>
  <c r="M347" i="35"/>
  <c r="K697" i="27"/>
  <c r="H347" i="35"/>
  <c r="J697" i="27"/>
  <c r="L697" i="27"/>
  <c r="N697" i="27"/>
  <c r="J348" i="35"/>
  <c r="L348" i="35"/>
  <c r="M348" i="35"/>
  <c r="K710" i="27"/>
  <c r="H348" i="35"/>
  <c r="J710" i="27"/>
  <c r="L710" i="27"/>
  <c r="N710" i="27"/>
  <c r="J349" i="35"/>
  <c r="L349" i="35"/>
  <c r="M349" i="35"/>
  <c r="K739" i="27"/>
  <c r="H349" i="35"/>
  <c r="J739" i="27"/>
  <c r="L739" i="27"/>
  <c r="N739" i="27"/>
  <c r="J350" i="35"/>
  <c r="L350" i="35"/>
  <c r="M350" i="35"/>
  <c r="K876" i="27"/>
  <c r="H350" i="35"/>
  <c r="J876" i="27"/>
  <c r="L876" i="27"/>
  <c r="N876" i="27"/>
  <c r="J351" i="35"/>
  <c r="L351" i="35"/>
  <c r="M351" i="35"/>
  <c r="K984" i="27"/>
  <c r="H351" i="35"/>
  <c r="J984" i="27"/>
  <c r="L984" i="27"/>
  <c r="N984" i="27"/>
  <c r="J352" i="35"/>
  <c r="L352" i="35"/>
  <c r="M352" i="35"/>
  <c r="K656" i="27"/>
  <c r="H352" i="35"/>
  <c r="J656" i="27"/>
  <c r="L656" i="27"/>
  <c r="N656" i="27"/>
  <c r="J353" i="35"/>
  <c r="L353" i="35"/>
  <c r="M353" i="35"/>
  <c r="K730" i="27"/>
  <c r="H353" i="35"/>
  <c r="J730" i="27"/>
  <c r="L730" i="27"/>
  <c r="N730" i="27"/>
  <c r="J354" i="35"/>
  <c r="L354" i="35"/>
  <c r="M354" i="35"/>
  <c r="K745" i="27"/>
  <c r="H354" i="35"/>
  <c r="J745" i="27"/>
  <c r="L745" i="27"/>
  <c r="N745" i="27"/>
  <c r="J355" i="35"/>
  <c r="L355" i="35"/>
  <c r="M355" i="35"/>
  <c r="K754" i="27"/>
  <c r="H355" i="35"/>
  <c r="J754" i="27"/>
  <c r="L754" i="27"/>
  <c r="N754" i="27"/>
  <c r="J356" i="35"/>
  <c r="L356" i="35"/>
  <c r="M356" i="35"/>
  <c r="K929" i="27"/>
  <c r="H356" i="35"/>
  <c r="J929" i="27"/>
  <c r="L929" i="27"/>
  <c r="N929" i="27"/>
  <c r="J357" i="35"/>
  <c r="L357" i="35"/>
  <c r="M357" i="35"/>
  <c r="K985" i="27"/>
  <c r="H357" i="35"/>
  <c r="J985" i="27"/>
  <c r="L985" i="27"/>
  <c r="N985" i="27"/>
  <c r="J358" i="35"/>
  <c r="L358" i="35"/>
  <c r="M358" i="35"/>
  <c r="K663" i="27"/>
  <c r="H358" i="35"/>
  <c r="J663" i="27"/>
  <c r="L663" i="27"/>
  <c r="N663" i="27"/>
  <c r="J359" i="35"/>
  <c r="L359" i="35"/>
  <c r="M359" i="35"/>
  <c r="K740" i="27"/>
  <c r="H359" i="35"/>
  <c r="J740" i="27"/>
  <c r="L740" i="27"/>
  <c r="N740" i="27"/>
  <c r="J360" i="35"/>
  <c r="L360" i="35"/>
  <c r="M360" i="35"/>
  <c r="K767" i="27"/>
  <c r="H360" i="35"/>
  <c r="J767" i="27"/>
  <c r="L767" i="27"/>
  <c r="N767" i="27"/>
  <c r="J361" i="35"/>
  <c r="L361" i="35"/>
  <c r="M361" i="35"/>
  <c r="K787" i="27"/>
  <c r="H361" i="35"/>
  <c r="J787" i="27"/>
  <c r="L787" i="27"/>
  <c r="N787" i="27"/>
  <c r="J362" i="35"/>
  <c r="L362" i="35"/>
  <c r="M362" i="35"/>
  <c r="K897" i="27"/>
  <c r="H362" i="35"/>
  <c r="J897" i="27"/>
  <c r="L897" i="27"/>
  <c r="N897" i="27"/>
  <c r="J363" i="35"/>
  <c r="L363" i="35"/>
  <c r="M363" i="35"/>
  <c r="K993" i="27"/>
  <c r="H363" i="35"/>
  <c r="J993" i="27"/>
  <c r="L993" i="27"/>
  <c r="N993" i="27"/>
  <c r="J364" i="35"/>
  <c r="L364" i="35"/>
  <c r="M364" i="35"/>
  <c r="K1004" i="27"/>
  <c r="H364" i="35"/>
  <c r="J1004" i="27"/>
  <c r="L1004" i="27"/>
  <c r="N1004" i="27"/>
  <c r="J365" i="35"/>
  <c r="L365" i="35"/>
  <c r="M365" i="35"/>
  <c r="K1014" i="27"/>
  <c r="H365" i="35"/>
  <c r="J1014" i="27"/>
  <c r="L1014" i="27"/>
  <c r="N1014" i="27"/>
  <c r="J366" i="35"/>
  <c r="L366" i="35"/>
  <c r="M366" i="35"/>
  <c r="K649" i="27"/>
  <c r="H366" i="35"/>
  <c r="J649" i="27"/>
  <c r="L649" i="27"/>
  <c r="N649" i="27"/>
  <c r="J367" i="35"/>
  <c r="L367" i="35"/>
  <c r="M367" i="35"/>
  <c r="K707" i="27"/>
  <c r="H367" i="35"/>
  <c r="J707" i="27"/>
  <c r="L707" i="27"/>
  <c r="N707" i="27"/>
  <c r="J368" i="35"/>
  <c r="L368" i="35"/>
  <c r="M368" i="35"/>
  <c r="K720" i="27"/>
  <c r="H368" i="35"/>
  <c r="J720" i="27"/>
  <c r="L720" i="27"/>
  <c r="N720" i="27"/>
  <c r="J369" i="35"/>
  <c r="L369" i="35"/>
  <c r="M369" i="35"/>
  <c r="K727" i="27"/>
  <c r="H369" i="35"/>
  <c r="J727" i="27"/>
  <c r="L727" i="27"/>
  <c r="N727" i="27"/>
  <c r="J370" i="35"/>
  <c r="L370" i="35"/>
  <c r="M370" i="35"/>
  <c r="K930" i="27"/>
  <c r="H370" i="35"/>
  <c r="J930" i="27"/>
  <c r="L930" i="27"/>
  <c r="N930" i="27"/>
  <c r="J371" i="35"/>
  <c r="L371" i="35"/>
  <c r="M371" i="35"/>
  <c r="K986" i="27"/>
  <c r="H371" i="35"/>
  <c r="J986" i="27"/>
  <c r="L986" i="27"/>
  <c r="N986" i="27"/>
  <c r="J372" i="35"/>
  <c r="L372" i="35"/>
  <c r="M372" i="35"/>
  <c r="K650" i="27"/>
  <c r="H372" i="35"/>
  <c r="J650" i="27"/>
  <c r="L650" i="27"/>
  <c r="N650" i="27"/>
  <c r="J373" i="35"/>
  <c r="L373" i="35"/>
  <c r="M373" i="35"/>
  <c r="K700" i="27"/>
  <c r="H373" i="35"/>
  <c r="J700" i="27"/>
  <c r="L700" i="27"/>
  <c r="N700" i="27"/>
  <c r="J374" i="35"/>
  <c r="L374" i="35"/>
  <c r="M374" i="35"/>
  <c r="K717" i="27"/>
  <c r="H374" i="35"/>
  <c r="J717" i="27"/>
  <c r="L717" i="27"/>
  <c r="N717" i="27"/>
  <c r="J375" i="35"/>
  <c r="L375" i="35"/>
  <c r="M375" i="35"/>
  <c r="K741" i="27"/>
  <c r="H375" i="35"/>
  <c r="J741" i="27"/>
  <c r="L741" i="27"/>
  <c r="N741" i="27"/>
  <c r="J376" i="35"/>
  <c r="L376" i="35"/>
  <c r="M376" i="35"/>
  <c r="K882" i="27"/>
  <c r="H376" i="35"/>
  <c r="J882" i="27"/>
  <c r="L882" i="27"/>
  <c r="N882" i="27"/>
  <c r="J377" i="35"/>
  <c r="L377" i="35"/>
  <c r="M377" i="35"/>
  <c r="K987" i="27"/>
  <c r="H377" i="35"/>
  <c r="J987" i="27"/>
  <c r="L987" i="27"/>
  <c r="N987" i="27"/>
  <c r="J378" i="35"/>
  <c r="L378" i="35"/>
  <c r="M378" i="35"/>
  <c r="K645" i="27"/>
  <c r="H378" i="35"/>
  <c r="J645" i="27"/>
  <c r="L645" i="27"/>
  <c r="N645" i="27"/>
  <c r="J379" i="35"/>
  <c r="L379" i="35"/>
  <c r="M379" i="35"/>
  <c r="K696" i="27"/>
  <c r="H379" i="35"/>
  <c r="J696" i="27"/>
  <c r="L696" i="27"/>
  <c r="N696" i="27"/>
  <c r="J380" i="35"/>
  <c r="L380" i="35"/>
  <c r="M380" i="35"/>
  <c r="K703" i="27"/>
  <c r="H380" i="35"/>
  <c r="J703" i="27"/>
  <c r="L703" i="27"/>
  <c r="N703" i="27"/>
  <c r="J381" i="35"/>
  <c r="L381" i="35"/>
  <c r="M381" i="35"/>
  <c r="K708" i="27"/>
  <c r="H381" i="35"/>
  <c r="J708" i="27"/>
  <c r="L708" i="27"/>
  <c r="N708" i="27"/>
  <c r="J382" i="35"/>
  <c r="L382" i="35"/>
  <c r="M382" i="35"/>
  <c r="K931" i="27"/>
  <c r="H382" i="35"/>
  <c r="J931" i="27"/>
  <c r="L931" i="27"/>
  <c r="N931" i="27"/>
  <c r="J383" i="35"/>
  <c r="L383" i="35"/>
  <c r="M383" i="35"/>
  <c r="K988" i="27"/>
  <c r="H383" i="35"/>
  <c r="J988" i="27"/>
  <c r="L988" i="27"/>
  <c r="N988" i="27"/>
  <c r="J384" i="35"/>
  <c r="L384" i="35"/>
  <c r="M384" i="35"/>
  <c r="K642" i="27"/>
  <c r="H384" i="35"/>
  <c r="J642" i="27"/>
  <c r="L642" i="27"/>
  <c r="N642" i="27"/>
  <c r="J385" i="35"/>
  <c r="L385" i="35"/>
  <c r="M385" i="35"/>
  <c r="K692" i="27"/>
  <c r="H385" i="35"/>
  <c r="J692" i="27"/>
  <c r="L692" i="27"/>
  <c r="N692" i="27"/>
  <c r="J386" i="35"/>
  <c r="L386" i="35"/>
  <c r="M386" i="35"/>
  <c r="K698" i="27"/>
  <c r="H386" i="35"/>
  <c r="J698" i="27"/>
  <c r="L698" i="27"/>
  <c r="N698" i="27"/>
  <c r="J387" i="35"/>
  <c r="L387" i="35"/>
  <c r="M387" i="35"/>
  <c r="K718" i="27"/>
  <c r="H387" i="35"/>
  <c r="J718" i="27"/>
  <c r="L718" i="27"/>
  <c r="N718" i="27"/>
  <c r="J388" i="35"/>
  <c r="L388" i="35"/>
  <c r="M388" i="35"/>
  <c r="K826" i="27"/>
  <c r="H388" i="35"/>
  <c r="J826" i="27"/>
  <c r="L826" i="27"/>
  <c r="N826" i="27"/>
  <c r="J389" i="35"/>
  <c r="L389" i="35"/>
  <c r="M389" i="35"/>
  <c r="K989" i="27"/>
  <c r="H389" i="35"/>
  <c r="J989" i="27"/>
  <c r="L989" i="27"/>
  <c r="N989" i="27"/>
  <c r="J390" i="35"/>
  <c r="L390" i="35"/>
  <c r="M390" i="35"/>
  <c r="K643" i="27"/>
  <c r="H390" i="35"/>
  <c r="J643" i="27"/>
  <c r="L643" i="27"/>
  <c r="N643" i="27"/>
  <c r="J391" i="35"/>
  <c r="L391" i="35"/>
  <c r="M391" i="35"/>
  <c r="K695" i="27"/>
  <c r="H391" i="35"/>
  <c r="J695" i="27"/>
  <c r="L695" i="27"/>
  <c r="N695" i="27"/>
  <c r="J392" i="35"/>
  <c r="L392" i="35"/>
  <c r="M392" i="35"/>
  <c r="K701" i="27"/>
  <c r="H392" i="35"/>
  <c r="J701" i="27"/>
  <c r="L701" i="27"/>
  <c r="N701" i="27"/>
  <c r="J393" i="35"/>
  <c r="L393" i="35"/>
  <c r="M393" i="35"/>
  <c r="K725" i="27"/>
  <c r="H393" i="35"/>
  <c r="J725" i="27"/>
  <c r="L725" i="27"/>
  <c r="N725" i="27"/>
  <c r="J394" i="35"/>
  <c r="L394" i="35"/>
  <c r="M394" i="35"/>
  <c r="K932" i="27"/>
  <c r="H394" i="35"/>
  <c r="J932" i="27"/>
  <c r="L932" i="27"/>
  <c r="N932" i="27"/>
  <c r="J395" i="35"/>
  <c r="L395" i="35"/>
  <c r="M395" i="35"/>
  <c r="K990" i="27"/>
  <c r="H395" i="35"/>
  <c r="J990" i="27"/>
  <c r="L990" i="27"/>
  <c r="N990" i="27"/>
  <c r="N36" i="37"/>
  <c r="P36" i="37"/>
  <c r="K465" i="27"/>
  <c r="O36" i="37"/>
  <c r="J465" i="27"/>
  <c r="L465" i="27"/>
  <c r="N465" i="27"/>
  <c r="K145" i="27"/>
  <c r="J145" i="27"/>
  <c r="L145" i="27"/>
  <c r="N145" i="27"/>
  <c r="K146" i="27"/>
  <c r="J146" i="27"/>
  <c r="L146" i="27"/>
  <c r="N146" i="27"/>
  <c r="K147" i="27"/>
  <c r="J147" i="27"/>
  <c r="L147" i="27"/>
  <c r="N147" i="27"/>
  <c r="J48" i="35"/>
  <c r="L48" i="35"/>
  <c r="M48" i="35"/>
  <c r="K638" i="27"/>
  <c r="H48" i="35"/>
  <c r="J638" i="27"/>
  <c r="L638" i="27"/>
  <c r="N638" i="27"/>
  <c r="E6" i="39"/>
  <c r="M455" i="27"/>
  <c r="C455" i="27"/>
  <c r="B455" i="27"/>
  <c r="B199" i="27"/>
  <c r="C199" i="27"/>
  <c r="M199" i="27"/>
  <c r="B196" i="27"/>
  <c r="C196" i="27"/>
  <c r="M196" i="27"/>
  <c r="B198" i="27"/>
  <c r="C198" i="27"/>
  <c r="M198" i="27"/>
  <c r="B195" i="27"/>
  <c r="C195" i="27"/>
  <c r="M195" i="27"/>
  <c r="B197" i="27"/>
  <c r="C197" i="27"/>
  <c r="M197" i="27"/>
  <c r="B200" i="27"/>
  <c r="C200" i="27"/>
  <c r="M200" i="27"/>
  <c r="B189" i="27"/>
  <c r="C189" i="27"/>
  <c r="M189" i="27"/>
  <c r="B190" i="27"/>
  <c r="C190" i="27"/>
  <c r="M190" i="27"/>
  <c r="B186" i="27"/>
  <c r="C186" i="27"/>
  <c r="M186" i="27"/>
  <c r="B167" i="27"/>
  <c r="C167" i="27"/>
  <c r="M167" i="27"/>
  <c r="B163" i="27"/>
  <c r="C163" i="27"/>
  <c r="M163" i="27"/>
  <c r="B165" i="27"/>
  <c r="C165" i="27"/>
  <c r="M165" i="27"/>
  <c r="B176" i="27"/>
  <c r="C176" i="27"/>
  <c r="M176" i="27"/>
  <c r="B192" i="27"/>
  <c r="C192" i="27"/>
  <c r="M192" i="27"/>
  <c r="B194" i="27"/>
  <c r="C194" i="27"/>
  <c r="M194" i="27"/>
  <c r="B193" i="27"/>
  <c r="C193" i="27"/>
  <c r="M193" i="27"/>
  <c r="B185" i="27"/>
  <c r="C185" i="27"/>
  <c r="M185" i="27"/>
  <c r="B154" i="27"/>
  <c r="C154" i="27"/>
  <c r="M154" i="27"/>
  <c r="B153" i="27"/>
  <c r="C153" i="27"/>
  <c r="M153" i="27"/>
  <c r="B179" i="27"/>
  <c r="C179" i="27"/>
  <c r="M179" i="27"/>
  <c r="B170" i="27"/>
  <c r="C170" i="27"/>
  <c r="M170" i="27"/>
  <c r="B155" i="27"/>
  <c r="C155" i="27"/>
  <c r="M155" i="27"/>
  <c r="B152" i="27"/>
  <c r="C152" i="27"/>
  <c r="M152" i="27"/>
  <c r="B157" i="27"/>
  <c r="C157" i="27"/>
  <c r="M157" i="27"/>
  <c r="B161" i="27"/>
  <c r="C161" i="27"/>
  <c r="M161" i="27"/>
  <c r="B162" i="27"/>
  <c r="C162" i="27"/>
  <c r="M162" i="27"/>
  <c r="B178" i="27"/>
  <c r="C178" i="27"/>
  <c r="M178" i="27"/>
  <c r="B191" i="27"/>
  <c r="C191" i="27"/>
  <c r="M191" i="27"/>
  <c r="B169" i="27"/>
  <c r="C169" i="27"/>
  <c r="M169" i="27"/>
  <c r="B172" i="27"/>
  <c r="C172" i="27"/>
  <c r="M172" i="27"/>
  <c r="B180" i="27"/>
  <c r="C180" i="27"/>
  <c r="M180" i="27"/>
  <c r="B184" i="27"/>
  <c r="C184" i="27"/>
  <c r="M184" i="27"/>
  <c r="B158" i="27"/>
  <c r="C158" i="27"/>
  <c r="M158" i="27"/>
  <c r="B156" i="27"/>
  <c r="C156" i="27"/>
  <c r="M156" i="27"/>
  <c r="B164" i="27"/>
  <c r="C164" i="27"/>
  <c r="M164" i="27"/>
  <c r="B188" i="27"/>
  <c r="C188" i="27"/>
  <c r="M188" i="27"/>
  <c r="B181" i="27"/>
  <c r="C181" i="27"/>
  <c r="M181" i="27"/>
  <c r="B166" i="27"/>
  <c r="C166" i="27"/>
  <c r="M166" i="27"/>
  <c r="B160" i="27"/>
  <c r="C160" i="27"/>
  <c r="M160" i="27"/>
  <c r="B175" i="27"/>
  <c r="C175" i="27"/>
  <c r="M175" i="27"/>
  <c r="B177" i="27"/>
  <c r="C177" i="27"/>
  <c r="M177" i="27"/>
  <c r="B174" i="27"/>
  <c r="C174" i="27"/>
  <c r="M174" i="27"/>
  <c r="B187" i="27"/>
  <c r="C187" i="27"/>
  <c r="M187" i="27"/>
  <c r="B173" i="27"/>
  <c r="C173" i="27"/>
  <c r="M173" i="27"/>
  <c r="B159" i="27"/>
  <c r="C159" i="27"/>
  <c r="M159" i="27"/>
  <c r="B168" i="27"/>
  <c r="C168" i="27"/>
  <c r="M168" i="27"/>
  <c r="B182" i="27"/>
  <c r="C182" i="27"/>
  <c r="M182" i="27"/>
  <c r="B171" i="27"/>
  <c r="C171" i="27"/>
  <c r="M171" i="27"/>
  <c r="B183" i="27"/>
  <c r="C183" i="27"/>
  <c r="M183" i="27"/>
  <c r="M201" i="27"/>
  <c r="C201" i="27"/>
  <c r="B201" i="27"/>
  <c r="M202" i="27"/>
  <c r="C202" i="27"/>
  <c r="B202" i="27"/>
  <c r="I204" i="27"/>
  <c r="I205" i="27"/>
  <c r="I206" i="27"/>
  <c r="I207" i="27"/>
  <c r="I208" i="27"/>
  <c r="I209" i="27"/>
  <c r="I203" i="27"/>
  <c r="C146" i="27"/>
  <c r="I146" i="27"/>
  <c r="C147" i="27"/>
  <c r="I147" i="27"/>
  <c r="C148" i="27"/>
  <c r="I148" i="27"/>
  <c r="C149" i="27"/>
  <c r="I149" i="27"/>
  <c r="C150" i="27"/>
  <c r="I150" i="27"/>
  <c r="C151" i="27"/>
  <c r="I151" i="27"/>
  <c r="I145" i="27"/>
  <c r="C145" i="27"/>
  <c r="B486" i="27"/>
  <c r="C486" i="27"/>
  <c r="N5" i="37"/>
  <c r="I486" i="27"/>
  <c r="O5" i="37"/>
  <c r="J486" i="27"/>
  <c r="P5" i="37"/>
  <c r="K486" i="27"/>
  <c r="L486" i="27"/>
  <c r="M486" i="27"/>
  <c r="N486" i="27"/>
  <c r="B468" i="27"/>
  <c r="C468" i="27"/>
  <c r="N6" i="37"/>
  <c r="I468" i="27"/>
  <c r="O6" i="37"/>
  <c r="J468" i="27"/>
  <c r="P6" i="37"/>
  <c r="K468" i="27"/>
  <c r="L468" i="27"/>
  <c r="M468" i="27"/>
  <c r="N468" i="27"/>
  <c r="B481" i="27"/>
  <c r="C481" i="27"/>
  <c r="N7" i="37"/>
  <c r="I481" i="27"/>
  <c r="O7" i="37"/>
  <c r="J481" i="27"/>
  <c r="P7" i="37"/>
  <c r="K481" i="27"/>
  <c r="L481" i="27"/>
  <c r="M481" i="27"/>
  <c r="N481" i="27"/>
  <c r="B495" i="27"/>
  <c r="C495" i="27"/>
  <c r="N8" i="37"/>
  <c r="I495" i="27"/>
  <c r="O8" i="37"/>
  <c r="J495" i="27"/>
  <c r="P8" i="37"/>
  <c r="K495" i="27"/>
  <c r="L495" i="27"/>
  <c r="M495" i="27"/>
  <c r="N495" i="27"/>
  <c r="B470" i="27"/>
  <c r="C470" i="27"/>
  <c r="N9" i="37"/>
  <c r="I470" i="27"/>
  <c r="O9" i="37"/>
  <c r="J470" i="27"/>
  <c r="P9" i="37"/>
  <c r="K470" i="27"/>
  <c r="L470" i="27"/>
  <c r="M470" i="27"/>
  <c r="N470" i="27"/>
  <c r="B484" i="27"/>
  <c r="C484" i="27"/>
  <c r="N10" i="37"/>
  <c r="I484" i="27"/>
  <c r="O10" i="37"/>
  <c r="J484" i="27"/>
  <c r="P10" i="37"/>
  <c r="K484" i="27"/>
  <c r="L484" i="27"/>
  <c r="M484" i="27"/>
  <c r="N484" i="27"/>
  <c r="B496" i="27"/>
  <c r="C496" i="27"/>
  <c r="N11" i="37"/>
  <c r="I496" i="27"/>
  <c r="O11" i="37"/>
  <c r="J496" i="27"/>
  <c r="P11" i="37"/>
  <c r="K496" i="27"/>
  <c r="L496" i="27"/>
  <c r="M496" i="27"/>
  <c r="N496" i="27"/>
  <c r="B472" i="27"/>
  <c r="C472" i="27"/>
  <c r="N12" i="37"/>
  <c r="I472" i="27"/>
  <c r="O12" i="37"/>
  <c r="J472" i="27"/>
  <c r="P12" i="37"/>
  <c r="K472" i="27"/>
  <c r="L472" i="27"/>
  <c r="M472" i="27"/>
  <c r="N472" i="27"/>
  <c r="B485" i="27"/>
  <c r="C485" i="27"/>
  <c r="N13" i="37"/>
  <c r="I485" i="27"/>
  <c r="O13" i="37"/>
  <c r="J485" i="27"/>
  <c r="P13" i="37"/>
  <c r="K485" i="27"/>
  <c r="L485" i="27"/>
  <c r="M485" i="27"/>
  <c r="N485" i="27"/>
  <c r="B498" i="27"/>
  <c r="C498" i="27"/>
  <c r="N14" i="37"/>
  <c r="I498" i="27"/>
  <c r="O14" i="37"/>
  <c r="J498" i="27"/>
  <c r="P14" i="37"/>
  <c r="K498" i="27"/>
  <c r="L498" i="27"/>
  <c r="M498" i="27"/>
  <c r="N498" i="27"/>
  <c r="B461" i="27"/>
  <c r="C461" i="27"/>
  <c r="N15" i="37"/>
  <c r="I461" i="27"/>
  <c r="O15" i="37"/>
  <c r="J461" i="27"/>
  <c r="P15" i="37"/>
  <c r="K461" i="27"/>
  <c r="L461" i="27"/>
  <c r="M461" i="27"/>
  <c r="N461" i="27"/>
  <c r="B474" i="27"/>
  <c r="C474" i="27"/>
  <c r="N16" i="37"/>
  <c r="I474" i="27"/>
  <c r="O16" i="37"/>
  <c r="J474" i="27"/>
  <c r="P16" i="37"/>
  <c r="K474" i="27"/>
  <c r="L474" i="27"/>
  <c r="M474" i="27"/>
  <c r="N474" i="27"/>
  <c r="B487" i="27"/>
  <c r="C487" i="27"/>
  <c r="N17" i="37"/>
  <c r="I487" i="27"/>
  <c r="O17" i="37"/>
  <c r="J487" i="27"/>
  <c r="P17" i="37"/>
  <c r="K487" i="27"/>
  <c r="L487" i="27"/>
  <c r="M487" i="27"/>
  <c r="N487" i="27"/>
  <c r="B464" i="27"/>
  <c r="C464" i="27"/>
  <c r="N18" i="37"/>
  <c r="I464" i="27"/>
  <c r="O18" i="37"/>
  <c r="J464" i="27"/>
  <c r="P18" i="37"/>
  <c r="K464" i="27"/>
  <c r="L464" i="27"/>
  <c r="M464" i="27"/>
  <c r="N464" i="27"/>
  <c r="B478" i="27"/>
  <c r="C478" i="27"/>
  <c r="N19" i="37"/>
  <c r="I478" i="27"/>
  <c r="O19" i="37"/>
  <c r="J478" i="27"/>
  <c r="P19" i="37"/>
  <c r="K478" i="27"/>
  <c r="L478" i="27"/>
  <c r="M478" i="27"/>
  <c r="N478" i="27"/>
  <c r="B491" i="27"/>
  <c r="C491" i="27"/>
  <c r="N20" i="37"/>
  <c r="I491" i="27"/>
  <c r="O20" i="37"/>
  <c r="J491" i="27"/>
  <c r="P20" i="37"/>
  <c r="K491" i="27"/>
  <c r="L491" i="27"/>
  <c r="M491" i="27"/>
  <c r="N491" i="27"/>
  <c r="B466" i="27"/>
  <c r="C466" i="27"/>
  <c r="N21" i="37"/>
  <c r="I466" i="27"/>
  <c r="O21" i="37"/>
  <c r="J466" i="27"/>
  <c r="P21" i="37"/>
  <c r="K466" i="27"/>
  <c r="L466" i="27"/>
  <c r="M466" i="27"/>
  <c r="N466" i="27"/>
  <c r="B479" i="27"/>
  <c r="C479" i="27"/>
  <c r="N22" i="37"/>
  <c r="I479" i="27"/>
  <c r="O22" i="37"/>
  <c r="J479" i="27"/>
  <c r="P22" i="37"/>
  <c r="K479" i="27"/>
  <c r="L479" i="27"/>
  <c r="M479" i="27"/>
  <c r="N479" i="27"/>
  <c r="B493" i="27"/>
  <c r="C493" i="27"/>
  <c r="N23" i="37"/>
  <c r="I493" i="27"/>
  <c r="O23" i="37"/>
  <c r="J493" i="27"/>
  <c r="P23" i="37"/>
  <c r="K493" i="27"/>
  <c r="L493" i="27"/>
  <c r="M493" i="27"/>
  <c r="N493" i="27"/>
  <c r="B463" i="27"/>
  <c r="C463" i="27"/>
  <c r="N24" i="37"/>
  <c r="I463" i="27"/>
  <c r="O24" i="37"/>
  <c r="J463" i="27"/>
  <c r="P24" i="37"/>
  <c r="K463" i="27"/>
  <c r="L463" i="27"/>
  <c r="M463" i="27"/>
  <c r="N463" i="27"/>
  <c r="B476" i="27"/>
  <c r="C476" i="27"/>
  <c r="N25" i="37"/>
  <c r="I476" i="27"/>
  <c r="O25" i="37"/>
  <c r="J476" i="27"/>
  <c r="P25" i="37"/>
  <c r="K476" i="27"/>
  <c r="L476" i="27"/>
  <c r="M476" i="27"/>
  <c r="N476" i="27"/>
  <c r="B489" i="27"/>
  <c r="C489" i="27"/>
  <c r="N26" i="37"/>
  <c r="I489" i="27"/>
  <c r="O26" i="37"/>
  <c r="J489" i="27"/>
  <c r="P26" i="37"/>
  <c r="K489" i="27"/>
  <c r="L489" i="27"/>
  <c r="M489" i="27"/>
  <c r="N489" i="27"/>
  <c r="B469" i="27"/>
  <c r="C469" i="27"/>
  <c r="N27" i="37"/>
  <c r="I469" i="27"/>
  <c r="O27" i="37"/>
  <c r="J469" i="27"/>
  <c r="P27" i="37"/>
  <c r="K469" i="27"/>
  <c r="L469" i="27"/>
  <c r="M469" i="27"/>
  <c r="N469" i="27"/>
  <c r="B482" i="27"/>
  <c r="C482" i="27"/>
  <c r="N28" i="37"/>
  <c r="I482" i="27"/>
  <c r="O28" i="37"/>
  <c r="J482" i="27"/>
  <c r="P28" i="37"/>
  <c r="K482" i="27"/>
  <c r="L482" i="27"/>
  <c r="M482" i="27"/>
  <c r="N482" i="27"/>
  <c r="B494" i="27"/>
  <c r="C494" i="27"/>
  <c r="N29" i="37"/>
  <c r="I494" i="27"/>
  <c r="O29" i="37"/>
  <c r="J494" i="27"/>
  <c r="P29" i="37"/>
  <c r="K494" i="27"/>
  <c r="L494" i="27"/>
  <c r="M494" i="27"/>
  <c r="N494" i="27"/>
  <c r="B471" i="27"/>
  <c r="C471" i="27"/>
  <c r="N30" i="37"/>
  <c r="I471" i="27"/>
  <c r="O30" i="37"/>
  <c r="J471" i="27"/>
  <c r="P30" i="37"/>
  <c r="K471" i="27"/>
  <c r="L471" i="27"/>
  <c r="M471" i="27"/>
  <c r="N471" i="27"/>
  <c r="B483" i="27"/>
  <c r="C483" i="27"/>
  <c r="N31" i="37"/>
  <c r="I483" i="27"/>
  <c r="O31" i="37"/>
  <c r="J483" i="27"/>
  <c r="P31" i="37"/>
  <c r="K483" i="27"/>
  <c r="L483" i="27"/>
  <c r="M483" i="27"/>
  <c r="N483" i="27"/>
  <c r="B497" i="27"/>
  <c r="C497" i="27"/>
  <c r="N32" i="37"/>
  <c r="I497" i="27"/>
  <c r="O32" i="37"/>
  <c r="J497" i="27"/>
  <c r="P32" i="37"/>
  <c r="K497" i="27"/>
  <c r="L497" i="27"/>
  <c r="M497" i="27"/>
  <c r="N497" i="27"/>
  <c r="B462" i="27"/>
  <c r="C462" i="27"/>
  <c r="N33" i="37"/>
  <c r="I462" i="27"/>
  <c r="O33" i="37"/>
  <c r="J462" i="27"/>
  <c r="P33" i="37"/>
  <c r="K462" i="27"/>
  <c r="L462" i="27"/>
  <c r="M462" i="27"/>
  <c r="N462" i="27"/>
  <c r="B475" i="27"/>
  <c r="C475" i="27"/>
  <c r="N34" i="37"/>
  <c r="I475" i="27"/>
  <c r="O34" i="37"/>
  <c r="J475" i="27"/>
  <c r="P34" i="37"/>
  <c r="K475" i="27"/>
  <c r="L475" i="27"/>
  <c r="M475" i="27"/>
  <c r="N475" i="27"/>
  <c r="B488" i="27"/>
  <c r="C488" i="27"/>
  <c r="N35" i="37"/>
  <c r="I488" i="27"/>
  <c r="O35" i="37"/>
  <c r="J488" i="27"/>
  <c r="P35" i="37"/>
  <c r="K488" i="27"/>
  <c r="L488" i="27"/>
  <c r="M488" i="27"/>
  <c r="N488" i="27"/>
  <c r="B465" i="27"/>
  <c r="C465" i="27"/>
  <c r="I465" i="27"/>
  <c r="M465" i="27"/>
  <c r="B477" i="27"/>
  <c r="C477" i="27"/>
  <c r="N37" i="37"/>
  <c r="I477" i="27"/>
  <c r="O37" i="37"/>
  <c r="J477" i="27"/>
  <c r="P37" i="37"/>
  <c r="K477" i="27"/>
  <c r="L477" i="27"/>
  <c r="M477" i="27"/>
  <c r="N477" i="27"/>
  <c r="B490" i="27"/>
  <c r="C490" i="27"/>
  <c r="N38" i="37"/>
  <c r="I490" i="27"/>
  <c r="O38" i="37"/>
  <c r="J490" i="27"/>
  <c r="P38" i="37"/>
  <c r="K490" i="27"/>
  <c r="L490" i="27"/>
  <c r="M490" i="27"/>
  <c r="N490" i="27"/>
  <c r="B467" i="27"/>
  <c r="C467" i="27"/>
  <c r="N39" i="37"/>
  <c r="I467" i="27"/>
  <c r="O39" i="37"/>
  <c r="J467" i="27"/>
  <c r="P39" i="37"/>
  <c r="K467" i="27"/>
  <c r="L467" i="27"/>
  <c r="M467" i="27"/>
  <c r="N467" i="27"/>
  <c r="B480" i="27"/>
  <c r="C480" i="27"/>
  <c r="N40" i="37"/>
  <c r="I480" i="27"/>
  <c r="O40" i="37"/>
  <c r="J480" i="27"/>
  <c r="P40" i="37"/>
  <c r="K480" i="27"/>
  <c r="L480" i="27"/>
  <c r="M480" i="27"/>
  <c r="N480" i="27"/>
  <c r="B492" i="27"/>
  <c r="C492" i="27"/>
  <c r="N41" i="37"/>
  <c r="I492" i="27"/>
  <c r="O41" i="37"/>
  <c r="J492" i="27"/>
  <c r="P41" i="37"/>
  <c r="K492" i="27"/>
  <c r="L492" i="27"/>
  <c r="M492" i="27"/>
  <c r="N492" i="27"/>
  <c r="N4" i="37"/>
  <c r="P4" i="37"/>
  <c r="K473" i="27"/>
  <c r="O4" i="37"/>
  <c r="J473" i="27"/>
  <c r="L473" i="27"/>
  <c r="N473" i="27"/>
  <c r="I473" i="27"/>
  <c r="M473" i="27"/>
  <c r="C473" i="27"/>
  <c r="B473" i="27"/>
  <c r="N3" i="37"/>
  <c r="P3" i="37"/>
  <c r="K460" i="27"/>
  <c r="O3" i="37"/>
  <c r="J460" i="27"/>
  <c r="L460" i="27"/>
  <c r="N460" i="27"/>
  <c r="I460" i="27"/>
  <c r="C460" i="27"/>
  <c r="B460" i="27"/>
  <c r="M460" i="27"/>
  <c r="M1028" i="27"/>
  <c r="M1029" i="27"/>
  <c r="M1030" i="27"/>
  <c r="M1031" i="27"/>
  <c r="M1032" i="27"/>
  <c r="M1033" i="27"/>
  <c r="M1034" i="27"/>
  <c r="M1035" i="27"/>
  <c r="M1036" i="27"/>
  <c r="M1037" i="27"/>
  <c r="M1038" i="27"/>
  <c r="M1039" i="27"/>
  <c r="M1040" i="27"/>
  <c r="M1041" i="27"/>
  <c r="M1042" i="27"/>
  <c r="M1043" i="27"/>
  <c r="M1044" i="27"/>
  <c r="M1045" i="27"/>
  <c r="M1046" i="27"/>
  <c r="C19" i="13"/>
  <c r="I1053" i="27"/>
  <c r="C20" i="13"/>
  <c r="I1048" i="27"/>
  <c r="C21" i="13"/>
  <c r="I1049" i="27"/>
  <c r="C22" i="13"/>
  <c r="I1061" i="27"/>
  <c r="C23" i="13"/>
  <c r="I1055" i="27"/>
  <c r="C24" i="13"/>
  <c r="I1057" i="27"/>
  <c r="C25" i="13"/>
  <c r="I1059" i="27"/>
  <c r="C31" i="13"/>
  <c r="I1051" i="27"/>
  <c r="C32" i="13"/>
  <c r="I1054" i="27"/>
  <c r="C33" i="13"/>
  <c r="I1047" i="27"/>
  <c r="C34" i="13"/>
  <c r="I1050" i="27"/>
  <c r="C35" i="13"/>
  <c r="I1062" i="27"/>
  <c r="C36" i="13"/>
  <c r="I1056" i="27"/>
  <c r="C37" i="13"/>
  <c r="I1058" i="27"/>
  <c r="C38" i="13"/>
  <c r="I1060" i="27"/>
  <c r="C39" i="13"/>
  <c r="I1052" i="27"/>
  <c r="M203" i="27"/>
  <c r="M204" i="27"/>
  <c r="M205" i="27"/>
  <c r="M206" i="27"/>
  <c r="M207" i="27"/>
  <c r="M208" i="27"/>
  <c r="M209" i="27"/>
  <c r="M630" i="27"/>
  <c r="M603" i="27"/>
  <c r="M605" i="27"/>
  <c r="M606" i="27"/>
  <c r="M604" i="27"/>
  <c r="M627" i="27"/>
  <c r="M607" i="27"/>
  <c r="M626" i="27"/>
  <c r="M608" i="27"/>
  <c r="M609" i="27"/>
  <c r="M625" i="27"/>
  <c r="M610" i="27"/>
  <c r="M611" i="27"/>
  <c r="M623" i="27"/>
  <c r="M612" i="27"/>
  <c r="M621" i="27"/>
  <c r="M629" i="27"/>
  <c r="M613" i="27"/>
  <c r="M614" i="27"/>
  <c r="M628" i="27"/>
  <c r="M615" i="27"/>
  <c r="M602" i="27"/>
  <c r="M618" i="27"/>
  <c r="M624" i="27"/>
  <c r="M616" i="27"/>
  <c r="M619" i="27"/>
  <c r="M620" i="27"/>
  <c r="M622" i="27"/>
  <c r="M617" i="27"/>
  <c r="M631" i="27"/>
  <c r="M693" i="27"/>
  <c r="M711" i="27"/>
  <c r="M769" i="27"/>
  <c r="M879" i="27"/>
  <c r="M935" i="27"/>
  <c r="M632" i="27"/>
  <c r="M694" i="27"/>
  <c r="M712" i="27"/>
  <c r="M789" i="27"/>
  <c r="M861" i="27"/>
  <c r="M936" i="27"/>
  <c r="M633" i="27"/>
  <c r="M732" i="27"/>
  <c r="M788" i="27"/>
  <c r="M857" i="27"/>
  <c r="M883" i="27"/>
  <c r="M939" i="27"/>
  <c r="M634" i="27"/>
  <c r="M702" i="27"/>
  <c r="M790" i="27"/>
  <c r="M862" i="27"/>
  <c r="M901" i="27"/>
  <c r="M940" i="27"/>
  <c r="M635" i="27"/>
  <c r="M713" i="27"/>
  <c r="M757" i="27"/>
  <c r="M827" i="27"/>
  <c r="M902" i="27"/>
  <c r="M941" i="27"/>
  <c r="M636" i="27"/>
  <c r="M746" i="27"/>
  <c r="M779" i="27"/>
  <c r="M804" i="27"/>
  <c r="M933" i="27"/>
  <c r="M942" i="27"/>
  <c r="M637" i="27"/>
  <c r="M758" i="27"/>
  <c r="M791" i="27"/>
  <c r="M828" i="27"/>
  <c r="M903" i="27"/>
  <c r="M943" i="27"/>
  <c r="M638" i="27"/>
  <c r="M801" i="27"/>
  <c r="M811" i="27"/>
  <c r="M835" i="27"/>
  <c r="M884" i="27"/>
  <c r="M944" i="27"/>
  <c r="M639" i="27"/>
  <c r="M780" i="27"/>
  <c r="M829" i="27"/>
  <c r="M863" i="27"/>
  <c r="M904" i="27"/>
  <c r="M945" i="27"/>
  <c r="M640" i="27"/>
  <c r="M816" i="27"/>
  <c r="M836" i="27"/>
  <c r="M850" i="27"/>
  <c r="M899" i="27"/>
  <c r="M641" i="27"/>
  <c r="M805" i="27"/>
  <c r="M830" i="27"/>
  <c r="M864" i="27"/>
  <c r="M905" i="27"/>
  <c r="M946" i="27"/>
  <c r="M674" i="27"/>
  <c r="M781" i="27"/>
  <c r="M812" i="27"/>
  <c r="M846" i="27"/>
  <c r="M885" i="27"/>
  <c r="M947" i="27"/>
  <c r="M1001" i="27"/>
  <c r="M1007" i="27"/>
  <c r="M679" i="27"/>
  <c r="M806" i="27"/>
  <c r="M837" i="27"/>
  <c r="M865" i="27"/>
  <c r="M906" i="27"/>
  <c r="M948" i="27"/>
  <c r="M671" i="27"/>
  <c r="M770" i="27"/>
  <c r="M802" i="27"/>
  <c r="M831" i="27"/>
  <c r="M900" i="27"/>
  <c r="M949" i="27"/>
  <c r="M676" i="27"/>
  <c r="M792" i="27"/>
  <c r="M817" i="27"/>
  <c r="M851" i="27"/>
  <c r="M886" i="27"/>
  <c r="M950" i="27"/>
  <c r="M680" i="27"/>
  <c r="M793" i="27"/>
  <c r="M838" i="27"/>
  <c r="M866" i="27"/>
  <c r="M934" i="27"/>
  <c r="M951" i="27"/>
  <c r="M681" i="27"/>
  <c r="M726" i="27"/>
  <c r="M839" i="27"/>
  <c r="M867" i="27"/>
  <c r="M907" i="27"/>
  <c r="M952" i="27"/>
  <c r="M994" i="27"/>
  <c r="M1008" i="27"/>
  <c r="M689" i="27"/>
  <c r="M832" i="27"/>
  <c r="M868" i="27"/>
  <c r="M908" i="27"/>
  <c r="M937" i="27"/>
  <c r="M995" i="27"/>
  <c r="M685" i="27"/>
  <c r="M840" i="27"/>
  <c r="M852" i="27"/>
  <c r="M869" i="27"/>
  <c r="M909" i="27"/>
  <c r="M953" i="27"/>
  <c r="M690" i="27"/>
  <c r="M833" i="27"/>
  <c r="M870" i="27"/>
  <c r="M878" i="27"/>
  <c r="M910" i="27"/>
  <c r="M954" i="27"/>
  <c r="M686" i="27"/>
  <c r="M841" i="27"/>
  <c r="M853" i="27"/>
  <c r="M871" i="27"/>
  <c r="M911" i="27"/>
  <c r="M955" i="27"/>
  <c r="M682" i="27"/>
  <c r="M813" i="27"/>
  <c r="M845" i="27"/>
  <c r="M858" i="27"/>
  <c r="M887" i="27"/>
  <c r="M956" i="27"/>
  <c r="M677" i="27"/>
  <c r="M807" i="27"/>
  <c r="M818" i="27"/>
  <c r="M842" i="27"/>
  <c r="M912" i="27"/>
  <c r="M957" i="27"/>
  <c r="M672" i="27"/>
  <c r="M782" i="27"/>
  <c r="M803" i="27"/>
  <c r="M819" i="27"/>
  <c r="M888" i="27"/>
  <c r="M958" i="27"/>
  <c r="M996" i="27"/>
  <c r="M1009" i="27"/>
  <c r="M666" i="27"/>
  <c r="M755" i="27"/>
  <c r="M774" i="27"/>
  <c r="M783" i="27"/>
  <c r="M880" i="27"/>
  <c r="M959" i="27"/>
  <c r="M657" i="27"/>
  <c r="M714" i="27"/>
  <c r="M751" i="27"/>
  <c r="M759" i="27"/>
  <c r="M913" i="27"/>
  <c r="M960" i="27"/>
  <c r="M658" i="27"/>
  <c r="M721" i="27"/>
  <c r="M743" i="27"/>
  <c r="M771" i="27"/>
  <c r="M889" i="27"/>
  <c r="M961" i="27"/>
  <c r="M644" i="27"/>
  <c r="M699" i="27"/>
  <c r="M709" i="27"/>
  <c r="M733" i="27"/>
  <c r="M872" i="27"/>
  <c r="M962" i="27"/>
  <c r="M997" i="27"/>
  <c r="M1010" i="27"/>
  <c r="M652" i="27"/>
  <c r="M704" i="27"/>
  <c r="M734" i="27"/>
  <c r="M775" i="27"/>
  <c r="M914" i="27"/>
  <c r="M963" i="27"/>
  <c r="M659" i="27"/>
  <c r="M735" i="27"/>
  <c r="M760" i="27"/>
  <c r="M794" i="27"/>
  <c r="M873" i="27"/>
  <c r="M964" i="27"/>
  <c r="M660" i="27"/>
  <c r="M736" i="27"/>
  <c r="M761" i="27"/>
  <c r="M820" i="27"/>
  <c r="M890" i="27"/>
  <c r="M965" i="27"/>
  <c r="M998" i="27"/>
  <c r="M1005" i="27"/>
  <c r="M646" i="27"/>
  <c r="M705" i="27"/>
  <c r="M719" i="27"/>
  <c r="M747" i="27"/>
  <c r="M881" i="27"/>
  <c r="M966" i="27"/>
  <c r="M647" i="27"/>
  <c r="M706" i="27"/>
  <c r="M715" i="27"/>
  <c r="M722" i="27"/>
  <c r="M915" i="27"/>
  <c r="M967" i="27"/>
  <c r="M653" i="27"/>
  <c r="M723" i="27"/>
  <c r="M744" i="27"/>
  <c r="M784" i="27"/>
  <c r="M891" i="27"/>
  <c r="M991" i="27"/>
  <c r="M664" i="27"/>
  <c r="M752" i="27"/>
  <c r="M768" i="27"/>
  <c r="M773" i="27"/>
  <c r="M916" i="27"/>
  <c r="M968" i="27"/>
  <c r="M669" i="27"/>
  <c r="M762" i="27"/>
  <c r="M795" i="27"/>
  <c r="M814" i="27"/>
  <c r="M892" i="27"/>
  <c r="M969" i="27"/>
  <c r="M670" i="27"/>
  <c r="M776" i="27"/>
  <c r="M796" i="27"/>
  <c r="M808" i="27"/>
  <c r="M917" i="27"/>
  <c r="M970" i="27"/>
  <c r="M691" i="27"/>
  <c r="M821" i="27"/>
  <c r="M854" i="27"/>
  <c r="M877" i="27"/>
  <c r="M918" i="27"/>
  <c r="M971" i="27"/>
  <c r="M1002" i="27"/>
  <c r="M1011" i="27"/>
  <c r="M678" i="27"/>
  <c r="M797" i="27"/>
  <c r="M822" i="27"/>
  <c r="M847" i="27"/>
  <c r="M919" i="27"/>
  <c r="M972" i="27"/>
  <c r="M673" i="27"/>
  <c r="M763" i="27"/>
  <c r="M798" i="27"/>
  <c r="M823" i="27"/>
  <c r="M893" i="27"/>
  <c r="M973" i="27"/>
  <c r="M683" i="27"/>
  <c r="M824" i="27"/>
  <c r="M843" i="27"/>
  <c r="M855" i="27"/>
  <c r="M920" i="27"/>
  <c r="M974" i="27"/>
  <c r="M999" i="27"/>
  <c r="M1006" i="27"/>
  <c r="M1015" i="27"/>
  <c r="M1016" i="27"/>
  <c r="M1017" i="27"/>
  <c r="M1018" i="27"/>
  <c r="M1019" i="27"/>
  <c r="M688" i="27"/>
  <c r="M856" i="27"/>
  <c r="M859" i="27"/>
  <c r="M874" i="27"/>
  <c r="M921" i="27"/>
  <c r="M975" i="27"/>
  <c r="M687" i="27"/>
  <c r="M809" i="27"/>
  <c r="M848" i="27"/>
  <c r="M860" i="27"/>
  <c r="M898" i="27"/>
  <c r="M938" i="27"/>
  <c r="M1003" i="27"/>
  <c r="M1012" i="27"/>
  <c r="M684" i="27"/>
  <c r="M834" i="27"/>
  <c r="M844" i="27"/>
  <c r="M875" i="27"/>
  <c r="M922" i="27"/>
  <c r="M976" i="27"/>
  <c r="M675" i="27"/>
  <c r="M799" i="27"/>
  <c r="M825" i="27"/>
  <c r="M849" i="27"/>
  <c r="M923" i="27"/>
  <c r="M665" i="27"/>
  <c r="M764" i="27"/>
  <c r="M772" i="27"/>
  <c r="M800" i="27"/>
  <c r="M924" i="27"/>
  <c r="M977" i="27"/>
  <c r="M661" i="27"/>
  <c r="M728" i="27"/>
  <c r="M750" i="27"/>
  <c r="M785" i="27"/>
  <c r="M894" i="27"/>
  <c r="M978" i="27"/>
  <c r="M654" i="27"/>
  <c r="M716" i="27"/>
  <c r="M737" i="27"/>
  <c r="M748" i="27"/>
  <c r="M925" i="27"/>
  <c r="M979" i="27"/>
  <c r="M667" i="27"/>
  <c r="M753" i="27"/>
  <c r="M777" i="27"/>
  <c r="M815" i="27"/>
  <c r="M895" i="27"/>
  <c r="M992" i="27"/>
  <c r="M1000" i="27"/>
  <c r="M1013" i="27"/>
  <c r="M668" i="27"/>
  <c r="M765" i="27"/>
  <c r="M778" i="27"/>
  <c r="M810" i="27"/>
  <c r="M926" i="27"/>
  <c r="M980" i="27"/>
  <c r="M662" i="27"/>
  <c r="M738" i="27"/>
  <c r="M756" i="27"/>
  <c r="M786" i="27"/>
  <c r="M896" i="27"/>
  <c r="M981" i="27"/>
  <c r="M655" i="27"/>
  <c r="M729" i="27"/>
  <c r="M742" i="27"/>
  <c r="M766" i="27"/>
  <c r="M927" i="27"/>
  <c r="M982" i="27"/>
  <c r="M651" i="27"/>
  <c r="M724" i="27"/>
  <c r="M731" i="27"/>
  <c r="M749" i="27"/>
  <c r="M928" i="27"/>
  <c r="M983" i="27"/>
  <c r="M648" i="27"/>
  <c r="M697" i="27"/>
  <c r="M710" i="27"/>
  <c r="M739" i="27"/>
  <c r="M876" i="27"/>
  <c r="M984" i="27"/>
  <c r="M656" i="27"/>
  <c r="M730" i="27"/>
  <c r="M745" i="27"/>
  <c r="M754" i="27"/>
  <c r="M929" i="27"/>
  <c r="M985" i="27"/>
  <c r="M663" i="27"/>
  <c r="M740" i="27"/>
  <c r="M767" i="27"/>
  <c r="M787" i="27"/>
  <c r="M897" i="27"/>
  <c r="M993" i="27"/>
  <c r="M1004" i="27"/>
  <c r="M1014" i="27"/>
  <c r="M649" i="27"/>
  <c r="M707" i="27"/>
  <c r="M720" i="27"/>
  <c r="M727" i="27"/>
  <c r="M930" i="27"/>
  <c r="M986" i="27"/>
  <c r="M650" i="27"/>
  <c r="M700" i="27"/>
  <c r="M717" i="27"/>
  <c r="M741" i="27"/>
  <c r="M882" i="27"/>
  <c r="M987" i="27"/>
  <c r="M645" i="27"/>
  <c r="M696" i="27"/>
  <c r="M703" i="27"/>
  <c r="M708" i="27"/>
  <c r="M931" i="27"/>
  <c r="M988" i="27"/>
  <c r="M642" i="27"/>
  <c r="M692" i="27"/>
  <c r="M698" i="27"/>
  <c r="M718" i="27"/>
  <c r="M826" i="27"/>
  <c r="M989" i="27"/>
  <c r="M643" i="27"/>
  <c r="M695" i="27"/>
  <c r="M701" i="27"/>
  <c r="M725" i="27"/>
  <c r="M932" i="27"/>
  <c r="M990" i="27"/>
  <c r="M146" i="27"/>
  <c r="M147" i="27"/>
  <c r="M148" i="27"/>
  <c r="M149" i="27"/>
  <c r="M150" i="27"/>
  <c r="M151" i="27"/>
  <c r="I411" i="27"/>
  <c r="M411" i="27"/>
  <c r="I412" i="27"/>
  <c r="M412" i="27"/>
  <c r="I413" i="27"/>
  <c r="M413" i="27"/>
  <c r="I410" i="27"/>
  <c r="M410" i="27"/>
  <c r="M145" i="27"/>
  <c r="B693" i="27"/>
  <c r="B711" i="27"/>
  <c r="B769" i="27"/>
  <c r="B879" i="27"/>
  <c r="B935" i="27"/>
  <c r="B632" i="27"/>
  <c r="B694" i="27"/>
  <c r="B712" i="27"/>
  <c r="B789" i="27"/>
  <c r="B861" i="27"/>
  <c r="B936" i="27"/>
  <c r="B633" i="27"/>
  <c r="B732" i="27"/>
  <c r="B788" i="27"/>
  <c r="B857" i="27"/>
  <c r="B883" i="27"/>
  <c r="B939" i="27"/>
  <c r="B634" i="27"/>
  <c r="B702" i="27"/>
  <c r="B790" i="27"/>
  <c r="B862" i="27"/>
  <c r="B901" i="27"/>
  <c r="B940" i="27"/>
  <c r="B635" i="27"/>
  <c r="B713" i="27"/>
  <c r="B757" i="27"/>
  <c r="B827" i="27"/>
  <c r="B902" i="27"/>
  <c r="B941" i="27"/>
  <c r="B636" i="27"/>
  <c r="B746" i="27"/>
  <c r="B779" i="27"/>
  <c r="B804" i="27"/>
  <c r="B933" i="27"/>
  <c r="B942" i="27"/>
  <c r="B637" i="27"/>
  <c r="B758" i="27"/>
  <c r="B791" i="27"/>
  <c r="B828" i="27"/>
  <c r="B903" i="27"/>
  <c r="B943" i="27"/>
  <c r="B638" i="27"/>
  <c r="B801" i="27"/>
  <c r="B811" i="27"/>
  <c r="B835" i="27"/>
  <c r="B884" i="27"/>
  <c r="B944" i="27"/>
  <c r="B639" i="27"/>
  <c r="B780" i="27"/>
  <c r="B829" i="27"/>
  <c r="B863" i="27"/>
  <c r="B904" i="27"/>
  <c r="B945" i="27"/>
  <c r="B640" i="27"/>
  <c r="B816" i="27"/>
  <c r="B836" i="27"/>
  <c r="B850" i="27"/>
  <c r="B899" i="27"/>
  <c r="B641" i="27"/>
  <c r="B805" i="27"/>
  <c r="B830" i="27"/>
  <c r="B864" i="27"/>
  <c r="B905" i="27"/>
  <c r="B946" i="27"/>
  <c r="B674" i="27"/>
  <c r="B781" i="27"/>
  <c r="B812" i="27"/>
  <c r="B846" i="27"/>
  <c r="B885" i="27"/>
  <c r="B947" i="27"/>
  <c r="B1001" i="27"/>
  <c r="B1007" i="27"/>
  <c r="B679" i="27"/>
  <c r="B806" i="27"/>
  <c r="B837" i="27"/>
  <c r="B865" i="27"/>
  <c r="B906" i="27"/>
  <c r="B948" i="27"/>
  <c r="B671" i="27"/>
  <c r="B770" i="27"/>
  <c r="B802" i="27"/>
  <c r="B831" i="27"/>
  <c r="B900" i="27"/>
  <c r="B949" i="27"/>
  <c r="B676" i="27"/>
  <c r="B792" i="27"/>
  <c r="B817" i="27"/>
  <c r="B851" i="27"/>
  <c r="B886" i="27"/>
  <c r="B950" i="27"/>
  <c r="B680" i="27"/>
  <c r="B793" i="27"/>
  <c r="B838" i="27"/>
  <c r="B866" i="27"/>
  <c r="B934" i="27"/>
  <c r="B951" i="27"/>
  <c r="B681" i="27"/>
  <c r="B726" i="27"/>
  <c r="B839" i="27"/>
  <c r="B867" i="27"/>
  <c r="B907" i="27"/>
  <c r="B952" i="27"/>
  <c r="B994" i="27"/>
  <c r="B1008" i="27"/>
  <c r="B689" i="27"/>
  <c r="B832" i="27"/>
  <c r="B868" i="27"/>
  <c r="B908" i="27"/>
  <c r="B937" i="27"/>
  <c r="B995" i="27"/>
  <c r="B685" i="27"/>
  <c r="B840" i="27"/>
  <c r="B852" i="27"/>
  <c r="B869" i="27"/>
  <c r="B909" i="27"/>
  <c r="B953" i="27"/>
  <c r="B690" i="27"/>
  <c r="B833" i="27"/>
  <c r="B870" i="27"/>
  <c r="B878" i="27"/>
  <c r="B910" i="27"/>
  <c r="B954" i="27"/>
  <c r="B686" i="27"/>
  <c r="B841" i="27"/>
  <c r="B853" i="27"/>
  <c r="B871" i="27"/>
  <c r="B911" i="27"/>
  <c r="B955" i="27"/>
  <c r="B682" i="27"/>
  <c r="B813" i="27"/>
  <c r="B845" i="27"/>
  <c r="B858" i="27"/>
  <c r="B887" i="27"/>
  <c r="B956" i="27"/>
  <c r="B677" i="27"/>
  <c r="B807" i="27"/>
  <c r="B818" i="27"/>
  <c r="B842" i="27"/>
  <c r="B912" i="27"/>
  <c r="B957" i="27"/>
  <c r="B672" i="27"/>
  <c r="B782" i="27"/>
  <c r="B803" i="27"/>
  <c r="B819" i="27"/>
  <c r="B888" i="27"/>
  <c r="B958" i="27"/>
  <c r="B996" i="27"/>
  <c r="B1009" i="27"/>
  <c r="B666" i="27"/>
  <c r="B755" i="27"/>
  <c r="B774" i="27"/>
  <c r="B783" i="27"/>
  <c r="B880" i="27"/>
  <c r="B959" i="27"/>
  <c r="B657" i="27"/>
  <c r="B714" i="27"/>
  <c r="B751" i="27"/>
  <c r="B759" i="27"/>
  <c r="B913" i="27"/>
  <c r="B960" i="27"/>
  <c r="B658" i="27"/>
  <c r="B721" i="27"/>
  <c r="B743" i="27"/>
  <c r="B771" i="27"/>
  <c r="B889" i="27"/>
  <c r="B961" i="27"/>
  <c r="B644" i="27"/>
  <c r="B699" i="27"/>
  <c r="B709" i="27"/>
  <c r="B733" i="27"/>
  <c r="B872" i="27"/>
  <c r="B962" i="27"/>
  <c r="B997" i="27"/>
  <c r="B1010" i="27"/>
  <c r="B652" i="27"/>
  <c r="B704" i="27"/>
  <c r="B734" i="27"/>
  <c r="B775" i="27"/>
  <c r="B914" i="27"/>
  <c r="B963" i="27"/>
  <c r="B659" i="27"/>
  <c r="B735" i="27"/>
  <c r="B760" i="27"/>
  <c r="B794" i="27"/>
  <c r="B873" i="27"/>
  <c r="B964" i="27"/>
  <c r="B660" i="27"/>
  <c r="B736" i="27"/>
  <c r="B761" i="27"/>
  <c r="B820" i="27"/>
  <c r="B890" i="27"/>
  <c r="B965" i="27"/>
  <c r="B998" i="27"/>
  <c r="B1005" i="27"/>
  <c r="B646" i="27"/>
  <c r="B705" i="27"/>
  <c r="B719" i="27"/>
  <c r="B747" i="27"/>
  <c r="B881" i="27"/>
  <c r="B966" i="27"/>
  <c r="B647" i="27"/>
  <c r="B706" i="27"/>
  <c r="B715" i="27"/>
  <c r="B722" i="27"/>
  <c r="B915" i="27"/>
  <c r="B967" i="27"/>
  <c r="B653" i="27"/>
  <c r="B723" i="27"/>
  <c r="B744" i="27"/>
  <c r="B784" i="27"/>
  <c r="B891" i="27"/>
  <c r="B991" i="27"/>
  <c r="B664" i="27"/>
  <c r="B752" i="27"/>
  <c r="B768" i="27"/>
  <c r="B773" i="27"/>
  <c r="B916" i="27"/>
  <c r="B968" i="27"/>
  <c r="B669" i="27"/>
  <c r="B762" i="27"/>
  <c r="B795" i="27"/>
  <c r="B814" i="27"/>
  <c r="B892" i="27"/>
  <c r="B969" i="27"/>
  <c r="B670" i="27"/>
  <c r="B776" i="27"/>
  <c r="B796" i="27"/>
  <c r="B808" i="27"/>
  <c r="B917" i="27"/>
  <c r="B970" i="27"/>
  <c r="B691" i="27"/>
  <c r="B821" i="27"/>
  <c r="B854" i="27"/>
  <c r="B877" i="27"/>
  <c r="B918" i="27"/>
  <c r="B971" i="27"/>
  <c r="B1002" i="27"/>
  <c r="B1011" i="27"/>
  <c r="B678" i="27"/>
  <c r="B797" i="27"/>
  <c r="B822" i="27"/>
  <c r="B847" i="27"/>
  <c r="B919" i="27"/>
  <c r="B972" i="27"/>
  <c r="B673" i="27"/>
  <c r="B763" i="27"/>
  <c r="B798" i="27"/>
  <c r="B823" i="27"/>
  <c r="B893" i="27"/>
  <c r="B973" i="27"/>
  <c r="B683" i="27"/>
  <c r="B824" i="27"/>
  <c r="B843" i="27"/>
  <c r="B855" i="27"/>
  <c r="B920" i="27"/>
  <c r="B974" i="27"/>
  <c r="B999" i="27"/>
  <c r="B1006" i="27"/>
  <c r="B1015" i="27"/>
  <c r="B1016" i="27"/>
  <c r="B1017" i="27"/>
  <c r="B1018" i="27"/>
  <c r="B1019" i="27"/>
  <c r="B688" i="27"/>
  <c r="B856" i="27"/>
  <c r="B859" i="27"/>
  <c r="B874" i="27"/>
  <c r="B921" i="27"/>
  <c r="B975" i="27"/>
  <c r="B687" i="27"/>
  <c r="B809" i="27"/>
  <c r="B848" i="27"/>
  <c r="B860" i="27"/>
  <c r="B898" i="27"/>
  <c r="B938" i="27"/>
  <c r="B1003" i="27"/>
  <c r="B1012" i="27"/>
  <c r="B684" i="27"/>
  <c r="B834" i="27"/>
  <c r="B844" i="27"/>
  <c r="B875" i="27"/>
  <c r="B922" i="27"/>
  <c r="B976" i="27"/>
  <c r="B675" i="27"/>
  <c r="B799" i="27"/>
  <c r="B825" i="27"/>
  <c r="B849" i="27"/>
  <c r="B923" i="27"/>
  <c r="B665" i="27"/>
  <c r="B764" i="27"/>
  <c r="B772" i="27"/>
  <c r="B800" i="27"/>
  <c r="B924" i="27"/>
  <c r="B977" i="27"/>
  <c r="B661" i="27"/>
  <c r="B728" i="27"/>
  <c r="B750" i="27"/>
  <c r="B785" i="27"/>
  <c r="B894" i="27"/>
  <c r="B978" i="27"/>
  <c r="B654" i="27"/>
  <c r="B716" i="27"/>
  <c r="B737" i="27"/>
  <c r="B748" i="27"/>
  <c r="B925" i="27"/>
  <c r="B979" i="27"/>
  <c r="B667" i="27"/>
  <c r="B753" i="27"/>
  <c r="B777" i="27"/>
  <c r="B815" i="27"/>
  <c r="B895" i="27"/>
  <c r="B992" i="27"/>
  <c r="B1000" i="27"/>
  <c r="B1013" i="27"/>
  <c r="B668" i="27"/>
  <c r="B765" i="27"/>
  <c r="B778" i="27"/>
  <c r="B810" i="27"/>
  <c r="B926" i="27"/>
  <c r="B980" i="27"/>
  <c r="B662" i="27"/>
  <c r="B738" i="27"/>
  <c r="B756" i="27"/>
  <c r="B786" i="27"/>
  <c r="B896" i="27"/>
  <c r="B981" i="27"/>
  <c r="B655" i="27"/>
  <c r="B729" i="27"/>
  <c r="B742" i="27"/>
  <c r="B766" i="27"/>
  <c r="B927" i="27"/>
  <c r="B982" i="27"/>
  <c r="B651" i="27"/>
  <c r="B724" i="27"/>
  <c r="B731" i="27"/>
  <c r="B749" i="27"/>
  <c r="B928" i="27"/>
  <c r="B983" i="27"/>
  <c r="B648" i="27"/>
  <c r="B697" i="27"/>
  <c r="B710" i="27"/>
  <c r="B739" i="27"/>
  <c r="B876" i="27"/>
  <c r="B984" i="27"/>
  <c r="B656" i="27"/>
  <c r="B730" i="27"/>
  <c r="B745" i="27"/>
  <c r="B754" i="27"/>
  <c r="B929" i="27"/>
  <c r="B985" i="27"/>
  <c r="B663" i="27"/>
  <c r="B740" i="27"/>
  <c r="B767" i="27"/>
  <c r="B787" i="27"/>
  <c r="B897" i="27"/>
  <c r="B993" i="27"/>
  <c r="B1004" i="27"/>
  <c r="B1014" i="27"/>
  <c r="B649" i="27"/>
  <c r="B707" i="27"/>
  <c r="B720" i="27"/>
  <c r="B727" i="27"/>
  <c r="B930" i="27"/>
  <c r="B986" i="27"/>
  <c r="B650" i="27"/>
  <c r="B700" i="27"/>
  <c r="B717" i="27"/>
  <c r="B741" i="27"/>
  <c r="B882" i="27"/>
  <c r="B987" i="27"/>
  <c r="B645" i="27"/>
  <c r="B696" i="27"/>
  <c r="B703" i="27"/>
  <c r="B708" i="27"/>
  <c r="B931" i="27"/>
  <c r="B988" i="27"/>
  <c r="B642" i="27"/>
  <c r="B692" i="27"/>
  <c r="B698" i="27"/>
  <c r="B718" i="27"/>
  <c r="B826" i="27"/>
  <c r="B989" i="27"/>
  <c r="B643" i="27"/>
  <c r="B695" i="27"/>
  <c r="B701" i="27"/>
  <c r="B725" i="27"/>
  <c r="B932" i="27"/>
  <c r="B990" i="27"/>
  <c r="B631" i="27"/>
  <c r="C1005" i="27"/>
  <c r="C646" i="27"/>
  <c r="C705" i="27"/>
  <c r="C719" i="27"/>
  <c r="C747" i="27"/>
  <c r="C881" i="27"/>
  <c r="C966" i="27"/>
  <c r="C647" i="27"/>
  <c r="C706" i="27"/>
  <c r="C715" i="27"/>
  <c r="C722" i="27"/>
  <c r="C915" i="27"/>
  <c r="C967" i="27"/>
  <c r="C653" i="27"/>
  <c r="C723" i="27"/>
  <c r="C744" i="27"/>
  <c r="C784" i="27"/>
  <c r="C891" i="27"/>
  <c r="C991" i="27"/>
  <c r="C664" i="27"/>
  <c r="C752" i="27"/>
  <c r="C768" i="27"/>
  <c r="C773" i="27"/>
  <c r="C916" i="27"/>
  <c r="C968" i="27"/>
  <c r="C669" i="27"/>
  <c r="C762" i="27"/>
  <c r="C795" i="27"/>
  <c r="C814" i="27"/>
  <c r="C892" i="27"/>
  <c r="C969" i="27"/>
  <c r="C670" i="27"/>
  <c r="C776" i="27"/>
  <c r="C796" i="27"/>
  <c r="C808" i="27"/>
  <c r="C917" i="27"/>
  <c r="C970" i="27"/>
  <c r="C691" i="27"/>
  <c r="C821" i="27"/>
  <c r="C854" i="27"/>
  <c r="C877" i="27"/>
  <c r="C918" i="27"/>
  <c r="C971" i="27"/>
  <c r="C1002" i="27"/>
  <c r="C1011" i="27"/>
  <c r="C678" i="27"/>
  <c r="C797" i="27"/>
  <c r="C822" i="27"/>
  <c r="C847" i="27"/>
  <c r="C919" i="27"/>
  <c r="C972" i="27"/>
  <c r="C673" i="27"/>
  <c r="C763" i="27"/>
  <c r="C798" i="27"/>
  <c r="C823" i="27"/>
  <c r="C893" i="27"/>
  <c r="C973" i="27"/>
  <c r="C683" i="27"/>
  <c r="C824" i="27"/>
  <c r="C843" i="27"/>
  <c r="C855" i="27"/>
  <c r="C920" i="27"/>
  <c r="C974" i="27"/>
  <c r="C999" i="27"/>
  <c r="C1006" i="27"/>
  <c r="C1015" i="27"/>
  <c r="C1016" i="27"/>
  <c r="C1017" i="27"/>
  <c r="C1018" i="27"/>
  <c r="C1019" i="27"/>
  <c r="C688" i="27"/>
  <c r="C856" i="27"/>
  <c r="C859" i="27"/>
  <c r="C874" i="27"/>
  <c r="C921" i="27"/>
  <c r="C975" i="27"/>
  <c r="C687" i="27"/>
  <c r="C809" i="27"/>
  <c r="C848" i="27"/>
  <c r="C860" i="27"/>
  <c r="C898" i="27"/>
  <c r="C938" i="27"/>
  <c r="C1003" i="27"/>
  <c r="C1012" i="27"/>
  <c r="C684" i="27"/>
  <c r="C834" i="27"/>
  <c r="C844" i="27"/>
  <c r="C875" i="27"/>
  <c r="C922" i="27"/>
  <c r="C976" i="27"/>
  <c r="C675" i="27"/>
  <c r="C799" i="27"/>
  <c r="C825" i="27"/>
  <c r="C849" i="27"/>
  <c r="C923" i="27"/>
  <c r="C665" i="27"/>
  <c r="C764" i="27"/>
  <c r="C772" i="27"/>
  <c r="C800" i="27"/>
  <c r="C924" i="27"/>
  <c r="C977" i="27"/>
  <c r="C661" i="27"/>
  <c r="C728" i="27"/>
  <c r="C750" i="27"/>
  <c r="C785" i="27"/>
  <c r="C894" i="27"/>
  <c r="C978" i="27"/>
  <c r="C654" i="27"/>
  <c r="C716" i="27"/>
  <c r="C737" i="27"/>
  <c r="C748" i="27"/>
  <c r="C925" i="27"/>
  <c r="C979" i="27"/>
  <c r="C667" i="27"/>
  <c r="C753" i="27"/>
  <c r="C777" i="27"/>
  <c r="C815" i="27"/>
  <c r="C895" i="27"/>
  <c r="C992" i="27"/>
  <c r="C1000" i="27"/>
  <c r="C1013" i="27"/>
  <c r="C668" i="27"/>
  <c r="C765" i="27"/>
  <c r="C778" i="27"/>
  <c r="C810" i="27"/>
  <c r="C926" i="27"/>
  <c r="C980" i="27"/>
  <c r="C662" i="27"/>
  <c r="C738" i="27"/>
  <c r="C756" i="27"/>
  <c r="C786" i="27"/>
  <c r="C896" i="27"/>
  <c r="C981" i="27"/>
  <c r="C655" i="27"/>
  <c r="C729" i="27"/>
  <c r="C742" i="27"/>
  <c r="C766" i="27"/>
  <c r="C927" i="27"/>
  <c r="C982" i="27"/>
  <c r="C651" i="27"/>
  <c r="C724" i="27"/>
  <c r="C731" i="27"/>
  <c r="C749" i="27"/>
  <c r="C928" i="27"/>
  <c r="C983" i="27"/>
  <c r="C648" i="27"/>
  <c r="C697" i="27"/>
  <c r="C710" i="27"/>
  <c r="C739" i="27"/>
  <c r="C876" i="27"/>
  <c r="C984" i="27"/>
  <c r="C656" i="27"/>
  <c r="C730" i="27"/>
  <c r="C745" i="27"/>
  <c r="C754" i="27"/>
  <c r="C929" i="27"/>
  <c r="C985" i="27"/>
  <c r="C663" i="27"/>
  <c r="C740" i="27"/>
  <c r="C767" i="27"/>
  <c r="C787" i="27"/>
  <c r="C897" i="27"/>
  <c r="C993" i="27"/>
  <c r="C1004" i="27"/>
  <c r="C1014" i="27"/>
  <c r="C649" i="27"/>
  <c r="C707" i="27"/>
  <c r="C720" i="27"/>
  <c r="C727" i="27"/>
  <c r="C930" i="27"/>
  <c r="C986" i="27"/>
  <c r="C650" i="27"/>
  <c r="C700" i="27"/>
  <c r="C717" i="27"/>
  <c r="C741" i="27"/>
  <c r="C882" i="27"/>
  <c r="C987" i="27"/>
  <c r="C645" i="27"/>
  <c r="C696" i="27"/>
  <c r="C703" i="27"/>
  <c r="C708" i="27"/>
  <c r="C931" i="27"/>
  <c r="C988" i="27"/>
  <c r="C642" i="27"/>
  <c r="C692" i="27"/>
  <c r="C698" i="27"/>
  <c r="C718" i="27"/>
  <c r="C826" i="27"/>
  <c r="C989" i="27"/>
  <c r="C643" i="27"/>
  <c r="C695" i="27"/>
  <c r="C701" i="27"/>
  <c r="C725" i="27"/>
  <c r="C932" i="27"/>
  <c r="C990" i="27"/>
  <c r="C693" i="27"/>
  <c r="C711" i="27"/>
  <c r="C769" i="27"/>
  <c r="C879" i="27"/>
  <c r="C935" i="27"/>
  <c r="C632" i="27"/>
  <c r="C694" i="27"/>
  <c r="C712" i="27"/>
  <c r="C789" i="27"/>
  <c r="C861" i="27"/>
  <c r="C936" i="27"/>
  <c r="C633" i="27"/>
  <c r="C732" i="27"/>
  <c r="C788" i="27"/>
  <c r="C857" i="27"/>
  <c r="C883" i="27"/>
  <c r="C939" i="27"/>
  <c r="C634" i="27"/>
  <c r="C702" i="27"/>
  <c r="C790" i="27"/>
  <c r="C862" i="27"/>
  <c r="C901" i="27"/>
  <c r="C940" i="27"/>
  <c r="C635" i="27"/>
  <c r="C713" i="27"/>
  <c r="C757" i="27"/>
  <c r="C827" i="27"/>
  <c r="C902" i="27"/>
  <c r="C941" i="27"/>
  <c r="C636" i="27"/>
  <c r="C746" i="27"/>
  <c r="C779" i="27"/>
  <c r="C804" i="27"/>
  <c r="C933" i="27"/>
  <c r="C942" i="27"/>
  <c r="C637" i="27"/>
  <c r="C758" i="27"/>
  <c r="C791" i="27"/>
  <c r="C828" i="27"/>
  <c r="C903" i="27"/>
  <c r="C943" i="27"/>
  <c r="C638" i="27"/>
  <c r="C801" i="27"/>
  <c r="C811" i="27"/>
  <c r="C835" i="27"/>
  <c r="C884" i="27"/>
  <c r="C944" i="27"/>
  <c r="C639" i="27"/>
  <c r="C780" i="27"/>
  <c r="C829" i="27"/>
  <c r="C863" i="27"/>
  <c r="C904" i="27"/>
  <c r="C945" i="27"/>
  <c r="C640" i="27"/>
  <c r="C816" i="27"/>
  <c r="C836" i="27"/>
  <c r="C850" i="27"/>
  <c r="C899" i="27"/>
  <c r="C641" i="27"/>
  <c r="C805" i="27"/>
  <c r="C830" i="27"/>
  <c r="C864" i="27"/>
  <c r="C905" i="27"/>
  <c r="C946" i="27"/>
  <c r="C674" i="27"/>
  <c r="C781" i="27"/>
  <c r="C812" i="27"/>
  <c r="C846" i="27"/>
  <c r="C885" i="27"/>
  <c r="C947" i="27"/>
  <c r="C1001" i="27"/>
  <c r="C1007" i="27"/>
  <c r="C679" i="27"/>
  <c r="C806" i="27"/>
  <c r="C837" i="27"/>
  <c r="C865" i="27"/>
  <c r="C906" i="27"/>
  <c r="C948" i="27"/>
  <c r="C671" i="27"/>
  <c r="C770" i="27"/>
  <c r="C802" i="27"/>
  <c r="C831" i="27"/>
  <c r="C900" i="27"/>
  <c r="C949" i="27"/>
  <c r="C676" i="27"/>
  <c r="C792" i="27"/>
  <c r="C817" i="27"/>
  <c r="C851" i="27"/>
  <c r="C886" i="27"/>
  <c r="C950" i="27"/>
  <c r="C680" i="27"/>
  <c r="C793" i="27"/>
  <c r="C838" i="27"/>
  <c r="C866" i="27"/>
  <c r="C934" i="27"/>
  <c r="C951" i="27"/>
  <c r="C681" i="27"/>
  <c r="C726" i="27"/>
  <c r="C839" i="27"/>
  <c r="C867" i="27"/>
  <c r="C907" i="27"/>
  <c r="C952" i="27"/>
  <c r="C994" i="27"/>
  <c r="C1008" i="27"/>
  <c r="C689" i="27"/>
  <c r="C832" i="27"/>
  <c r="C868" i="27"/>
  <c r="C908" i="27"/>
  <c r="C937" i="27"/>
  <c r="C995" i="27"/>
  <c r="C685" i="27"/>
  <c r="C840" i="27"/>
  <c r="C852" i="27"/>
  <c r="C869" i="27"/>
  <c r="C909" i="27"/>
  <c r="C953" i="27"/>
  <c r="C690" i="27"/>
  <c r="C833" i="27"/>
  <c r="C870" i="27"/>
  <c r="C878" i="27"/>
  <c r="C910" i="27"/>
  <c r="C954" i="27"/>
  <c r="C686" i="27"/>
  <c r="C841" i="27"/>
  <c r="C853" i="27"/>
  <c r="C871" i="27"/>
  <c r="C911" i="27"/>
  <c r="C955" i="27"/>
  <c r="C682" i="27"/>
  <c r="C813" i="27"/>
  <c r="C845" i="27"/>
  <c r="C858" i="27"/>
  <c r="C887" i="27"/>
  <c r="C956" i="27"/>
  <c r="C677" i="27"/>
  <c r="C807" i="27"/>
  <c r="C818" i="27"/>
  <c r="C842" i="27"/>
  <c r="C912" i="27"/>
  <c r="C957" i="27"/>
  <c r="C672" i="27"/>
  <c r="C782" i="27"/>
  <c r="C803" i="27"/>
  <c r="C819" i="27"/>
  <c r="C888" i="27"/>
  <c r="C958" i="27"/>
  <c r="C996" i="27"/>
  <c r="C1009" i="27"/>
  <c r="C666" i="27"/>
  <c r="C755" i="27"/>
  <c r="C774" i="27"/>
  <c r="C783" i="27"/>
  <c r="C880" i="27"/>
  <c r="C959" i="27"/>
  <c r="C657" i="27"/>
  <c r="C714" i="27"/>
  <c r="C751" i="27"/>
  <c r="C759" i="27"/>
  <c r="C913" i="27"/>
  <c r="C960" i="27"/>
  <c r="C658" i="27"/>
  <c r="C721" i="27"/>
  <c r="C743" i="27"/>
  <c r="C771" i="27"/>
  <c r="C889" i="27"/>
  <c r="C961" i="27"/>
  <c r="C644" i="27"/>
  <c r="C699" i="27"/>
  <c r="C709" i="27"/>
  <c r="C733" i="27"/>
  <c r="C872" i="27"/>
  <c r="C962" i="27"/>
  <c r="C997" i="27"/>
  <c r="C1010" i="27"/>
  <c r="C652" i="27"/>
  <c r="C704" i="27"/>
  <c r="C734" i="27"/>
  <c r="C775" i="27"/>
  <c r="C914" i="27"/>
  <c r="C963" i="27"/>
  <c r="C659" i="27"/>
  <c r="C735" i="27"/>
  <c r="C760" i="27"/>
  <c r="C794" i="27"/>
  <c r="C873" i="27"/>
  <c r="C964" i="27"/>
  <c r="C660" i="27"/>
  <c r="C736" i="27"/>
  <c r="C761" i="27"/>
  <c r="C820" i="27"/>
  <c r="C890" i="27"/>
  <c r="C965" i="27"/>
  <c r="C998" i="27"/>
  <c r="C631" i="27"/>
  <c r="C603" i="27"/>
  <c r="C605" i="27"/>
  <c r="C606" i="27"/>
  <c r="C604" i="27"/>
  <c r="C627" i="27"/>
  <c r="C607" i="27"/>
  <c r="C626" i="27"/>
  <c r="C608" i="27"/>
  <c r="C609" i="27"/>
  <c r="C625" i="27"/>
  <c r="C610" i="27"/>
  <c r="C611" i="27"/>
  <c r="C623" i="27"/>
  <c r="C612" i="27"/>
  <c r="C621" i="27"/>
  <c r="C629" i="27"/>
  <c r="C613" i="27"/>
  <c r="C614" i="27"/>
  <c r="C628" i="27"/>
  <c r="C615" i="27"/>
  <c r="C602" i="27"/>
  <c r="C618" i="27"/>
  <c r="C624" i="27"/>
  <c r="C616" i="27"/>
  <c r="C619" i="27"/>
  <c r="C620" i="27"/>
  <c r="C622" i="27"/>
  <c r="C617" i="27"/>
  <c r="C630" i="27"/>
  <c r="B603" i="27"/>
  <c r="B605" i="27"/>
  <c r="B606" i="27"/>
  <c r="B604" i="27"/>
  <c r="B627" i="27"/>
  <c r="B607" i="27"/>
  <c r="B626" i="27"/>
  <c r="B608" i="27"/>
  <c r="B609" i="27"/>
  <c r="B625" i="27"/>
  <c r="B610" i="27"/>
  <c r="B611" i="27"/>
  <c r="B623" i="27"/>
  <c r="B612" i="27"/>
  <c r="B621" i="27"/>
  <c r="B629" i="27"/>
  <c r="B613" i="27"/>
  <c r="B614" i="27"/>
  <c r="B628" i="27"/>
  <c r="B615" i="27"/>
  <c r="B602" i="27"/>
  <c r="B618" i="27"/>
  <c r="B624" i="27"/>
  <c r="B616" i="27"/>
  <c r="B619" i="27"/>
  <c r="B620" i="27"/>
  <c r="B622" i="27"/>
  <c r="B617" i="27"/>
  <c r="B630" i="27"/>
  <c r="B203" i="27"/>
  <c r="B204" i="27"/>
  <c r="B205" i="27"/>
  <c r="B206" i="27"/>
  <c r="B207" i="27"/>
  <c r="B208" i="27"/>
  <c r="B209" i="27"/>
  <c r="E32" i="13"/>
  <c r="K32" i="13"/>
  <c r="K1054" i="27"/>
  <c r="E33" i="13"/>
  <c r="K33" i="13"/>
  <c r="K1047" i="27"/>
  <c r="E34" i="13"/>
  <c r="G34" i="13"/>
  <c r="K34" i="13"/>
  <c r="K1050" i="27"/>
  <c r="E35" i="13"/>
  <c r="K35" i="13"/>
  <c r="K1062" i="27"/>
  <c r="E36" i="13"/>
  <c r="G36" i="13"/>
  <c r="K36" i="13"/>
  <c r="K1056" i="27"/>
  <c r="E37" i="13"/>
  <c r="K37" i="13"/>
  <c r="K1058" i="27"/>
  <c r="E38" i="13"/>
  <c r="K38" i="13"/>
  <c r="K1060" i="27"/>
  <c r="E39" i="13"/>
  <c r="K39" i="13"/>
  <c r="K1052" i="27"/>
  <c r="E31" i="13"/>
  <c r="K31" i="13"/>
  <c r="K1051" i="27"/>
  <c r="E20" i="13"/>
  <c r="K20" i="13"/>
  <c r="K1048" i="27"/>
  <c r="E21" i="13"/>
  <c r="G21" i="13"/>
  <c r="K21" i="13"/>
  <c r="K1049" i="27"/>
  <c r="E22" i="13"/>
  <c r="K22" i="13"/>
  <c r="K1061" i="27"/>
  <c r="E23" i="13"/>
  <c r="G23" i="13"/>
  <c r="K23" i="13"/>
  <c r="K1055" i="27"/>
  <c r="E24" i="13"/>
  <c r="G24" i="13"/>
  <c r="K24" i="13"/>
  <c r="K1057" i="27"/>
  <c r="E25" i="13"/>
  <c r="K25" i="13"/>
  <c r="K1059" i="27"/>
  <c r="E19" i="13"/>
  <c r="K19" i="13"/>
  <c r="K1053" i="27"/>
  <c r="B1054" i="27"/>
  <c r="B1047" i="27"/>
  <c r="B1050" i="27"/>
  <c r="B1062" i="27"/>
  <c r="B1056" i="27"/>
  <c r="B1058" i="27"/>
  <c r="B1060" i="27"/>
  <c r="B1052" i="27"/>
  <c r="B1051" i="27"/>
  <c r="B1048" i="27"/>
  <c r="B1049" i="27"/>
  <c r="B1061" i="27"/>
  <c r="B1055" i="27"/>
  <c r="B1057" i="27"/>
  <c r="B1059" i="27"/>
  <c r="B1053" i="27"/>
  <c r="B7" i="11"/>
  <c r="C588" i="27"/>
  <c r="B8" i="11"/>
  <c r="C589" i="27"/>
  <c r="B9" i="11"/>
  <c r="C590" i="27"/>
  <c r="B10" i="11"/>
  <c r="C591" i="27"/>
  <c r="B11" i="11"/>
  <c r="C592" i="27"/>
  <c r="B12" i="11"/>
  <c r="C593" i="27"/>
  <c r="B13" i="11"/>
  <c r="C594" i="27"/>
  <c r="B14" i="11"/>
  <c r="C595" i="27"/>
  <c r="B15" i="11"/>
  <c r="C596" i="27"/>
  <c r="B16" i="11"/>
  <c r="C597" i="27"/>
  <c r="B17" i="11"/>
  <c r="C598" i="27"/>
  <c r="B18" i="11"/>
  <c r="C599" i="27"/>
  <c r="B19" i="11"/>
  <c r="C600" i="27"/>
  <c r="B20" i="11"/>
  <c r="C601" i="27"/>
  <c r="B6" i="11"/>
  <c r="C587" i="27"/>
  <c r="J23" i="25"/>
  <c r="Q23" i="25"/>
  <c r="Z23" i="25"/>
  <c r="W7" i="25"/>
  <c r="D7" i="25"/>
  <c r="B7" i="25"/>
  <c r="J8" i="25"/>
  <c r="Q8" i="25"/>
  <c r="Z8" i="25"/>
  <c r="J9" i="25"/>
  <c r="Q9" i="25"/>
  <c r="Z9" i="25"/>
  <c r="J10" i="25"/>
  <c r="Q10" i="25"/>
  <c r="Z10" i="25"/>
  <c r="J11" i="25"/>
  <c r="Q11" i="25"/>
  <c r="Z11" i="25"/>
  <c r="J12" i="25"/>
  <c r="Q12" i="25"/>
  <c r="Z12" i="25"/>
  <c r="J13" i="25"/>
  <c r="Q13" i="25"/>
  <c r="Z13" i="25"/>
  <c r="J14" i="25"/>
  <c r="Q14" i="25"/>
  <c r="Z14" i="25"/>
  <c r="Q15" i="25"/>
  <c r="Z15" i="25"/>
  <c r="J16" i="25"/>
  <c r="Z16" i="25"/>
  <c r="L16" i="25"/>
  <c r="S16" i="25"/>
  <c r="AA16" i="25"/>
  <c r="J17" i="25"/>
  <c r="Z17" i="25"/>
  <c r="L17" i="25"/>
  <c r="S17" i="25"/>
  <c r="AA17" i="25"/>
  <c r="J18" i="25"/>
  <c r="Z18" i="25"/>
  <c r="L18" i="25"/>
  <c r="S18" i="25"/>
  <c r="AA18" i="25"/>
  <c r="J19" i="25"/>
  <c r="Q19" i="25"/>
  <c r="Z19" i="25"/>
  <c r="L19" i="25"/>
  <c r="AA19" i="25"/>
  <c r="J20" i="25"/>
  <c r="Q20" i="25"/>
  <c r="Z20" i="25"/>
  <c r="L20" i="25"/>
  <c r="S20" i="25"/>
  <c r="AA20" i="25"/>
  <c r="J21" i="25"/>
  <c r="Z21" i="25"/>
  <c r="L21" i="25"/>
  <c r="S21" i="25"/>
  <c r="AA21" i="25"/>
  <c r="J22" i="25"/>
  <c r="Z22" i="25"/>
  <c r="S22" i="25"/>
  <c r="AA22" i="25"/>
  <c r="Z154" i="25"/>
  <c r="J24" i="25"/>
  <c r="Q24" i="25"/>
  <c r="Z24" i="25"/>
  <c r="J25" i="25"/>
  <c r="Z25" i="25"/>
  <c r="L25" i="25"/>
  <c r="S25" i="25"/>
  <c r="AA25" i="25"/>
  <c r="J26" i="25"/>
  <c r="Z26" i="25"/>
  <c r="L26" i="25"/>
  <c r="S26" i="25"/>
  <c r="AA26" i="25"/>
  <c r="J27" i="25"/>
  <c r="Z27" i="25"/>
  <c r="L27" i="25"/>
  <c r="S27" i="25"/>
  <c r="AA27" i="25"/>
  <c r="J28" i="25"/>
  <c r="Z28" i="25"/>
  <c r="L28" i="25"/>
  <c r="S28" i="25"/>
  <c r="AA28" i="25"/>
  <c r="Q29" i="25"/>
  <c r="Z29" i="25"/>
  <c r="J30" i="25"/>
  <c r="Q30" i="25"/>
  <c r="Z30" i="25"/>
  <c r="L30" i="25"/>
  <c r="S30" i="25"/>
  <c r="AA30" i="25"/>
  <c r="J31" i="25"/>
  <c r="Z31" i="25"/>
  <c r="L31" i="25"/>
  <c r="S31" i="25"/>
  <c r="AA31" i="25"/>
  <c r="J32" i="25"/>
  <c r="Z32" i="25"/>
  <c r="L32" i="25"/>
  <c r="S32" i="25"/>
  <c r="AA32" i="25"/>
  <c r="Q33" i="25"/>
  <c r="Z33" i="25"/>
  <c r="J34" i="25"/>
  <c r="Q34" i="25"/>
  <c r="Z34" i="25"/>
  <c r="L34" i="25"/>
  <c r="S34" i="25"/>
  <c r="AA34" i="25"/>
  <c r="J35" i="25"/>
  <c r="Q35" i="25"/>
  <c r="Z35" i="25"/>
  <c r="L35" i="25"/>
  <c r="S35" i="25"/>
  <c r="AA35" i="25"/>
  <c r="J37" i="25"/>
  <c r="Z37" i="25"/>
  <c r="AA38" i="25"/>
  <c r="AA39" i="25"/>
  <c r="J40" i="25"/>
  <c r="Z40" i="25"/>
  <c r="L40" i="25"/>
  <c r="AA40" i="25"/>
  <c r="J41" i="25"/>
  <c r="Z41" i="25"/>
  <c r="L41" i="25"/>
  <c r="AA41" i="25"/>
  <c r="J42" i="25"/>
  <c r="Z42" i="25"/>
  <c r="L42" i="25"/>
  <c r="AA42" i="25"/>
  <c r="J43" i="25"/>
  <c r="Z43" i="25"/>
  <c r="L43" i="25"/>
  <c r="AA43" i="25"/>
  <c r="J44" i="25"/>
  <c r="Z44" i="25"/>
  <c r="L44" i="25"/>
  <c r="AA44" i="25"/>
  <c r="J45" i="25"/>
  <c r="Z45" i="25"/>
  <c r="L45" i="25"/>
  <c r="AA45" i="25"/>
  <c r="J46" i="25"/>
  <c r="Z46" i="25"/>
  <c r="Z49" i="25"/>
  <c r="J50" i="25"/>
  <c r="Z50" i="25"/>
  <c r="L50" i="25"/>
  <c r="AA50" i="25"/>
  <c r="J51" i="25"/>
  <c r="Z51" i="25"/>
  <c r="L51" i="25"/>
  <c r="AA51" i="25"/>
  <c r="J52" i="25"/>
  <c r="Z52" i="25"/>
  <c r="L52" i="25"/>
  <c r="AA52" i="25"/>
  <c r="J53" i="25"/>
  <c r="Z53" i="25"/>
  <c r="L53" i="25"/>
  <c r="AA53" i="25"/>
  <c r="J54" i="25"/>
  <c r="Z54" i="25"/>
  <c r="L54" i="25"/>
  <c r="AA54" i="25"/>
  <c r="J55" i="25"/>
  <c r="Z55" i="25"/>
  <c r="L55" i="25"/>
  <c r="AA55" i="25"/>
  <c r="J56" i="25"/>
  <c r="Z56" i="25"/>
  <c r="J57" i="25"/>
  <c r="Z57" i="25"/>
  <c r="L57" i="25"/>
  <c r="AA57" i="25"/>
  <c r="J58" i="25"/>
  <c r="Z58" i="25"/>
  <c r="L58" i="25"/>
  <c r="AA58" i="25"/>
  <c r="J59" i="25"/>
  <c r="Z59" i="25"/>
  <c r="L59" i="25"/>
  <c r="AA59" i="25"/>
  <c r="J60" i="25"/>
  <c r="Z60" i="25"/>
  <c r="L60" i="25"/>
  <c r="AA60" i="25"/>
  <c r="J61" i="25"/>
  <c r="Z61" i="25"/>
  <c r="L61" i="25"/>
  <c r="AA61" i="25"/>
  <c r="J62" i="25"/>
  <c r="Z62" i="25"/>
  <c r="L62" i="25"/>
  <c r="AA62" i="25"/>
  <c r="J63" i="25"/>
  <c r="Z63" i="25"/>
  <c r="L63" i="25"/>
  <c r="AA63" i="25"/>
  <c r="J64" i="25"/>
  <c r="Z64" i="25"/>
  <c r="L64" i="25"/>
  <c r="AA64" i="25"/>
  <c r="J65" i="25"/>
  <c r="Z65" i="25"/>
  <c r="L65" i="25"/>
  <c r="AA65" i="25"/>
  <c r="J66" i="25"/>
  <c r="Z66" i="25"/>
  <c r="L66" i="25"/>
  <c r="AA66" i="25"/>
  <c r="J67" i="25"/>
  <c r="Z67" i="25"/>
  <c r="AA67" i="25"/>
  <c r="J68" i="25"/>
  <c r="Z68" i="25"/>
  <c r="L68" i="25"/>
  <c r="AA68" i="25"/>
  <c r="J69" i="25"/>
  <c r="Z69" i="25"/>
  <c r="L69" i="25"/>
  <c r="AA69" i="25"/>
  <c r="AA70" i="25"/>
  <c r="J71" i="25"/>
  <c r="Z71" i="25"/>
  <c r="L71" i="25"/>
  <c r="AA71" i="25"/>
  <c r="J72" i="25"/>
  <c r="Z72" i="25"/>
  <c r="L72" i="25"/>
  <c r="AA72" i="25"/>
  <c r="J73" i="25"/>
  <c r="Z73" i="25"/>
  <c r="L73" i="25"/>
  <c r="AA73" i="25"/>
  <c r="J74" i="25"/>
  <c r="Z74" i="25"/>
  <c r="L74" i="25"/>
  <c r="AA74" i="25"/>
  <c r="J75" i="25"/>
  <c r="Z75" i="25"/>
  <c r="J76" i="25"/>
  <c r="Z76" i="25"/>
  <c r="Z77" i="25"/>
  <c r="Z78" i="25"/>
  <c r="J79" i="25"/>
  <c r="Z79" i="25"/>
  <c r="L79" i="25"/>
  <c r="AA79" i="25"/>
  <c r="J80" i="25"/>
  <c r="Z80" i="25"/>
  <c r="AA80" i="25"/>
  <c r="J81" i="25"/>
  <c r="Z81" i="25"/>
  <c r="Z82" i="25"/>
  <c r="J87" i="25"/>
  <c r="Z87" i="25"/>
  <c r="L87" i="25"/>
  <c r="AA87" i="25"/>
  <c r="J88" i="25"/>
  <c r="Z88" i="25"/>
  <c r="L88" i="25"/>
  <c r="AA88" i="25"/>
  <c r="J89" i="25"/>
  <c r="Z89" i="25"/>
  <c r="L89" i="25"/>
  <c r="AA89" i="25"/>
  <c r="J90" i="25"/>
  <c r="Z90" i="25"/>
  <c r="J91" i="25"/>
  <c r="Z91" i="25"/>
  <c r="J92" i="25"/>
  <c r="Z92" i="25"/>
  <c r="J93" i="25"/>
  <c r="Z93" i="25"/>
  <c r="L93" i="25"/>
  <c r="AA93" i="25"/>
  <c r="J94" i="25"/>
  <c r="Z94" i="25"/>
  <c r="J95" i="25"/>
  <c r="Z95" i="25"/>
  <c r="J96" i="25"/>
  <c r="Z96" i="25"/>
  <c r="L96" i="25"/>
  <c r="AA96" i="25"/>
  <c r="J97" i="25"/>
  <c r="Z97" i="25"/>
  <c r="J7" i="25"/>
  <c r="Q7" i="25"/>
  <c r="Z7" i="25"/>
  <c r="D90" i="25"/>
  <c r="B90" i="25"/>
  <c r="F81" i="25"/>
  <c r="D81" i="25"/>
  <c r="B81" i="25"/>
  <c r="F80" i="25"/>
  <c r="D80" i="25"/>
  <c r="B80" i="25"/>
  <c r="F60" i="25"/>
  <c r="D60" i="25"/>
  <c r="B60" i="25"/>
  <c r="D97" i="25"/>
  <c r="B97" i="25"/>
  <c r="F96" i="25"/>
  <c r="D96" i="25"/>
  <c r="B96" i="25"/>
  <c r="D95" i="25"/>
  <c r="B95" i="25"/>
  <c r="D94" i="25"/>
  <c r="B94" i="25"/>
  <c r="D93" i="25"/>
  <c r="B93" i="25"/>
  <c r="D92" i="25"/>
  <c r="B92" i="25"/>
  <c r="D91" i="25"/>
  <c r="B91" i="25"/>
  <c r="F89" i="25"/>
  <c r="D89" i="25"/>
  <c r="B89" i="25"/>
  <c r="F88" i="25"/>
  <c r="D88" i="25"/>
  <c r="B88" i="25"/>
  <c r="D86" i="25"/>
  <c r="B86" i="25"/>
  <c r="D160" i="25"/>
  <c r="B160" i="25"/>
  <c r="D159" i="25"/>
  <c r="B159" i="25"/>
  <c r="D85" i="25"/>
  <c r="B85" i="25"/>
  <c r="D84" i="25"/>
  <c r="B84" i="25"/>
  <c r="D83" i="25"/>
  <c r="B83" i="25"/>
  <c r="F82" i="25"/>
  <c r="D82" i="25"/>
  <c r="B82" i="25"/>
  <c r="F79" i="25"/>
  <c r="D79" i="25"/>
  <c r="B79" i="25"/>
  <c r="D78" i="25"/>
  <c r="B78" i="25"/>
  <c r="D77" i="25"/>
  <c r="B77" i="25"/>
  <c r="D76" i="25"/>
  <c r="B76" i="25"/>
  <c r="D75" i="25"/>
  <c r="B75" i="25"/>
  <c r="F158" i="25"/>
  <c r="D158" i="25"/>
  <c r="B158" i="25"/>
  <c r="F74" i="25"/>
  <c r="D74" i="25"/>
  <c r="B74" i="25"/>
  <c r="F73" i="25"/>
  <c r="D73" i="25"/>
  <c r="B73" i="25"/>
  <c r="F72" i="25"/>
  <c r="D72" i="25"/>
  <c r="B72" i="25"/>
  <c r="F71" i="25"/>
  <c r="D71" i="25"/>
  <c r="B71" i="25"/>
  <c r="F70" i="25"/>
  <c r="D70" i="25"/>
  <c r="B70" i="25"/>
  <c r="F69" i="25"/>
  <c r="D69" i="25"/>
  <c r="B69" i="25"/>
  <c r="F68" i="25"/>
  <c r="D68" i="25"/>
  <c r="B68" i="25"/>
  <c r="F67" i="25"/>
  <c r="D67" i="25"/>
  <c r="B67" i="25"/>
  <c r="F66" i="25"/>
  <c r="D66" i="25"/>
  <c r="B66" i="25"/>
  <c r="F65" i="25"/>
  <c r="D65" i="25"/>
  <c r="B65" i="25"/>
  <c r="F64" i="25"/>
  <c r="D64" i="25"/>
  <c r="B64" i="25"/>
  <c r="F63" i="25"/>
  <c r="D63" i="25"/>
  <c r="B63" i="25"/>
  <c r="F62" i="25"/>
  <c r="D62" i="25"/>
  <c r="B62" i="25"/>
  <c r="F61" i="25"/>
  <c r="D61" i="25"/>
  <c r="B61" i="25"/>
  <c r="F59" i="25"/>
  <c r="D59" i="25"/>
  <c r="B59" i="25"/>
  <c r="F58" i="25"/>
  <c r="D58" i="25"/>
  <c r="B58" i="25"/>
  <c r="F57" i="25"/>
  <c r="D57" i="25"/>
  <c r="B57" i="25"/>
  <c r="D56" i="25"/>
  <c r="B56" i="25"/>
  <c r="F157" i="25"/>
  <c r="D157" i="25"/>
  <c r="B157" i="25"/>
  <c r="F156" i="25"/>
  <c r="D156" i="25"/>
  <c r="B156" i="25"/>
  <c r="F155" i="25"/>
  <c r="D155" i="25"/>
  <c r="B155" i="25"/>
  <c r="F55" i="25"/>
  <c r="D55" i="25"/>
  <c r="B55" i="25"/>
  <c r="F54" i="25"/>
  <c r="D54" i="25"/>
  <c r="B54" i="25"/>
  <c r="D53" i="25"/>
  <c r="B53" i="25"/>
  <c r="D52" i="25"/>
  <c r="B52" i="25"/>
  <c r="D51" i="25"/>
  <c r="B51" i="25"/>
  <c r="D50" i="25"/>
  <c r="B50" i="25"/>
  <c r="D49" i="25"/>
  <c r="B49" i="25"/>
  <c r="F48" i="25"/>
  <c r="D48" i="25"/>
  <c r="B48" i="25"/>
  <c r="F47" i="25"/>
  <c r="D47" i="25"/>
  <c r="B47" i="25"/>
  <c r="F46" i="25"/>
  <c r="D46" i="25"/>
  <c r="B46" i="25"/>
  <c r="F45" i="25"/>
  <c r="D45" i="25"/>
  <c r="B45" i="25"/>
  <c r="F44" i="25"/>
  <c r="D44" i="25"/>
  <c r="B44" i="25"/>
  <c r="F43" i="25"/>
  <c r="D43" i="25"/>
  <c r="B43" i="25"/>
  <c r="F42" i="25"/>
  <c r="D42" i="25"/>
  <c r="B42" i="25"/>
  <c r="F41" i="25"/>
  <c r="D41" i="25"/>
  <c r="B41" i="25"/>
  <c r="F40" i="25"/>
  <c r="D40" i="25"/>
  <c r="B40" i="25"/>
  <c r="D39" i="25"/>
  <c r="B39" i="25"/>
  <c r="D38" i="25"/>
  <c r="B38" i="25"/>
  <c r="F37" i="25"/>
  <c r="D37" i="25"/>
  <c r="B37" i="25"/>
  <c r="F36" i="25"/>
  <c r="D36" i="25"/>
  <c r="B36" i="25"/>
  <c r="F35" i="25"/>
  <c r="D35" i="25"/>
  <c r="B35" i="25"/>
  <c r="F34" i="25"/>
  <c r="D34" i="25"/>
  <c r="B34" i="25"/>
  <c r="D33" i="25"/>
  <c r="B33" i="25"/>
  <c r="F32" i="25"/>
  <c r="D32" i="25"/>
  <c r="B32" i="25"/>
  <c r="F31" i="25"/>
  <c r="D31" i="25"/>
  <c r="B31" i="25"/>
  <c r="F30" i="25"/>
  <c r="D30" i="25"/>
  <c r="B30" i="25"/>
  <c r="D29" i="25"/>
  <c r="B29" i="25"/>
  <c r="F28" i="25"/>
  <c r="D28" i="25"/>
  <c r="B28" i="25"/>
  <c r="F27" i="25"/>
  <c r="D27" i="25"/>
  <c r="B27" i="25"/>
  <c r="F26" i="25"/>
  <c r="D26" i="25"/>
  <c r="B26" i="25"/>
  <c r="F25" i="25"/>
  <c r="D25" i="25"/>
  <c r="B25" i="25"/>
  <c r="D24" i="25"/>
  <c r="B24" i="25"/>
  <c r="D23" i="25"/>
  <c r="B23" i="25"/>
  <c r="F154" i="25"/>
  <c r="D154" i="25"/>
  <c r="B154" i="25"/>
  <c r="F22" i="25"/>
  <c r="D22" i="25"/>
  <c r="B22" i="25"/>
  <c r="F21" i="25"/>
  <c r="D21" i="25"/>
  <c r="B21" i="25"/>
  <c r="F20" i="25"/>
  <c r="D20" i="25"/>
  <c r="B20" i="25"/>
  <c r="F19" i="25"/>
  <c r="D19" i="25"/>
  <c r="B19" i="25"/>
  <c r="F18" i="25"/>
  <c r="D18" i="25"/>
  <c r="B18" i="25"/>
  <c r="F17" i="25"/>
  <c r="D17" i="25"/>
  <c r="B17" i="25"/>
  <c r="F16" i="25"/>
  <c r="D16" i="25"/>
  <c r="B16" i="25"/>
  <c r="D153" i="25"/>
  <c r="B153" i="25"/>
  <c r="D152" i="25"/>
  <c r="B152" i="25"/>
  <c r="D151" i="25"/>
  <c r="B151" i="25"/>
  <c r="D150" i="25"/>
  <c r="B150" i="25"/>
  <c r="D149" i="25"/>
  <c r="B149" i="25"/>
  <c r="D15" i="25"/>
  <c r="B15" i="25"/>
  <c r="D14" i="25"/>
  <c r="B14" i="25"/>
  <c r="D13" i="25"/>
  <c r="B13" i="25"/>
  <c r="D12" i="25"/>
  <c r="B12" i="25"/>
  <c r="D11" i="25"/>
  <c r="B11" i="25"/>
  <c r="D10" i="25"/>
  <c r="B10" i="25"/>
  <c r="D9" i="25"/>
  <c r="B9" i="25"/>
  <c r="D8" i="25"/>
  <c r="B8" i="25"/>
  <c r="F7" i="25"/>
  <c r="W97" i="25"/>
  <c r="W79" i="25"/>
  <c r="W82" i="25"/>
  <c r="W83" i="25"/>
  <c r="W84" i="25"/>
  <c r="W85" i="25"/>
  <c r="W86" i="25"/>
  <c r="W89" i="25"/>
  <c r="W90" i="25"/>
  <c r="W91" i="25"/>
  <c r="W92" i="25"/>
  <c r="W94" i="25"/>
  <c r="W95" i="25"/>
  <c r="W66" i="25"/>
  <c r="W67" i="25"/>
  <c r="W68" i="25"/>
  <c r="W71" i="25"/>
  <c r="W72" i="25"/>
  <c r="W73" i="25"/>
  <c r="W46" i="25"/>
  <c r="W49" i="25"/>
  <c r="W50" i="25"/>
  <c r="W51" i="25"/>
  <c r="W54" i="25"/>
  <c r="W57" i="25"/>
  <c r="W8" i="25"/>
  <c r="W9" i="25"/>
  <c r="W10" i="25"/>
  <c r="W11" i="25"/>
  <c r="W12" i="25"/>
  <c r="W13" i="25"/>
  <c r="W19" i="25"/>
  <c r="W20" i="25"/>
  <c r="W21" i="25"/>
  <c r="W23" i="25"/>
  <c r="W24" i="25"/>
  <c r="W29" i="25"/>
  <c r="W30" i="25"/>
  <c r="W34" i="25"/>
  <c r="W35" i="25"/>
  <c r="W36" i="25"/>
  <c r="W37" i="25"/>
  <c r="Y38" i="25"/>
  <c r="Y16" i="25"/>
  <c r="Y17" i="25"/>
  <c r="Y18" i="25"/>
  <c r="Y19" i="25"/>
  <c r="Y20" i="25"/>
  <c r="Y21" i="25"/>
  <c r="Y22" i="25"/>
  <c r="Y25" i="25"/>
  <c r="Y26" i="25"/>
  <c r="Y27" i="25"/>
  <c r="Y28" i="25"/>
  <c r="Y30" i="25"/>
  <c r="Y31" i="25"/>
  <c r="Y32" i="25"/>
  <c r="Y34" i="25"/>
  <c r="Y36" i="25"/>
  <c r="Y39" i="25"/>
  <c r="Y41" i="25"/>
  <c r="Y42" i="25"/>
  <c r="Y43" i="25"/>
  <c r="Y44" i="25"/>
  <c r="Y45" i="25"/>
  <c r="Y50" i="25"/>
  <c r="Y51" i="25"/>
  <c r="Y52" i="25"/>
  <c r="Y53" i="25"/>
  <c r="Y57" i="25"/>
  <c r="Y58" i="25"/>
  <c r="Y59" i="25"/>
  <c r="Y61" i="25"/>
  <c r="Y62" i="25"/>
  <c r="Y63" i="25"/>
  <c r="Y64" i="25"/>
  <c r="Y65" i="25"/>
  <c r="Y66" i="25"/>
  <c r="Y67" i="25"/>
  <c r="Y68" i="25"/>
  <c r="Y69" i="25"/>
  <c r="Y71" i="25"/>
  <c r="Y72" i="25"/>
  <c r="Y73" i="25"/>
  <c r="Y74" i="25"/>
  <c r="Y77" i="25"/>
  <c r="Y78" i="25"/>
  <c r="Y79" i="25"/>
  <c r="Y82" i="25"/>
  <c r="Y86" i="25"/>
  <c r="Y87" i="25"/>
  <c r="Y88" i="25"/>
  <c r="Y93" i="25"/>
  <c r="Y96" i="25"/>
  <c r="Y7" i="25"/>
  <c r="U8" i="25"/>
  <c r="U9" i="25"/>
  <c r="U10" i="25"/>
  <c r="U11" i="25"/>
  <c r="U12" i="25"/>
  <c r="U13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4" i="25"/>
  <c r="U35" i="25"/>
  <c r="U36" i="25"/>
  <c r="U37" i="25"/>
  <c r="U38" i="25"/>
  <c r="U39" i="25"/>
  <c r="U41" i="25"/>
  <c r="U42" i="25"/>
  <c r="U43" i="25"/>
  <c r="U44" i="25"/>
  <c r="U45" i="25"/>
  <c r="U46" i="25"/>
  <c r="U49" i="25"/>
  <c r="U50" i="25"/>
  <c r="U51" i="25"/>
  <c r="U52" i="25"/>
  <c r="U53" i="25"/>
  <c r="U54" i="25"/>
  <c r="U57" i="25"/>
  <c r="U58" i="25"/>
  <c r="U59" i="25"/>
  <c r="U61" i="25"/>
  <c r="U62" i="25"/>
  <c r="U63" i="25"/>
  <c r="U64" i="25"/>
  <c r="U65" i="25"/>
  <c r="U66" i="25"/>
  <c r="U67" i="25"/>
  <c r="U68" i="25"/>
  <c r="U69" i="25"/>
  <c r="U71" i="25"/>
  <c r="U72" i="25"/>
  <c r="U73" i="25"/>
  <c r="U74" i="25"/>
  <c r="U77" i="25"/>
  <c r="U78" i="25"/>
  <c r="U79" i="25"/>
  <c r="U82" i="25"/>
  <c r="U83" i="25"/>
  <c r="U84" i="25"/>
  <c r="U85" i="25"/>
  <c r="U86" i="25"/>
  <c r="U87" i="25"/>
  <c r="U88" i="25"/>
  <c r="U89" i="25"/>
  <c r="U90" i="25"/>
  <c r="U91" i="25"/>
  <c r="U92" i="25"/>
  <c r="U93" i="25"/>
  <c r="U94" i="25"/>
  <c r="U95" i="25"/>
  <c r="U96" i="25"/>
  <c r="U97" i="25"/>
  <c r="U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7" i="25"/>
  <c r="H8" i="25"/>
  <c r="H9" i="25"/>
  <c r="H10" i="25"/>
  <c r="H11" i="25"/>
  <c r="H12" i="25"/>
  <c r="H13" i="25"/>
  <c r="H14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30" i="25"/>
  <c r="H31" i="25"/>
  <c r="H32" i="25"/>
  <c r="H34" i="25"/>
  <c r="H35" i="25"/>
  <c r="H37" i="25"/>
  <c r="H40" i="25"/>
  <c r="H41" i="25"/>
  <c r="H42" i="25"/>
  <c r="H43" i="25"/>
  <c r="H44" i="25"/>
  <c r="H45" i="25"/>
  <c r="H46" i="25"/>
  <c r="H50" i="25"/>
  <c r="H51" i="25"/>
  <c r="H52" i="25"/>
  <c r="H53" i="25"/>
  <c r="H54" i="25"/>
  <c r="H55" i="25"/>
  <c r="H56" i="25"/>
  <c r="H57" i="25"/>
  <c r="H58" i="25"/>
  <c r="H59" i="25"/>
  <c r="H60" i="25"/>
  <c r="H61" i="25"/>
  <c r="H62" i="25"/>
  <c r="H63" i="25"/>
  <c r="H64" i="25"/>
  <c r="H65" i="25"/>
  <c r="H66" i="25"/>
  <c r="H67" i="25"/>
  <c r="H68" i="25"/>
  <c r="H69" i="25"/>
  <c r="H71" i="25"/>
  <c r="H72" i="25"/>
  <c r="H73" i="25"/>
  <c r="H74" i="25"/>
  <c r="H75" i="25"/>
  <c r="H76" i="25"/>
  <c r="H79" i="25"/>
  <c r="H80" i="25"/>
  <c r="H81" i="25"/>
  <c r="H87" i="25"/>
  <c r="H88" i="25"/>
  <c r="H89" i="25"/>
  <c r="H90" i="25"/>
  <c r="H91" i="25"/>
  <c r="H92" i="25"/>
  <c r="H93" i="25"/>
  <c r="H94" i="25"/>
  <c r="H95" i="25"/>
  <c r="H96" i="25"/>
  <c r="H97" i="25"/>
  <c r="H7" i="25"/>
  <c r="D62" i="6"/>
  <c r="E62" i="6"/>
  <c r="R57" i="6"/>
  <c r="D8" i="6"/>
  <c r="E8" i="6"/>
  <c r="R7" i="6"/>
  <c r="D32" i="26"/>
  <c r="I37" i="6"/>
  <c r="D37" i="6"/>
  <c r="E37" i="6"/>
  <c r="J37" i="6"/>
  <c r="O37" i="6"/>
  <c r="D31" i="26"/>
  <c r="I36" i="6"/>
  <c r="D36" i="6"/>
  <c r="E36" i="6"/>
  <c r="J36" i="6"/>
  <c r="O36" i="6"/>
  <c r="J31" i="26"/>
  <c r="H31" i="26"/>
  <c r="K31" i="26"/>
  <c r="K36" i="6"/>
  <c r="L36" i="6"/>
  <c r="P36" i="6"/>
  <c r="Q36" i="6"/>
  <c r="D20" i="26"/>
  <c r="I23" i="6"/>
  <c r="D24" i="6"/>
  <c r="E24" i="6"/>
  <c r="J23" i="6"/>
  <c r="R36" i="6"/>
  <c r="D7" i="26"/>
  <c r="I8" i="6"/>
  <c r="D11" i="6"/>
  <c r="E11" i="6"/>
  <c r="J8" i="6"/>
  <c r="O8" i="6"/>
  <c r="J7" i="26"/>
  <c r="H7" i="26"/>
  <c r="K7" i="26"/>
  <c r="K8" i="6"/>
  <c r="L8" i="6"/>
  <c r="P8" i="6"/>
  <c r="Q8" i="6"/>
  <c r="D8" i="26"/>
  <c r="I9" i="6"/>
  <c r="D13" i="6"/>
  <c r="E13" i="6"/>
  <c r="J9" i="6"/>
  <c r="O9" i="6"/>
  <c r="J8" i="26"/>
  <c r="H8" i="26"/>
  <c r="K8" i="26"/>
  <c r="K9" i="6"/>
  <c r="L9" i="6"/>
  <c r="P9" i="6"/>
  <c r="Q9" i="6"/>
  <c r="D9" i="26"/>
  <c r="I10" i="6"/>
  <c r="D14" i="6"/>
  <c r="E14" i="6"/>
  <c r="J10" i="6"/>
  <c r="O10" i="6"/>
  <c r="J9" i="26"/>
  <c r="H9" i="26"/>
  <c r="K9" i="26"/>
  <c r="K10" i="6"/>
  <c r="L10" i="6"/>
  <c r="P10" i="6"/>
  <c r="Q10" i="6"/>
  <c r="D10" i="26"/>
  <c r="I11" i="6"/>
  <c r="D15" i="6"/>
  <c r="E15" i="6"/>
  <c r="J11" i="6"/>
  <c r="O11" i="6"/>
  <c r="J10" i="26"/>
  <c r="H10" i="26"/>
  <c r="K10" i="26"/>
  <c r="K11" i="6"/>
  <c r="L11" i="6"/>
  <c r="P11" i="6"/>
  <c r="Q11" i="6"/>
  <c r="D11" i="26"/>
  <c r="I12" i="6"/>
  <c r="D17" i="6"/>
  <c r="E17" i="6"/>
  <c r="J12" i="6"/>
  <c r="O12" i="6"/>
  <c r="J11" i="26"/>
  <c r="H11" i="26"/>
  <c r="K11" i="26"/>
  <c r="K12" i="6"/>
  <c r="L12" i="6"/>
  <c r="P12" i="6"/>
  <c r="Q12" i="6"/>
  <c r="D13" i="26"/>
  <c r="I14" i="6"/>
  <c r="D19" i="6"/>
  <c r="E19" i="6"/>
  <c r="J14" i="6"/>
  <c r="O13" i="6"/>
  <c r="J13" i="26"/>
  <c r="H13" i="26"/>
  <c r="K13" i="26"/>
  <c r="K14" i="6"/>
  <c r="L14" i="6"/>
  <c r="P13" i="6"/>
  <c r="Q13" i="6"/>
  <c r="D14" i="26"/>
  <c r="I15" i="6"/>
  <c r="D20" i="6"/>
  <c r="E20" i="6"/>
  <c r="J15" i="6"/>
  <c r="O14" i="6"/>
  <c r="J14" i="26"/>
  <c r="H14" i="26"/>
  <c r="K14" i="26"/>
  <c r="K15" i="6"/>
  <c r="L15" i="6"/>
  <c r="P14" i="6"/>
  <c r="Q14" i="6"/>
  <c r="O23" i="6"/>
  <c r="J20" i="26"/>
  <c r="H20" i="26" a="1"/>
  <c r="H20" i="26"/>
  <c r="K20" i="26"/>
  <c r="K23" i="6"/>
  <c r="L23" i="6"/>
  <c r="P23" i="6"/>
  <c r="Q23" i="6"/>
  <c r="D21" i="26"/>
  <c r="I24" i="6"/>
  <c r="D25" i="6"/>
  <c r="E25" i="6"/>
  <c r="J24" i="6"/>
  <c r="O24" i="6"/>
  <c r="J21" i="26"/>
  <c r="H21" i="26"/>
  <c r="K21" i="26"/>
  <c r="K24" i="6"/>
  <c r="L24" i="6"/>
  <c r="P24" i="6"/>
  <c r="Q24" i="6"/>
  <c r="D22" i="26"/>
  <c r="I25" i="6"/>
  <c r="D26" i="6"/>
  <c r="E26" i="6"/>
  <c r="J25" i="6"/>
  <c r="O25" i="6"/>
  <c r="J22" i="26"/>
  <c r="H22" i="26"/>
  <c r="K22" i="26"/>
  <c r="K25" i="6"/>
  <c r="L25" i="6"/>
  <c r="P25" i="6"/>
  <c r="Q25" i="6"/>
  <c r="D23" i="26"/>
  <c r="I26" i="6"/>
  <c r="D28" i="6"/>
  <c r="E28" i="6"/>
  <c r="J26" i="6"/>
  <c r="O26" i="6"/>
  <c r="J23" i="26"/>
  <c r="H23" i="26"/>
  <c r="K23" i="26"/>
  <c r="K26" i="6"/>
  <c r="D29" i="6"/>
  <c r="E29" i="6"/>
  <c r="L26" i="6"/>
  <c r="P26" i="6"/>
  <c r="Q26" i="6"/>
  <c r="D24" i="26"/>
  <c r="I27" i="6"/>
  <c r="J27" i="6"/>
  <c r="O27" i="6"/>
  <c r="J24" i="26"/>
  <c r="H24" i="26"/>
  <c r="K24" i="26"/>
  <c r="K27" i="6"/>
  <c r="L27" i="6"/>
  <c r="P27" i="6"/>
  <c r="Q27" i="6"/>
  <c r="D25" i="26"/>
  <c r="I28" i="6"/>
  <c r="D30" i="6"/>
  <c r="E30" i="6"/>
  <c r="J28" i="6"/>
  <c r="O28" i="6"/>
  <c r="J25" i="26"/>
  <c r="H25" i="26"/>
  <c r="K25" i="26"/>
  <c r="K28" i="6"/>
  <c r="L28" i="6"/>
  <c r="P28" i="6"/>
  <c r="Q28" i="6"/>
  <c r="D26" i="26"/>
  <c r="I29" i="6"/>
  <c r="D31" i="6"/>
  <c r="E31" i="6"/>
  <c r="J29" i="6"/>
  <c r="O29" i="6"/>
  <c r="J26" i="26"/>
  <c r="H26" i="26"/>
  <c r="K26" i="26"/>
  <c r="K29" i="6"/>
  <c r="L29" i="6"/>
  <c r="P29" i="6"/>
  <c r="Q29" i="6"/>
  <c r="D27" i="26"/>
  <c r="I30" i="6"/>
  <c r="D32" i="6"/>
  <c r="E32" i="6"/>
  <c r="J30" i="6"/>
  <c r="O30" i="6"/>
  <c r="J27" i="26"/>
  <c r="H27" i="26"/>
  <c r="K27" i="26"/>
  <c r="K30" i="6"/>
  <c r="L30" i="6"/>
  <c r="P30" i="6"/>
  <c r="Q30" i="6"/>
  <c r="J32" i="26"/>
  <c r="H32" i="26"/>
  <c r="K32" i="26"/>
  <c r="K37" i="6"/>
  <c r="L37" i="6"/>
  <c r="P37" i="6"/>
  <c r="Q37" i="6"/>
  <c r="D33" i="26"/>
  <c r="I38" i="6"/>
  <c r="D40" i="6"/>
  <c r="E40" i="6"/>
  <c r="J38" i="6"/>
  <c r="O38" i="6"/>
  <c r="J33" i="26"/>
  <c r="H33" i="26"/>
  <c r="K33" i="26"/>
  <c r="K38" i="6"/>
  <c r="L38" i="6"/>
  <c r="P38" i="6"/>
  <c r="Q38" i="6"/>
  <c r="D34" i="26"/>
  <c r="I39" i="6"/>
  <c r="D41" i="6"/>
  <c r="E41" i="6"/>
  <c r="J39" i="6"/>
  <c r="O39" i="6"/>
  <c r="J34" i="26"/>
  <c r="H34" i="26"/>
  <c r="K34" i="26"/>
  <c r="K39" i="6"/>
  <c r="L39" i="6"/>
  <c r="P39" i="6"/>
  <c r="Q39" i="6"/>
  <c r="D35" i="26"/>
  <c r="I40" i="6"/>
  <c r="D42" i="6"/>
  <c r="E42" i="6"/>
  <c r="J40" i="6"/>
  <c r="O40" i="6"/>
  <c r="J35" i="26"/>
  <c r="H35" i="26"/>
  <c r="K35" i="26"/>
  <c r="K40" i="6"/>
  <c r="L40" i="6"/>
  <c r="P40" i="6"/>
  <c r="Q40" i="6"/>
  <c r="D36" i="26"/>
  <c r="I41" i="6"/>
  <c r="D43" i="6"/>
  <c r="E43" i="6"/>
  <c r="J41" i="6"/>
  <c r="O41" i="6"/>
  <c r="J36" i="26"/>
  <c r="H36" i="26"/>
  <c r="K36" i="26"/>
  <c r="K41" i="6"/>
  <c r="L41" i="6"/>
  <c r="P41" i="6"/>
  <c r="Q41" i="6"/>
  <c r="D37" i="26"/>
  <c r="I42" i="6"/>
  <c r="D44" i="6"/>
  <c r="E44" i="6"/>
  <c r="J42" i="6"/>
  <c r="O42" i="6"/>
  <c r="J37" i="26"/>
  <c r="H37" i="26"/>
  <c r="K37" i="26"/>
  <c r="K42" i="6"/>
  <c r="L42" i="6"/>
  <c r="P42" i="6"/>
  <c r="Q42" i="6"/>
  <c r="D38" i="26"/>
  <c r="I43" i="6"/>
  <c r="D46" i="6"/>
  <c r="E46" i="6"/>
  <c r="J43" i="6"/>
  <c r="O43" i="6"/>
  <c r="J38" i="26"/>
  <c r="H38" i="26"/>
  <c r="K38" i="26"/>
  <c r="K43" i="6"/>
  <c r="L43" i="6"/>
  <c r="P43" i="6"/>
  <c r="Q43" i="6"/>
  <c r="D40" i="26"/>
  <c r="I45" i="6"/>
  <c r="D47" i="6"/>
  <c r="E47" i="6"/>
  <c r="J45" i="6"/>
  <c r="O44" i="6"/>
  <c r="J40" i="26"/>
  <c r="H40" i="26"/>
  <c r="K40" i="26"/>
  <c r="K45" i="6"/>
  <c r="L45" i="6"/>
  <c r="P44" i="6"/>
  <c r="Q44" i="6"/>
  <c r="D44" i="26"/>
  <c r="I50" i="6"/>
  <c r="D54" i="6"/>
  <c r="E54" i="6"/>
  <c r="J50" i="6"/>
  <c r="O50" i="6"/>
  <c r="J44" i="26"/>
  <c r="H44" i="26"/>
  <c r="K44" i="26"/>
  <c r="K50" i="6"/>
  <c r="L50" i="6"/>
  <c r="P50" i="6"/>
  <c r="Q50" i="6"/>
  <c r="D45" i="26"/>
  <c r="I51" i="6"/>
  <c r="D55" i="6"/>
  <c r="E55" i="6"/>
  <c r="J51" i="6"/>
  <c r="O51" i="6"/>
  <c r="J45" i="26"/>
  <c r="H45" i="26"/>
  <c r="K45" i="26"/>
  <c r="K51" i="6"/>
  <c r="L51" i="6"/>
  <c r="P51" i="6"/>
  <c r="Q51" i="6"/>
  <c r="D46" i="26"/>
  <c r="I52" i="6"/>
  <c r="D56" i="6"/>
  <c r="E56" i="6"/>
  <c r="J52" i="6"/>
  <c r="O52" i="6"/>
  <c r="J46" i="26"/>
  <c r="H46" i="26"/>
  <c r="K46" i="26"/>
  <c r="K52" i="6"/>
  <c r="L52" i="6"/>
  <c r="P52" i="6"/>
  <c r="Q52" i="6"/>
  <c r="D47" i="26"/>
  <c r="I53" i="6"/>
  <c r="B57" i="6"/>
  <c r="J53" i="6"/>
  <c r="O53" i="6"/>
  <c r="J47" i="26"/>
  <c r="H47" i="26"/>
  <c r="K47" i="26"/>
  <c r="K53" i="6"/>
  <c r="D57" i="6"/>
  <c r="E57" i="6"/>
  <c r="L53" i="6"/>
  <c r="P53" i="6"/>
  <c r="Q53" i="6"/>
  <c r="D48" i="26"/>
  <c r="I54" i="6"/>
  <c r="D58" i="6"/>
  <c r="E58" i="6"/>
  <c r="J54" i="6"/>
  <c r="O54" i="6"/>
  <c r="J48" i="26"/>
  <c r="K48" i="26"/>
  <c r="K54" i="6"/>
  <c r="L54" i="6"/>
  <c r="P54" i="6"/>
  <c r="Q54" i="6"/>
  <c r="D49" i="26"/>
  <c r="I55" i="6"/>
  <c r="D59" i="6"/>
  <c r="E59" i="6"/>
  <c r="J55" i="6"/>
  <c r="O55" i="6"/>
  <c r="J49" i="26"/>
  <c r="H49" i="26"/>
  <c r="K49" i="26"/>
  <c r="K55" i="6"/>
  <c r="L55" i="6"/>
  <c r="P55" i="6"/>
  <c r="Q55" i="6"/>
  <c r="D50" i="26"/>
  <c r="I56" i="6"/>
  <c r="D61" i="6"/>
  <c r="E61" i="6"/>
  <c r="J56" i="6"/>
  <c r="O56" i="6"/>
  <c r="J50" i="26"/>
  <c r="H50" i="26"/>
  <c r="K50" i="26"/>
  <c r="K56" i="6"/>
  <c r="L56" i="6"/>
  <c r="P56" i="6"/>
  <c r="Q56" i="6"/>
  <c r="D51" i="26"/>
  <c r="I57" i="6"/>
  <c r="J57" i="6"/>
  <c r="O57" i="6"/>
  <c r="J51" i="26"/>
  <c r="H51" i="26"/>
  <c r="K51" i="26"/>
  <c r="K57" i="6"/>
  <c r="L57" i="6"/>
  <c r="P57" i="6"/>
  <c r="Q57" i="6"/>
  <c r="D52" i="26"/>
  <c r="I58" i="6"/>
  <c r="D63" i="6"/>
  <c r="E63" i="6"/>
  <c r="J58" i="6"/>
  <c r="O58" i="6"/>
  <c r="J52" i="26"/>
  <c r="H52" i="26"/>
  <c r="K52" i="26"/>
  <c r="K58" i="6"/>
  <c r="L58" i="6"/>
  <c r="P58" i="6"/>
  <c r="Q58" i="6"/>
  <c r="D53" i="26"/>
  <c r="I59" i="6"/>
  <c r="D64" i="6"/>
  <c r="E64" i="6"/>
  <c r="J59" i="6"/>
  <c r="O59" i="6"/>
  <c r="J53" i="26"/>
  <c r="H53" i="26"/>
  <c r="K53" i="26"/>
  <c r="K59" i="6"/>
  <c r="L59" i="6"/>
  <c r="P59" i="6"/>
  <c r="Q59" i="6"/>
  <c r="D6" i="26"/>
  <c r="I7" i="6"/>
  <c r="J7" i="6"/>
  <c r="O7" i="6"/>
  <c r="J6" i="26"/>
  <c r="H6" i="26"/>
  <c r="K6" i="26"/>
  <c r="K7" i="6"/>
  <c r="L7" i="6"/>
  <c r="P7" i="6"/>
  <c r="Q7" i="6"/>
  <c r="R58" i="6"/>
  <c r="R59" i="6"/>
  <c r="R56" i="6"/>
  <c r="R51" i="6"/>
  <c r="R52" i="6"/>
  <c r="R53" i="6"/>
  <c r="R54" i="6"/>
  <c r="R55" i="6"/>
  <c r="R50" i="6"/>
  <c r="B58" i="6"/>
  <c r="B59" i="6"/>
  <c r="B61" i="6"/>
  <c r="B62" i="6"/>
  <c r="R44" i="6"/>
  <c r="R43" i="6"/>
  <c r="R39" i="6"/>
  <c r="R40" i="6"/>
  <c r="R41" i="6"/>
  <c r="R42" i="6"/>
  <c r="R38" i="6"/>
  <c r="R37" i="6"/>
  <c r="B37" i="6"/>
  <c r="B40" i="6"/>
  <c r="B41" i="6"/>
  <c r="B42" i="6"/>
  <c r="B43" i="6"/>
  <c r="B44" i="6"/>
  <c r="B46" i="6"/>
  <c r="G36" i="6"/>
  <c r="B36" i="6"/>
  <c r="H36" i="6"/>
  <c r="N36" i="6"/>
  <c r="R27" i="6"/>
  <c r="R28" i="6"/>
  <c r="R29" i="6"/>
  <c r="R30" i="6"/>
  <c r="R26" i="6"/>
  <c r="R24" i="6"/>
  <c r="R25" i="6"/>
  <c r="R23" i="6"/>
  <c r="B25" i="6"/>
  <c r="B27" i="6"/>
  <c r="B28" i="6"/>
  <c r="B29" i="6"/>
  <c r="B30" i="6"/>
  <c r="B31" i="6"/>
  <c r="B32" i="6"/>
  <c r="B24" i="6"/>
  <c r="R14" i="6"/>
  <c r="R13" i="6"/>
  <c r="R12" i="6"/>
  <c r="R11" i="6"/>
  <c r="R10" i="6"/>
  <c r="R9" i="6"/>
  <c r="R8" i="6"/>
  <c r="B20" i="6"/>
  <c r="B19" i="6"/>
  <c r="B11" i="6"/>
  <c r="B14" i="6"/>
  <c r="B17" i="6"/>
  <c r="B8" i="6"/>
  <c r="D65" i="6"/>
  <c r="E65" i="6"/>
  <c r="B65" i="6"/>
  <c r="B64" i="6"/>
  <c r="B63" i="6"/>
  <c r="D60" i="6"/>
  <c r="E60" i="6"/>
  <c r="B60" i="6"/>
  <c r="B56" i="6"/>
  <c r="B55" i="6"/>
  <c r="B54" i="6"/>
  <c r="D53" i="6"/>
  <c r="E53" i="6"/>
  <c r="B53" i="6"/>
  <c r="D52" i="6"/>
  <c r="E52" i="6"/>
  <c r="B52" i="6"/>
  <c r="D51" i="6"/>
  <c r="E51" i="6"/>
  <c r="B51" i="6"/>
  <c r="D50" i="6"/>
  <c r="E50" i="6"/>
  <c r="B50" i="6"/>
  <c r="D27" i="6"/>
  <c r="E27" i="6"/>
  <c r="B26" i="6"/>
  <c r="D23" i="6"/>
  <c r="E23" i="6"/>
  <c r="B23" i="6"/>
  <c r="B47" i="6"/>
  <c r="D45" i="6"/>
  <c r="E45" i="6"/>
  <c r="B45" i="6"/>
  <c r="D39" i="6"/>
  <c r="E39" i="6"/>
  <c r="B39" i="6"/>
  <c r="D38" i="6"/>
  <c r="E38" i="6"/>
  <c r="B38" i="6"/>
  <c r="D9" i="6"/>
  <c r="E9" i="6"/>
  <c r="D10" i="6"/>
  <c r="E10" i="6"/>
  <c r="D12" i="6"/>
  <c r="E12" i="6"/>
  <c r="D16" i="6"/>
  <c r="E16" i="6"/>
  <c r="D18" i="6"/>
  <c r="E18" i="6"/>
  <c r="D7" i="6"/>
  <c r="E7" i="6"/>
  <c r="B9" i="6"/>
  <c r="B10" i="6"/>
  <c r="B12" i="6"/>
  <c r="B13" i="6"/>
  <c r="B15" i="6"/>
  <c r="B16" i="6"/>
  <c r="B18" i="6"/>
  <c r="B7" i="6"/>
  <c r="B8" i="26"/>
  <c r="G9" i="6"/>
  <c r="H9" i="6"/>
  <c r="N9" i="6"/>
  <c r="B45" i="26"/>
  <c r="G51" i="6"/>
  <c r="H51" i="6"/>
  <c r="N51" i="6"/>
  <c r="B46" i="26"/>
  <c r="G52" i="6"/>
  <c r="H52" i="6"/>
  <c r="N52" i="6"/>
  <c r="B47" i="26"/>
  <c r="G53" i="6"/>
  <c r="H53" i="6"/>
  <c r="N53" i="6"/>
  <c r="B48" i="26"/>
  <c r="G54" i="6"/>
  <c r="H54" i="6"/>
  <c r="N54" i="6"/>
  <c r="B49" i="26"/>
  <c r="G55" i="6"/>
  <c r="H55" i="6"/>
  <c r="N55" i="6"/>
  <c r="B50" i="26"/>
  <c r="G56" i="6"/>
  <c r="H56" i="6"/>
  <c r="N56" i="6"/>
  <c r="B51" i="26"/>
  <c r="G57" i="6"/>
  <c r="H57" i="6"/>
  <c r="N57" i="6"/>
  <c r="B52" i="26"/>
  <c r="G58" i="6"/>
  <c r="H58" i="6"/>
  <c r="N58" i="6"/>
  <c r="B53" i="26"/>
  <c r="G59" i="6"/>
  <c r="H59" i="6"/>
  <c r="N59" i="6"/>
  <c r="B44" i="26"/>
  <c r="G50" i="6"/>
  <c r="H50" i="6"/>
  <c r="N50" i="6"/>
  <c r="B40" i="26"/>
  <c r="G45" i="6"/>
  <c r="H45" i="6"/>
  <c r="N44" i="6"/>
  <c r="B32" i="26"/>
  <c r="G37" i="6"/>
  <c r="H37" i="6"/>
  <c r="N37" i="6"/>
  <c r="B33" i="26"/>
  <c r="G38" i="6"/>
  <c r="H38" i="6"/>
  <c r="N38" i="6"/>
  <c r="B34" i="26"/>
  <c r="G39" i="6"/>
  <c r="H39" i="6"/>
  <c r="N39" i="6"/>
  <c r="B35" i="26"/>
  <c r="G40" i="6"/>
  <c r="H40" i="6"/>
  <c r="N40" i="6"/>
  <c r="B36" i="26"/>
  <c r="G41" i="6"/>
  <c r="H41" i="6"/>
  <c r="N41" i="6"/>
  <c r="B37" i="26"/>
  <c r="G42" i="6"/>
  <c r="H42" i="6"/>
  <c r="N42" i="6"/>
  <c r="B38" i="26"/>
  <c r="G43" i="6"/>
  <c r="H43" i="6"/>
  <c r="N43" i="6"/>
  <c r="B21" i="26"/>
  <c r="G24" i="6"/>
  <c r="H24" i="6"/>
  <c r="N24" i="6"/>
  <c r="B22" i="26"/>
  <c r="G25" i="6"/>
  <c r="H25" i="6"/>
  <c r="N25" i="6"/>
  <c r="B23" i="26"/>
  <c r="G26" i="6"/>
  <c r="H26" i="6"/>
  <c r="N26" i="6"/>
  <c r="B24" i="26"/>
  <c r="G27" i="6"/>
  <c r="H27" i="6"/>
  <c r="N27" i="6"/>
  <c r="B25" i="26"/>
  <c r="G28" i="6"/>
  <c r="H28" i="6"/>
  <c r="N28" i="6"/>
  <c r="B26" i="26"/>
  <c r="G29" i="6"/>
  <c r="H29" i="6"/>
  <c r="N29" i="6"/>
  <c r="B27" i="26"/>
  <c r="G30" i="6"/>
  <c r="H30" i="6"/>
  <c r="N30" i="6"/>
  <c r="B20" i="26"/>
  <c r="G23" i="6"/>
  <c r="H23" i="6"/>
  <c r="N23" i="6"/>
  <c r="B14" i="26"/>
  <c r="G15" i="6"/>
  <c r="H15" i="6"/>
  <c r="N14" i="6"/>
  <c r="B13" i="26"/>
  <c r="G14" i="6"/>
  <c r="H14" i="6"/>
  <c r="N13" i="6"/>
  <c r="B7" i="26"/>
  <c r="G8" i="6"/>
  <c r="H8" i="6"/>
  <c r="N8" i="6"/>
  <c r="B9" i="26"/>
  <c r="G10" i="6"/>
  <c r="H10" i="6"/>
  <c r="N10" i="6"/>
  <c r="B10" i="26"/>
  <c r="G11" i="6"/>
  <c r="H11" i="6"/>
  <c r="N11" i="6"/>
  <c r="B11" i="26"/>
  <c r="G12" i="6"/>
  <c r="H12" i="6"/>
  <c r="N12" i="6"/>
  <c r="B6" i="26"/>
  <c r="G7" i="6"/>
  <c r="H7" i="6"/>
  <c r="N7" i="6"/>
  <c r="J54" i="26"/>
  <c r="H54" i="26"/>
  <c r="K54" i="26"/>
  <c r="K60" i="6"/>
  <c r="D54" i="26"/>
  <c r="I60" i="6"/>
  <c r="B54" i="26"/>
  <c r="G60" i="6"/>
  <c r="J12" i="26"/>
  <c r="H12" i="26"/>
  <c r="K12" i="26"/>
  <c r="K13" i="6"/>
  <c r="J15" i="26"/>
  <c r="H15" i="26"/>
  <c r="K15" i="26"/>
  <c r="K16" i="6"/>
  <c r="J39" i="26"/>
  <c r="H39" i="26"/>
  <c r="K39" i="26"/>
  <c r="K44" i="6"/>
  <c r="D39" i="26"/>
  <c r="I44" i="6"/>
  <c r="B39" i="26"/>
  <c r="G44" i="6"/>
  <c r="D12" i="26"/>
  <c r="I13" i="6"/>
  <c r="D15" i="26"/>
  <c r="I16" i="6"/>
  <c r="B12" i="26"/>
  <c r="G13" i="6"/>
  <c r="B15" i="26"/>
  <c r="G16" i="6"/>
  <c r="C8" i="12"/>
  <c r="D8" i="12"/>
  <c r="F8" i="12"/>
  <c r="G8" i="12"/>
  <c r="I8" i="12"/>
  <c r="J8" i="12"/>
  <c r="L9" i="12"/>
  <c r="M9" i="12"/>
  <c r="O8" i="12"/>
  <c r="P8" i="12"/>
  <c r="O9" i="12"/>
  <c r="P9" i="12"/>
  <c r="O11" i="12"/>
  <c r="P11" i="12"/>
  <c r="O13" i="12"/>
  <c r="P13" i="12"/>
  <c r="O14" i="12"/>
  <c r="P14" i="12"/>
  <c r="O15" i="12"/>
  <c r="P15" i="12"/>
  <c r="O16" i="12"/>
  <c r="P16" i="12"/>
  <c r="O17" i="12"/>
  <c r="P17" i="12"/>
  <c r="O6" i="12"/>
  <c r="P6" i="12"/>
  <c r="L11" i="12"/>
  <c r="M11" i="12"/>
  <c r="L13" i="12"/>
  <c r="M13" i="12"/>
  <c r="L14" i="12"/>
  <c r="M14" i="12"/>
  <c r="L15" i="12"/>
  <c r="M15" i="12"/>
  <c r="L16" i="12"/>
  <c r="M16" i="12"/>
  <c r="L17" i="12"/>
  <c r="M17" i="12"/>
  <c r="L8" i="12"/>
  <c r="M8" i="12"/>
  <c r="I9" i="12"/>
  <c r="J9" i="12"/>
  <c r="I11" i="12"/>
  <c r="J11" i="12"/>
  <c r="I13" i="12"/>
  <c r="J13" i="12"/>
  <c r="I14" i="12"/>
  <c r="J14" i="12"/>
  <c r="I15" i="12"/>
  <c r="J15" i="12"/>
  <c r="I16" i="12"/>
  <c r="J16" i="12"/>
  <c r="I17" i="12"/>
  <c r="J17" i="12"/>
  <c r="I6" i="12"/>
  <c r="J6" i="12"/>
  <c r="F9" i="12"/>
  <c r="G9" i="12"/>
  <c r="F11" i="12"/>
  <c r="G11" i="12"/>
  <c r="F13" i="12"/>
  <c r="G13" i="12"/>
  <c r="F14" i="12"/>
  <c r="G14" i="12"/>
  <c r="F15" i="12"/>
  <c r="G15" i="12"/>
  <c r="F16" i="12"/>
  <c r="G16" i="12"/>
  <c r="F17" i="12"/>
  <c r="G17" i="12"/>
  <c r="C9" i="12"/>
  <c r="D9" i="12"/>
  <c r="C11" i="12"/>
  <c r="D11" i="12"/>
  <c r="C13" i="12"/>
  <c r="D13" i="12"/>
  <c r="C14" i="12"/>
  <c r="D14" i="12"/>
  <c r="C15" i="12"/>
  <c r="D15" i="12"/>
  <c r="C16" i="12"/>
  <c r="D16" i="12"/>
  <c r="C17" i="12"/>
  <c r="D17" i="12"/>
  <c r="C6" i="12"/>
  <c r="D6" i="12"/>
  <c r="E6" i="14"/>
  <c r="E7" i="14"/>
  <c r="E8" i="14"/>
  <c r="E9" i="14"/>
  <c r="E13" i="14"/>
  <c r="E14" i="14"/>
  <c r="E15" i="14"/>
  <c r="E16" i="14"/>
  <c r="E21" i="14"/>
  <c r="E22" i="14"/>
  <c r="E23" i="14"/>
  <c r="E24" i="14"/>
  <c r="E25" i="14"/>
  <c r="E29" i="14"/>
  <c r="E30" i="14"/>
  <c r="E31" i="14"/>
  <c r="E32" i="14"/>
  <c r="E33" i="14"/>
  <c r="E5" i="14"/>
  <c r="C6" i="14"/>
  <c r="C7" i="14"/>
  <c r="C8" i="14"/>
  <c r="C9" i="14"/>
  <c r="C13" i="14"/>
  <c r="C14" i="14"/>
  <c r="C15" i="14"/>
  <c r="C16" i="14"/>
  <c r="C17" i="14"/>
  <c r="C21" i="14"/>
  <c r="C22" i="14"/>
  <c r="C23" i="14"/>
  <c r="C24" i="14"/>
  <c r="C25" i="14"/>
  <c r="C29" i="14"/>
  <c r="C30" i="14"/>
  <c r="C31" i="14"/>
  <c r="C32" i="14"/>
  <c r="C33" i="14"/>
  <c r="C5" i="14"/>
  <c r="D9" i="16"/>
  <c r="E6" i="16"/>
  <c r="B9" i="16"/>
  <c r="F9" i="16"/>
  <c r="H9" i="16"/>
  <c r="G6" i="16"/>
  <c r="I6" i="16"/>
  <c r="C6" i="16"/>
  <c r="I8" i="13"/>
  <c r="I9" i="13"/>
  <c r="I10" i="13"/>
  <c r="I11" i="13"/>
  <c r="I12" i="13"/>
  <c r="I13" i="13"/>
  <c r="I14" i="13"/>
  <c r="I19" i="13"/>
  <c r="I20" i="13"/>
  <c r="I21" i="13"/>
  <c r="I22" i="13"/>
  <c r="I23" i="13"/>
  <c r="I24" i="13"/>
  <c r="I25" i="13"/>
  <c r="I31" i="13"/>
  <c r="I32" i="13"/>
  <c r="I33" i="13"/>
  <c r="I34" i="13"/>
  <c r="I35" i="13"/>
  <c r="I36" i="13"/>
  <c r="I37" i="13"/>
  <c r="I38" i="13"/>
  <c r="I39" i="13"/>
  <c r="I7" i="13"/>
  <c r="J8" i="39"/>
  <c r="K8" i="39"/>
  <c r="J9" i="39"/>
  <c r="K9" i="39"/>
  <c r="J10" i="39"/>
  <c r="K10" i="39"/>
  <c r="K7" i="39"/>
  <c r="J7" i="39"/>
  <c r="K6" i="39"/>
  <c r="J6" i="39"/>
  <c r="H51" i="42"/>
  <c r="I51" i="42"/>
  <c r="H52" i="42"/>
  <c r="I52" i="42"/>
  <c r="H53" i="42"/>
  <c r="I53" i="42"/>
  <c r="H54" i="42"/>
  <c r="I54" i="42"/>
  <c r="H55" i="42"/>
  <c r="I55" i="42"/>
  <c r="H56" i="42"/>
  <c r="I56" i="42"/>
  <c r="H57" i="42"/>
  <c r="I57" i="42"/>
  <c r="H58" i="42"/>
  <c r="I58" i="42"/>
  <c r="H59" i="42"/>
  <c r="I59" i="42"/>
  <c r="H60" i="42"/>
  <c r="I60" i="42"/>
  <c r="H61" i="42"/>
  <c r="I61" i="42"/>
  <c r="H62" i="42"/>
  <c r="I62" i="42"/>
  <c r="H63" i="42"/>
  <c r="I63" i="42"/>
  <c r="H64" i="42"/>
  <c r="I64" i="42"/>
  <c r="H65" i="42"/>
  <c r="I65" i="42"/>
  <c r="H66" i="42"/>
  <c r="I66" i="42"/>
  <c r="H67" i="42"/>
  <c r="I67" i="42"/>
  <c r="H68" i="42"/>
  <c r="I68" i="42"/>
  <c r="H69" i="42"/>
  <c r="I69" i="42"/>
  <c r="H70" i="42"/>
  <c r="I70" i="42"/>
  <c r="H71" i="42"/>
  <c r="I71" i="42"/>
  <c r="H72" i="42"/>
  <c r="I72" i="42"/>
  <c r="H73" i="42"/>
  <c r="I73" i="42"/>
  <c r="H74" i="42"/>
  <c r="I74" i="42"/>
  <c r="H75" i="42"/>
  <c r="I75" i="42"/>
  <c r="H76" i="42"/>
  <c r="I76" i="42"/>
  <c r="H77" i="42"/>
  <c r="I77" i="42"/>
  <c r="H78" i="42"/>
  <c r="I78" i="42"/>
  <c r="H79" i="42"/>
  <c r="I79" i="42"/>
  <c r="H80" i="42"/>
  <c r="I80" i="42"/>
  <c r="H81" i="42"/>
  <c r="I81" i="42"/>
  <c r="H82" i="42"/>
  <c r="I82" i="42"/>
  <c r="H83" i="42"/>
  <c r="I83" i="42"/>
  <c r="H84" i="42"/>
  <c r="I84" i="42"/>
  <c r="H85" i="42"/>
  <c r="I85" i="42"/>
  <c r="H86" i="42"/>
  <c r="I86" i="42"/>
  <c r="H87" i="42"/>
  <c r="I87" i="42"/>
  <c r="H88" i="42"/>
  <c r="I88" i="42"/>
  <c r="H89" i="42"/>
  <c r="I89" i="42"/>
  <c r="H90" i="42"/>
  <c r="I90" i="42"/>
  <c r="H91" i="42"/>
  <c r="I91" i="42"/>
  <c r="H92" i="42"/>
  <c r="I92" i="42"/>
  <c r="H93" i="42"/>
  <c r="I93" i="42"/>
  <c r="H94" i="42"/>
  <c r="I94" i="42"/>
  <c r="H95" i="42"/>
  <c r="I95" i="42"/>
  <c r="H96" i="42"/>
  <c r="I96" i="42"/>
  <c r="H97" i="42"/>
  <c r="I97" i="42"/>
  <c r="H98" i="42"/>
  <c r="I98" i="42"/>
  <c r="H99" i="42"/>
  <c r="I99" i="42"/>
  <c r="H100" i="42"/>
  <c r="I100" i="42"/>
  <c r="H101" i="42"/>
  <c r="I101" i="42"/>
  <c r="H102" i="42"/>
  <c r="I102" i="42"/>
  <c r="H103" i="42"/>
  <c r="I103" i="42"/>
  <c r="H104" i="42"/>
  <c r="I104" i="42"/>
  <c r="H105" i="42"/>
  <c r="I105" i="42"/>
  <c r="H106" i="42"/>
  <c r="I106" i="42"/>
  <c r="H107" i="42"/>
  <c r="I107" i="42"/>
  <c r="H108" i="42"/>
  <c r="I108" i="42"/>
  <c r="H109" i="42"/>
  <c r="I109" i="42"/>
  <c r="H110" i="42"/>
  <c r="I110" i="42"/>
  <c r="H111" i="42"/>
  <c r="I111" i="42"/>
  <c r="H112" i="42"/>
  <c r="I112" i="42"/>
  <c r="H113" i="42"/>
  <c r="I113" i="42"/>
  <c r="H114" i="42"/>
  <c r="I114" i="42"/>
  <c r="H115" i="42"/>
  <c r="I115" i="42"/>
  <c r="H116" i="42"/>
  <c r="I116" i="42"/>
  <c r="H117" i="42"/>
  <c r="I117" i="42"/>
  <c r="H118" i="42"/>
  <c r="I118" i="42"/>
  <c r="H119" i="42"/>
  <c r="I119" i="42"/>
  <c r="H120" i="42"/>
  <c r="I120" i="42"/>
  <c r="H121" i="42"/>
  <c r="I121" i="42"/>
  <c r="H122" i="42"/>
  <c r="I122" i="42"/>
  <c r="H123" i="42"/>
  <c r="I123" i="42"/>
  <c r="H124" i="42"/>
  <c r="I124" i="42"/>
  <c r="H125" i="42"/>
  <c r="I125" i="42"/>
  <c r="H126" i="42"/>
  <c r="I126" i="42"/>
  <c r="H127" i="42"/>
  <c r="I127" i="42"/>
  <c r="H128" i="42"/>
  <c r="I128" i="42"/>
  <c r="H129" i="42"/>
  <c r="I129" i="42"/>
  <c r="H130" i="42"/>
  <c r="I130" i="42"/>
  <c r="H131" i="42"/>
  <c r="I131" i="42"/>
  <c r="I50" i="42"/>
  <c r="H50" i="42"/>
  <c r="N46" i="46"/>
  <c r="M46" i="46"/>
  <c r="C46" i="46"/>
  <c r="B46" i="46"/>
  <c r="N45" i="46"/>
  <c r="M45" i="46"/>
  <c r="C45" i="46"/>
  <c r="B45" i="46"/>
  <c r="N44" i="46"/>
  <c r="M44" i="46"/>
  <c r="C44" i="46"/>
  <c r="B44" i="46"/>
  <c r="N43" i="46"/>
  <c r="M43" i="46"/>
  <c r="C43" i="46"/>
  <c r="B43" i="46"/>
  <c r="N42" i="46"/>
  <c r="M42" i="46"/>
  <c r="C42" i="46"/>
  <c r="B42" i="46"/>
  <c r="K41" i="46"/>
  <c r="J41" i="46"/>
  <c r="L41" i="46"/>
  <c r="N41" i="46"/>
  <c r="I41" i="46"/>
  <c r="M41" i="46"/>
  <c r="H41" i="46"/>
  <c r="G41" i="46"/>
  <c r="F41" i="46"/>
  <c r="E41" i="46"/>
  <c r="D41" i="46"/>
  <c r="C41" i="46"/>
  <c r="B41" i="46"/>
  <c r="K40" i="46"/>
  <c r="J40" i="46"/>
  <c r="L40" i="46"/>
  <c r="N40" i="46"/>
  <c r="I40" i="46"/>
  <c r="M40" i="46"/>
  <c r="H40" i="46"/>
  <c r="G40" i="46"/>
  <c r="F40" i="46"/>
  <c r="E40" i="46"/>
  <c r="D40" i="46"/>
  <c r="C40" i="46"/>
  <c r="B40" i="46"/>
  <c r="K39" i="46"/>
  <c r="J39" i="46"/>
  <c r="L39" i="46"/>
  <c r="N39" i="46"/>
  <c r="I39" i="46"/>
  <c r="M39" i="46"/>
  <c r="H39" i="46"/>
  <c r="G39" i="46"/>
  <c r="F39" i="46"/>
  <c r="E39" i="46"/>
  <c r="D39" i="46"/>
  <c r="C39" i="46"/>
  <c r="B39" i="46"/>
  <c r="K38" i="46"/>
  <c r="J38" i="46"/>
  <c r="L38" i="46"/>
  <c r="N38" i="46"/>
  <c r="I38" i="46"/>
  <c r="M38" i="46"/>
  <c r="H38" i="46"/>
  <c r="G38" i="46"/>
  <c r="F38" i="46"/>
  <c r="E38" i="46"/>
  <c r="D38" i="46"/>
  <c r="C38" i="46"/>
  <c r="B38" i="46"/>
  <c r="K37" i="46"/>
  <c r="J37" i="46"/>
  <c r="L37" i="46"/>
  <c r="N37" i="46"/>
  <c r="I37" i="46"/>
  <c r="M37" i="46"/>
  <c r="H37" i="46"/>
  <c r="G37" i="46"/>
  <c r="F37" i="46"/>
  <c r="E37" i="46"/>
  <c r="D37" i="46"/>
  <c r="C37" i="46"/>
  <c r="B37" i="46"/>
  <c r="K36" i="46"/>
  <c r="J36" i="46"/>
  <c r="L36" i="46"/>
  <c r="N36" i="46"/>
  <c r="I36" i="46"/>
  <c r="M36" i="46"/>
  <c r="H36" i="46"/>
  <c r="G36" i="46"/>
  <c r="F36" i="46"/>
  <c r="E36" i="46"/>
  <c r="D36" i="46"/>
  <c r="C36" i="46"/>
  <c r="B36" i="46"/>
  <c r="K35" i="46"/>
  <c r="J35" i="46"/>
  <c r="L35" i="46"/>
  <c r="N35" i="46"/>
  <c r="I35" i="46"/>
  <c r="M35" i="46"/>
  <c r="H35" i="46"/>
  <c r="G35" i="46"/>
  <c r="F35" i="46"/>
  <c r="E35" i="46"/>
  <c r="D35" i="46"/>
  <c r="C35" i="46"/>
  <c r="B35" i="46"/>
  <c r="K34" i="46"/>
  <c r="J34" i="46"/>
  <c r="L34" i="46"/>
  <c r="N34" i="46"/>
  <c r="I34" i="46"/>
  <c r="M34" i="46"/>
  <c r="H34" i="46"/>
  <c r="G34" i="46"/>
  <c r="F34" i="46"/>
  <c r="E34" i="46"/>
  <c r="D34" i="46"/>
  <c r="C34" i="46"/>
  <c r="B34" i="46"/>
  <c r="K33" i="46"/>
  <c r="J33" i="46"/>
  <c r="L33" i="46"/>
  <c r="N33" i="46"/>
  <c r="I33" i="46"/>
  <c r="M33" i="46"/>
  <c r="H33" i="46"/>
  <c r="G33" i="46"/>
  <c r="F33" i="46"/>
  <c r="E33" i="46"/>
  <c r="D33" i="46"/>
  <c r="C33" i="46"/>
  <c r="B33" i="46"/>
  <c r="K32" i="46"/>
  <c r="J32" i="46"/>
  <c r="L32" i="46"/>
  <c r="N32" i="46"/>
  <c r="I32" i="46"/>
  <c r="M32" i="46"/>
  <c r="H32" i="46"/>
  <c r="G32" i="46"/>
  <c r="F32" i="46"/>
  <c r="E32" i="46"/>
  <c r="D32" i="46"/>
  <c r="C32" i="46"/>
  <c r="B32" i="46"/>
  <c r="K31" i="46"/>
  <c r="J31" i="46"/>
  <c r="L31" i="46"/>
  <c r="N31" i="46"/>
  <c r="I31" i="46"/>
  <c r="M31" i="46"/>
  <c r="H31" i="46"/>
  <c r="G31" i="46"/>
  <c r="F31" i="46"/>
  <c r="E31" i="46"/>
  <c r="D31" i="46"/>
  <c r="C31" i="46"/>
  <c r="B31" i="46"/>
  <c r="K30" i="46"/>
  <c r="J30" i="46"/>
  <c r="L30" i="46"/>
  <c r="N30" i="46"/>
  <c r="I30" i="46"/>
  <c r="M30" i="46"/>
  <c r="H30" i="46"/>
  <c r="G30" i="46"/>
  <c r="F30" i="46"/>
  <c r="E30" i="46"/>
  <c r="D30" i="46"/>
  <c r="C30" i="46"/>
  <c r="B30" i="46"/>
  <c r="K29" i="46"/>
  <c r="J29" i="46"/>
  <c r="L29" i="46"/>
  <c r="N29" i="46"/>
  <c r="I29" i="46"/>
  <c r="M29" i="46"/>
  <c r="H29" i="46"/>
  <c r="G29" i="46"/>
  <c r="F29" i="46"/>
  <c r="E29" i="46"/>
  <c r="D29" i="46"/>
  <c r="C29" i="46"/>
  <c r="B29" i="46"/>
  <c r="K28" i="46"/>
  <c r="J28" i="46"/>
  <c r="L28" i="46"/>
  <c r="N28" i="46"/>
  <c r="I28" i="46"/>
  <c r="M28" i="46"/>
  <c r="H28" i="46"/>
  <c r="G28" i="46"/>
  <c r="F28" i="46"/>
  <c r="E28" i="46"/>
  <c r="D28" i="46"/>
  <c r="C28" i="46"/>
  <c r="B28" i="46"/>
  <c r="K27" i="46"/>
  <c r="J27" i="46"/>
  <c r="L27" i="46"/>
  <c r="N27" i="46"/>
  <c r="I27" i="46"/>
  <c r="M27" i="46"/>
  <c r="H27" i="46"/>
  <c r="G27" i="46"/>
  <c r="F27" i="46"/>
  <c r="E27" i="46"/>
  <c r="D27" i="46"/>
  <c r="C27" i="46"/>
  <c r="B27" i="46"/>
  <c r="K26" i="46"/>
  <c r="J26" i="46"/>
  <c r="L26" i="46"/>
  <c r="N26" i="46"/>
  <c r="I26" i="46"/>
  <c r="M26" i="46"/>
  <c r="H26" i="46"/>
  <c r="G26" i="46"/>
  <c r="F26" i="46"/>
  <c r="E26" i="46"/>
  <c r="D26" i="46"/>
  <c r="C26" i="46"/>
  <c r="B26" i="46"/>
  <c r="K25" i="46"/>
  <c r="J25" i="46"/>
  <c r="L25" i="46"/>
  <c r="N25" i="46"/>
  <c r="I25" i="46"/>
  <c r="M25" i="46"/>
  <c r="H25" i="46"/>
  <c r="G25" i="46"/>
  <c r="F25" i="46"/>
  <c r="E25" i="46"/>
  <c r="D25" i="46"/>
  <c r="C25" i="46"/>
  <c r="B25" i="46"/>
  <c r="K24" i="46"/>
  <c r="J24" i="46"/>
  <c r="L24" i="46"/>
  <c r="N24" i="46"/>
  <c r="I24" i="46"/>
  <c r="M24" i="46"/>
  <c r="H24" i="46"/>
  <c r="G24" i="46"/>
  <c r="F24" i="46"/>
  <c r="E24" i="46"/>
  <c r="D24" i="46"/>
  <c r="C24" i="46"/>
  <c r="B24" i="46"/>
  <c r="K23" i="46"/>
  <c r="J23" i="46"/>
  <c r="L23" i="46"/>
  <c r="N23" i="46"/>
  <c r="I23" i="46"/>
  <c r="M23" i="46"/>
  <c r="H23" i="46"/>
  <c r="G23" i="46"/>
  <c r="F23" i="46"/>
  <c r="E23" i="46"/>
  <c r="D23" i="46"/>
  <c r="C23" i="46"/>
  <c r="B23" i="46"/>
  <c r="K22" i="46"/>
  <c r="J22" i="46"/>
  <c r="L22" i="46"/>
  <c r="N22" i="46"/>
  <c r="I22" i="46"/>
  <c r="M22" i="46"/>
  <c r="H22" i="46"/>
  <c r="G22" i="46"/>
  <c r="F22" i="46"/>
  <c r="E22" i="46"/>
  <c r="D22" i="46"/>
  <c r="C22" i="46"/>
  <c r="B22" i="46"/>
  <c r="K21" i="46"/>
  <c r="J21" i="46"/>
  <c r="L21" i="46"/>
  <c r="N21" i="46"/>
  <c r="I21" i="46"/>
  <c r="M21" i="46"/>
  <c r="H21" i="46"/>
  <c r="G21" i="46"/>
  <c r="F21" i="46"/>
  <c r="E21" i="46"/>
  <c r="D21" i="46"/>
  <c r="C21" i="46"/>
  <c r="B21" i="46"/>
  <c r="K20" i="46"/>
  <c r="J20" i="46"/>
  <c r="L20" i="46"/>
  <c r="N20" i="46"/>
  <c r="I20" i="46"/>
  <c r="M20" i="46"/>
  <c r="H20" i="46"/>
  <c r="G20" i="46"/>
  <c r="F20" i="46"/>
  <c r="E20" i="46"/>
  <c r="D20" i="46"/>
  <c r="C20" i="46"/>
  <c r="B20" i="46"/>
  <c r="K19" i="46"/>
  <c r="J19" i="46"/>
  <c r="L19" i="46"/>
  <c r="N19" i="46"/>
  <c r="I19" i="46"/>
  <c r="M19" i="46"/>
  <c r="H19" i="46"/>
  <c r="G19" i="46"/>
  <c r="F19" i="46"/>
  <c r="E19" i="46"/>
  <c r="D19" i="46"/>
  <c r="C19" i="46"/>
  <c r="B19" i="46"/>
  <c r="K18" i="46"/>
  <c r="J18" i="46"/>
  <c r="L18" i="46"/>
  <c r="N18" i="46"/>
  <c r="I18" i="46"/>
  <c r="M18" i="46"/>
  <c r="H18" i="46"/>
  <c r="G18" i="46"/>
  <c r="F18" i="46"/>
  <c r="E18" i="46"/>
  <c r="D18" i="46"/>
  <c r="C18" i="46"/>
  <c r="B18" i="46"/>
  <c r="K17" i="46"/>
  <c r="J17" i="46"/>
  <c r="L17" i="46"/>
  <c r="N17" i="46"/>
  <c r="I17" i="46"/>
  <c r="M17" i="46"/>
  <c r="H17" i="46"/>
  <c r="G17" i="46"/>
  <c r="F17" i="46"/>
  <c r="E17" i="46"/>
  <c r="D17" i="46"/>
  <c r="C17" i="46"/>
  <c r="B17" i="46"/>
  <c r="K16" i="46"/>
  <c r="J16" i="46"/>
  <c r="L16" i="46"/>
  <c r="N16" i="46"/>
  <c r="I16" i="46"/>
  <c r="M16" i="46"/>
  <c r="H16" i="46"/>
  <c r="G16" i="46"/>
  <c r="F16" i="46"/>
  <c r="E16" i="46"/>
  <c r="D16" i="46"/>
  <c r="C16" i="46"/>
  <c r="B16" i="46"/>
  <c r="K15" i="46"/>
  <c r="J15" i="46"/>
  <c r="L15" i="46"/>
  <c r="N15" i="46"/>
  <c r="I15" i="46"/>
  <c r="M15" i="46"/>
  <c r="H15" i="46"/>
  <c r="G15" i="46"/>
  <c r="F15" i="46"/>
  <c r="E15" i="46"/>
  <c r="D15" i="46"/>
  <c r="C15" i="46"/>
  <c r="B15" i="46"/>
  <c r="K14" i="46"/>
  <c r="J14" i="46"/>
  <c r="L14" i="46"/>
  <c r="N14" i="46"/>
  <c r="I14" i="46"/>
  <c r="M14" i="46"/>
  <c r="H14" i="46"/>
  <c r="G14" i="46"/>
  <c r="F14" i="46"/>
  <c r="E14" i="46"/>
  <c r="D14" i="46"/>
  <c r="C14" i="46"/>
  <c r="B14" i="46"/>
  <c r="K13" i="46"/>
  <c r="J13" i="46"/>
  <c r="L13" i="46"/>
  <c r="N13" i="46"/>
  <c r="I13" i="46"/>
  <c r="M13" i="46"/>
  <c r="H13" i="46"/>
  <c r="G13" i="46"/>
  <c r="F13" i="46"/>
  <c r="E13" i="46"/>
  <c r="D13" i="46"/>
  <c r="C13" i="46"/>
  <c r="B13" i="46"/>
  <c r="K12" i="46"/>
  <c r="J12" i="46"/>
  <c r="L12" i="46"/>
  <c r="N12" i="46"/>
  <c r="I12" i="46"/>
  <c r="M12" i="46"/>
  <c r="H12" i="46"/>
  <c r="G12" i="46"/>
  <c r="F12" i="46"/>
  <c r="E12" i="46"/>
  <c r="D12" i="46"/>
  <c r="C12" i="46"/>
  <c r="B12" i="46"/>
  <c r="K11" i="46"/>
  <c r="J11" i="46"/>
  <c r="L11" i="46"/>
  <c r="N11" i="46"/>
  <c r="I11" i="46"/>
  <c r="M11" i="46"/>
  <c r="H11" i="46"/>
  <c r="G11" i="46"/>
  <c r="F11" i="46"/>
  <c r="E11" i="46"/>
  <c r="D11" i="46"/>
  <c r="C11" i="46"/>
  <c r="B11" i="46"/>
  <c r="K10" i="46"/>
  <c r="J10" i="46"/>
  <c r="L10" i="46"/>
  <c r="N10" i="46"/>
  <c r="I10" i="46"/>
  <c r="M10" i="46"/>
  <c r="H10" i="46"/>
  <c r="G10" i="46"/>
  <c r="F10" i="46"/>
  <c r="E10" i="46"/>
  <c r="D10" i="46"/>
  <c r="C10" i="46"/>
  <c r="B10" i="46"/>
  <c r="K9" i="46"/>
  <c r="J9" i="46"/>
  <c r="L9" i="46"/>
  <c r="N9" i="46"/>
  <c r="I9" i="46"/>
  <c r="M9" i="46"/>
  <c r="H9" i="46"/>
  <c r="G9" i="46"/>
  <c r="F9" i="46"/>
  <c r="E9" i="46"/>
  <c r="D9" i="46"/>
  <c r="C9" i="46"/>
  <c r="B9" i="46"/>
  <c r="K8" i="46"/>
  <c r="J8" i="46"/>
  <c r="L8" i="46"/>
  <c r="N8" i="46"/>
  <c r="I8" i="46"/>
  <c r="M8" i="46"/>
  <c r="H8" i="46"/>
  <c r="G8" i="46"/>
  <c r="F8" i="46"/>
  <c r="E8" i="46"/>
  <c r="D8" i="46"/>
  <c r="C8" i="46"/>
  <c r="B8" i="46"/>
  <c r="K7" i="46"/>
  <c r="J7" i="46"/>
  <c r="L7" i="46"/>
  <c r="N7" i="46"/>
  <c r="I7" i="46"/>
  <c r="M7" i="46"/>
  <c r="H7" i="46"/>
  <c r="G7" i="46"/>
  <c r="F7" i="46"/>
  <c r="E7" i="46"/>
  <c r="D7" i="46"/>
  <c r="C7" i="46"/>
  <c r="B7" i="46"/>
  <c r="K6" i="46"/>
  <c r="J6" i="46"/>
  <c r="L6" i="46"/>
  <c r="N6" i="46"/>
  <c r="I6" i="46"/>
  <c r="M6" i="46"/>
  <c r="H6" i="46"/>
  <c r="G6" i="46"/>
  <c r="F6" i="46"/>
  <c r="E6" i="46"/>
  <c r="D6" i="46"/>
  <c r="C6" i="46"/>
  <c r="B6" i="46"/>
  <c r="K5" i="46"/>
  <c r="J5" i="46"/>
  <c r="L5" i="46"/>
  <c r="N5" i="46"/>
  <c r="I5" i="46"/>
  <c r="M5" i="46"/>
  <c r="H5" i="46"/>
  <c r="G5" i="46"/>
  <c r="F5" i="46"/>
  <c r="E5" i="46"/>
  <c r="D5" i="46"/>
  <c r="C5" i="46"/>
  <c r="B5" i="46"/>
  <c r="K4" i="46"/>
  <c r="J4" i="46"/>
  <c r="L4" i="46"/>
  <c r="N4" i="46"/>
  <c r="I4" i="46"/>
  <c r="M4" i="46"/>
  <c r="H4" i="46"/>
  <c r="G4" i="46"/>
  <c r="F4" i="46"/>
  <c r="E4" i="46"/>
  <c r="D4" i="46"/>
  <c r="C4" i="46"/>
  <c r="B4" i="46"/>
  <c r="K3" i="46"/>
  <c r="J3" i="46"/>
  <c r="L3" i="46"/>
  <c r="N3" i="46"/>
  <c r="I3" i="46"/>
  <c r="M3" i="46"/>
  <c r="H3" i="46"/>
  <c r="G3" i="46"/>
  <c r="F3" i="46"/>
  <c r="E3" i="46"/>
  <c r="D3" i="46"/>
  <c r="C3" i="46"/>
  <c r="B3" i="46"/>
  <c r="K2" i="46"/>
  <c r="J2" i="46"/>
  <c r="L2" i="46"/>
  <c r="N2" i="46"/>
  <c r="I2" i="46"/>
  <c r="M2" i="46"/>
  <c r="H2" i="46"/>
  <c r="G2" i="46"/>
  <c r="F2" i="46"/>
  <c r="E2" i="46"/>
  <c r="D2" i="46"/>
  <c r="C2" i="46"/>
  <c r="B2" i="46"/>
  <c r="K1" i="46"/>
  <c r="J1" i="46"/>
  <c r="L1" i="46"/>
  <c r="N1" i="46"/>
  <c r="I1" i="46"/>
  <c r="M1" i="46"/>
  <c r="H1" i="46"/>
  <c r="G1" i="46"/>
  <c r="F1" i="46"/>
  <c r="E1" i="46"/>
  <c r="D1" i="46"/>
  <c r="C1" i="46"/>
  <c r="B1" i="46"/>
  <c r="B12" i="34"/>
  <c r="D12" i="34"/>
  <c r="B13" i="34"/>
  <c r="D13" i="34"/>
  <c r="B14" i="34"/>
  <c r="D14" i="34"/>
  <c r="B18" i="34"/>
  <c r="D18" i="34"/>
  <c r="B19" i="34"/>
  <c r="D19" i="34"/>
  <c r="B20" i="34"/>
  <c r="D20" i="34"/>
  <c r="B24" i="34"/>
  <c r="D24" i="34"/>
  <c r="B25" i="34"/>
  <c r="D25" i="34"/>
  <c r="B26" i="34"/>
  <c r="D26" i="34"/>
  <c r="B30" i="34"/>
  <c r="D30" i="34"/>
  <c r="B31" i="34"/>
  <c r="D31" i="34"/>
  <c r="B32" i="34"/>
  <c r="D32" i="34"/>
  <c r="B7" i="34"/>
  <c r="D7" i="34"/>
  <c r="B8" i="34"/>
  <c r="D8" i="34"/>
  <c r="B6" i="34"/>
  <c r="D6" i="34"/>
  <c r="L219" i="35"/>
  <c r="J219" i="35"/>
  <c r="H219" i="35"/>
  <c r="M219" i="35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4" i="10"/>
</calcChain>
</file>

<file path=xl/sharedStrings.xml><?xml version="1.0" encoding="utf-8"?>
<sst xmlns="http://schemas.openxmlformats.org/spreadsheetml/2006/main" count="12451" uniqueCount="932">
  <si>
    <t>Cren537</t>
  </si>
  <si>
    <t>Detected</t>
  </si>
  <si>
    <t>METERS</t>
  </si>
  <si>
    <t>DBARS</t>
  </si>
  <si>
    <t>ITS-90</t>
  </si>
  <si>
    <t>UMOL/KG</t>
  </si>
  <si>
    <t>ML/L</t>
  </si>
  <si>
    <t>UMOL/L</t>
  </si>
  <si>
    <t>VOLTS</t>
  </si>
  <si>
    <t>UG/L</t>
  </si>
  <si>
    <t>SBI I May 2002</t>
  </si>
  <si>
    <t>shelf</t>
  </si>
  <si>
    <t>32H10201SBI1</t>
  </si>
  <si>
    <t>HL0201</t>
  </si>
  <si>
    <t>Chukchi 50 m</t>
  </si>
  <si>
    <t>shelf break</t>
  </si>
  <si>
    <t>West 2000 m</t>
  </si>
  <si>
    <t>basin</t>
  </si>
  <si>
    <t>Center 2000 m</t>
  </si>
  <si>
    <t>Center 500 m</t>
  </si>
  <si>
    <t>Slope</t>
  </si>
  <si>
    <t>chukchi 100 m</t>
  </si>
  <si>
    <t>East 200 m</t>
  </si>
  <si>
    <t>BC 6 ca. 2000 m</t>
  </si>
  <si>
    <t>bad filter</t>
  </si>
  <si>
    <t>East 2000 m</t>
  </si>
  <si>
    <t>East 100 m BC2</t>
  </si>
  <si>
    <t>SBI 2 July 2002</t>
  </si>
  <si>
    <t>Bering Strait</t>
  </si>
  <si>
    <t>32H10203SBI2</t>
  </si>
  <si>
    <t>HLY0203</t>
  </si>
  <si>
    <t>Shelf z=35 m</t>
  </si>
  <si>
    <t>BC4; z=291</t>
  </si>
  <si>
    <t>BC5</t>
  </si>
  <si>
    <t>end of BC; z=3090</t>
  </si>
  <si>
    <t>end of EB; z=2927</t>
  </si>
  <si>
    <t>z=52</t>
  </si>
  <si>
    <t>z=165 m</t>
  </si>
  <si>
    <t>end of EHS; z=3232</t>
  </si>
  <si>
    <t>end of WHS;z=2191</t>
  </si>
  <si>
    <t>end of WHS;z=54</t>
  </si>
  <si>
    <t>SBI 3 May 2004</t>
  </si>
  <si>
    <t>31H1HLY0402</t>
  </si>
  <si>
    <t xml:space="preserve">    HV1</t>
  </si>
  <si>
    <t xml:space="preserve">   EHS4</t>
  </si>
  <si>
    <t xml:space="preserve">   EHS6</t>
  </si>
  <si>
    <t xml:space="preserve">   EHS9</t>
  </si>
  <si>
    <t xml:space="preserve">   EHSX</t>
  </si>
  <si>
    <t xml:space="preserve">    SB4</t>
  </si>
  <si>
    <t xml:space="preserve">    SB5</t>
  </si>
  <si>
    <t xml:space="preserve">  BC4.1</t>
  </si>
  <si>
    <t xml:space="preserve">    BC5</t>
  </si>
  <si>
    <t>SBI 4 July 2004</t>
  </si>
  <si>
    <t>31H1HLY0403</t>
  </si>
  <si>
    <t xml:space="preserve">   HV1</t>
  </si>
  <si>
    <t xml:space="preserve">  ACW2</t>
  </si>
  <si>
    <t xml:space="preserve">   BC1</t>
  </si>
  <si>
    <t xml:space="preserve">   BC2</t>
  </si>
  <si>
    <t xml:space="preserve">   BC4</t>
  </si>
  <si>
    <t xml:space="preserve">   BC6</t>
  </si>
  <si>
    <t xml:space="preserve">   EB1</t>
  </si>
  <si>
    <t xml:space="preserve">   EB8</t>
  </si>
  <si>
    <t xml:space="preserve">   EB7</t>
  </si>
  <si>
    <t xml:space="preserve">   EB4</t>
  </si>
  <si>
    <t xml:space="preserve">   BC8</t>
  </si>
  <si>
    <t xml:space="preserve">  EHS4</t>
  </si>
  <si>
    <t xml:space="preserve">  EHS6</t>
  </si>
  <si>
    <t xml:space="preserve"> EHS11</t>
  </si>
  <si>
    <t xml:space="preserve"> EHS12</t>
  </si>
  <si>
    <t xml:space="preserve">  WHS6</t>
  </si>
  <si>
    <t xml:space="preserve">  WHS5</t>
  </si>
  <si>
    <t>WHS3.1</t>
  </si>
  <si>
    <t>Kirchman 2007</t>
  </si>
  <si>
    <t>Kirchman 2007</t>
    <phoneticPr fontId="6" type="noConversion"/>
  </si>
  <si>
    <t>Arc</t>
    <phoneticPr fontId="6" type="noConversion"/>
  </si>
  <si>
    <t>FISH</t>
    <phoneticPr fontId="6" type="noConversion"/>
  </si>
  <si>
    <t>DAPI</t>
    <phoneticPr fontId="6" type="noConversion"/>
  </si>
  <si>
    <t>none</t>
    <phoneticPr fontId="6" type="noConversion"/>
  </si>
  <si>
    <t>none</t>
    <phoneticPr fontId="6" type="noConversion"/>
  </si>
  <si>
    <t>EUB338</t>
    <phoneticPr fontId="6" type="noConversion"/>
  </si>
  <si>
    <t xml:space="preserve">Hawai'i Ocean Time-series </t>
  </si>
  <si>
    <t>Cren-</t>
  </si>
  <si>
    <t>Eury-</t>
  </si>
  <si>
    <t>Bacte-</t>
  </si>
  <si>
    <t>Nega-tive control</t>
  </si>
  <si>
    <t>All probe positive cells minus control</t>
  </si>
  <si>
    <t>All DNA-</t>
  </si>
  <si>
    <t>Bacteria</t>
  </si>
  <si>
    <t>archae-</t>
  </si>
  <si>
    <t>ria</t>
  </si>
  <si>
    <t>contai-ning cells</t>
  </si>
  <si>
    <t>+</t>
  </si>
  <si>
    <t>ota</t>
  </si>
  <si>
    <t>% of DAPI</t>
  </si>
  <si>
    <t>(DAPI</t>
  </si>
  <si>
    <t>stain)</t>
  </si>
  <si>
    <t>Cruise #</t>
  </si>
  <si>
    <r>
      <t>cells ml</t>
    </r>
    <r>
      <rPr>
        <b/>
        <vertAlign val="superscript"/>
        <sz val="9"/>
        <color indexed="8"/>
        <rFont val="Arial"/>
      </rPr>
      <t>-1</t>
    </r>
  </si>
  <si>
    <t>Cruise</t>
    <phoneticPr fontId="2" type="noConversion"/>
  </si>
  <si>
    <t>Depth</t>
    <phoneticPr fontId="2" type="noConversion"/>
  </si>
  <si>
    <t>Cren_percent</t>
    <phoneticPr fontId="2" type="noConversion"/>
  </si>
  <si>
    <t>Eury_percent</t>
    <phoneticPr fontId="2" type="noConversion"/>
  </si>
  <si>
    <t>Bacteria_percent</t>
    <phoneticPr fontId="2" type="noConversion"/>
  </si>
  <si>
    <t>negControl_percent</t>
    <phoneticPr fontId="2" type="noConversion"/>
  </si>
  <si>
    <t>CREN537, Eury806</t>
  </si>
  <si>
    <t>Gulf of Aquaba, Ionescu 2009</t>
  </si>
  <si>
    <t>DAPI (cells/ml)</t>
  </si>
  <si>
    <t>Temp &gt; 20°C</t>
  </si>
  <si>
    <t>Arc (cells/ml)</t>
  </si>
  <si>
    <t>CARD-FISH with lysozyme for bacteria, and lysozyme/achromopeptidase for archaea</t>
  </si>
  <si>
    <t>Ionescu 2009</t>
  </si>
  <si>
    <t>Gulf of Aquaba</t>
  </si>
  <si>
    <t>EUB338I-III</t>
  </si>
  <si>
    <t>Filename: SBI bacteria Archaea</t>
  </si>
  <si>
    <t>Created: Oct 25, 2006</t>
  </si>
  <si>
    <t>Modified:</t>
  </si>
  <si>
    <t>These data were used in:</t>
  </si>
  <si>
    <t>Kirchman, D. L., H. Elifantz, A. Dittel, I., R. R. Malmstrom, and M. T. Cottrell. 2007. Standing stocks and activity of archaea and bacteria in the western Arctic Ocean. Limnol. Oceanogr. 52: 495-507.</t>
  </si>
  <si>
    <t>Contact: kirchman@udel.edu</t>
  </si>
  <si>
    <t>Cruise</t>
  </si>
  <si>
    <t>Bottom</t>
  </si>
  <si>
    <t>Total Prokaryotes</t>
  </si>
  <si>
    <t>Number of Cells (10^5 cells/ml)</t>
  </si>
  <si>
    <t>% of total</t>
  </si>
  <si>
    <t>Total</t>
  </si>
  <si>
    <t>EXPOCODE</t>
  </si>
  <si>
    <t>SECT_ID</t>
  </si>
  <si>
    <t>STNNBR</t>
  </si>
  <si>
    <t>CASTNO</t>
  </si>
  <si>
    <t>SAMPNO</t>
  </si>
  <si>
    <t>BTLNBR</t>
  </si>
  <si>
    <t>BTLNBR_FLAG_W</t>
  </si>
  <si>
    <t>DATE</t>
  </si>
  <si>
    <t>LATITUDE</t>
  </si>
  <si>
    <t>LONGITUDE</t>
  </si>
  <si>
    <t>DEPTH</t>
  </si>
  <si>
    <t>CTDPRS</t>
  </si>
  <si>
    <t>CTDPRS_FLAG_W</t>
  </si>
  <si>
    <t>CTDTMP</t>
  </si>
  <si>
    <t>CTDTMP_FLAG_W</t>
  </si>
  <si>
    <t>CTDSAL</t>
  </si>
  <si>
    <t>CTDSAL_FLAG_W</t>
  </si>
  <si>
    <t>SALNTY</t>
  </si>
  <si>
    <t>SALNTY_FLAG_W</t>
  </si>
  <si>
    <t>CTDOXY</t>
  </si>
  <si>
    <t>CTDOXY_FLAG_W</t>
  </si>
  <si>
    <t>OXYGEN</t>
  </si>
  <si>
    <t>OXYGEN_FLAG_W</t>
  </si>
  <si>
    <t>SILCAT</t>
  </si>
  <si>
    <t>SILCAT_FLAG_W</t>
  </si>
  <si>
    <t>NITRAT</t>
  </si>
  <si>
    <t>NITRAT_FLAG_W</t>
  </si>
  <si>
    <t>NITRIT</t>
  </si>
  <si>
    <t>NITRIT_FLAG_W</t>
  </si>
  <si>
    <t>PHSPHT</t>
  </si>
  <si>
    <t>PHSPHT_FLAG_W</t>
  </si>
  <si>
    <t>NH4</t>
  </si>
  <si>
    <t>NH4_FLAG_W</t>
  </si>
  <si>
    <t>UREA</t>
  </si>
  <si>
    <t>UREA_FLAG_W</t>
  </si>
  <si>
    <t>HAARDT</t>
  </si>
  <si>
    <t>HAARDT_FLAG_W</t>
  </si>
  <si>
    <t>FLUORO</t>
  </si>
  <si>
    <t>FLUORO_FLAG_W</t>
  </si>
  <si>
    <t>PAR</t>
  </si>
  <si>
    <t>PAR_FLAG_W</t>
  </si>
  <si>
    <t>N**</t>
  </si>
  <si>
    <t>N**_FLAG_W</t>
  </si>
  <si>
    <t>CHLORO</t>
  </si>
  <si>
    <t>CHLORO_FLAG_W</t>
  </si>
  <si>
    <t>PHAEO</t>
  </si>
  <si>
    <t>PHAEO_FLAG_W</t>
  </si>
  <si>
    <t>Name</t>
  </si>
  <si>
    <t>Number</t>
  </si>
  <si>
    <t>Location</t>
  </si>
  <si>
    <t>SD</t>
  </si>
  <si>
    <t>Cren</t>
  </si>
  <si>
    <t>Eury</t>
  </si>
  <si>
    <t>Bact</t>
  </si>
  <si>
    <t>They also have percent of DAPI for Crens and Eurys using lysozyme and proteinase K (but not relative to total CARDFISH, which is really what we want)</t>
  </si>
  <si>
    <t>% Bac of DAPI</t>
  </si>
  <si>
    <t>%Cren of DAPI</t>
  </si>
  <si>
    <t>%Eury of DAPI</t>
  </si>
  <si>
    <t>Fraction CARDFISH of DAPI</t>
  </si>
  <si>
    <t>Fraction arc of CARDFISH</t>
  </si>
  <si>
    <t>DAPI, CARDFISH, lysozyme, proteinase K, Eub338, Cren537, Eury806</t>
  </si>
  <si>
    <t>North Atlantic</t>
  </si>
  <si>
    <t>Station number</t>
  </si>
  <si>
    <t>Bac % of DAPI</t>
  </si>
  <si>
    <t>Eury% of DAPI</t>
  </si>
  <si>
    <t>Cren% of DAPI</t>
  </si>
  <si>
    <t>CARD fraction of DAPI</t>
  </si>
  <si>
    <t>G1arc av for depth (cell/ml)</t>
  </si>
  <si>
    <t>Summer G1</t>
  </si>
  <si>
    <t>Southern Ocean Winter</t>
  </si>
  <si>
    <t>Total cells (cell/ml)</t>
  </si>
  <si>
    <t>Depth for G2</t>
  </si>
  <si>
    <t>G1 (cells/ml)</t>
  </si>
  <si>
    <t>Southern Ocean Summer</t>
  </si>
  <si>
    <t>Depth for G1</t>
  </si>
  <si>
    <t>Winter G2</t>
  </si>
  <si>
    <t>G2arc (cell/ml)</t>
  </si>
  <si>
    <t>G2arc av for depth (cell/ml)</t>
  </si>
  <si>
    <t>G2 (cells/ml)</t>
  </si>
  <si>
    <t>Summer G2</t>
  </si>
  <si>
    <t>Winter Bac</t>
  </si>
  <si>
    <t>Bac (cell/ml)</t>
  </si>
  <si>
    <t>Bac av for depth (cell/ml)</t>
  </si>
  <si>
    <t>G1+G2 (cells/ml)</t>
  </si>
  <si>
    <t>Depth for Bac</t>
  </si>
  <si>
    <t>Bac (cells/ml)</t>
  </si>
  <si>
    <t>Summer Bac</t>
  </si>
  <si>
    <t>This table includes only the depths where all three measurements were made</t>
  </si>
  <si>
    <t>They list the EubI-III probe in a table, but they report only FISH data from different subgroups of bacteria.</t>
  </si>
  <si>
    <t>Eury Proteinase K %DAPI</t>
    <phoneticPr fontId="6" type="noConversion"/>
  </si>
  <si>
    <t>Eury Lysozyme %DAPI</t>
    <phoneticPr fontId="6" type="noConversion"/>
  </si>
  <si>
    <t>Cren Lysozyme %DAPI</t>
    <phoneticPr fontId="6" type="noConversion"/>
  </si>
  <si>
    <t>Cren Proteinase K %DAPI</t>
    <phoneticPr fontId="6" type="noConversion"/>
  </si>
  <si>
    <t>Total Arc winter (cells/ml)</t>
  </si>
  <si>
    <t>Red ones were copied and pasted to match the number of measurements with specific probes</t>
  </si>
  <si>
    <t>Depths with extra total cell counts</t>
  </si>
  <si>
    <t>cells per cc</t>
  </si>
  <si>
    <t>card total</t>
  </si>
  <si>
    <t>sediments with proteinase K</t>
  </si>
  <si>
    <t>HCl</t>
  </si>
  <si>
    <t>Molari 2011</t>
  </si>
  <si>
    <t>Molari 2011</t>
    <phoneticPr fontId="13" type="noConversion"/>
  </si>
  <si>
    <t>Molari 2012</t>
    <phoneticPr fontId="13" type="noConversion"/>
  </si>
  <si>
    <t>Manini 2008</t>
  </si>
  <si>
    <t>Amaro 2012</t>
  </si>
  <si>
    <t>Molari 2012</t>
  </si>
  <si>
    <t>Danovaro 2009</t>
  </si>
  <si>
    <t>This study</t>
  </si>
  <si>
    <t>SYBR Green I</t>
  </si>
  <si>
    <t>AO/tetrasodium pyrophosphate</t>
  </si>
  <si>
    <t>cells shifted</t>
  </si>
  <si>
    <t>card shifted</t>
  </si>
  <si>
    <t>%Bac of DAPI Polyribonuc</t>
  </si>
  <si>
    <t>%Bac of DAPI CARD</t>
  </si>
  <si>
    <t>%Arc of DAPI CARD</t>
  </si>
  <si>
    <t>%G2 of DAPI Polyribonuc</t>
  </si>
  <si>
    <t>%G1 of DAPI Polyribonuc</t>
  </si>
  <si>
    <t>Yield Polyribonuc</t>
  </si>
  <si>
    <t>Yield CARD</t>
  </si>
  <si>
    <t>Arc fraction of Polyribonuc</t>
  </si>
  <si>
    <t>G1, G2</t>
  </si>
  <si>
    <t>lysozyme</t>
  </si>
  <si>
    <t>none</t>
  </si>
  <si>
    <t>Bouvier 2002, FISH, Eub338, Arc915, formalin, DAPI, Microscopy-eye</t>
  </si>
  <si>
    <t>Distance downriver (km)</t>
  </si>
  <si>
    <t>%Bac of DAPI</t>
  </si>
  <si>
    <t>March</t>
  </si>
  <si>
    <t>May</t>
  </si>
  <si>
    <t>July</t>
  </si>
  <si>
    <t>September</t>
  </si>
  <si>
    <t>Month</t>
  </si>
  <si>
    <t>%Arc of DAPI</t>
  </si>
  <si>
    <t>Pocomoke River estuary</t>
  </si>
  <si>
    <t>Choptank River estuary</t>
  </si>
  <si>
    <t>Depth (educated guess)</t>
  </si>
  <si>
    <t>Bouvier 2002</t>
  </si>
  <si>
    <t>Total yield</t>
  </si>
  <si>
    <t>FISH</t>
  </si>
  <si>
    <t>formalin</t>
  </si>
  <si>
    <t>CARD_pos_percent</t>
    <phoneticPr fontId="2" type="noConversion"/>
  </si>
  <si>
    <t>DAPI_count</t>
    <phoneticPr fontId="2" type="noConversion"/>
  </si>
  <si>
    <t>Cren.cells.ml</t>
    <phoneticPr fontId="2" type="noConversion"/>
  </si>
  <si>
    <t>Eury.cells.ml</t>
    <phoneticPr fontId="2" type="noConversion"/>
  </si>
  <si>
    <t>Arc.cells.ml</t>
    <phoneticPr fontId="2" type="noConversion"/>
  </si>
  <si>
    <t>n/d</t>
  </si>
  <si>
    <t>Karner 2001</t>
  </si>
  <si>
    <t>DAPI x 10^5 (cells/ml)</t>
  </si>
  <si>
    <t>Eub I-III % of DAPI</t>
  </si>
  <si>
    <t>Cren554+Eury806 % of DAPI</t>
  </si>
  <si>
    <t>Arc915 % of DAPI</t>
  </si>
  <si>
    <t>Cells/ml</t>
  </si>
  <si>
    <t>Figure 4</t>
  </si>
  <si>
    <t>DAPI cells/ml</t>
  </si>
  <si>
    <t>FISH Bac cell/ml</t>
  </si>
  <si>
    <t>FISH Cren+Eury cell/ml</t>
  </si>
  <si>
    <t>FISH Arc cell/ml</t>
  </si>
  <si>
    <t>Wakeham 2007 from Webplot digitizer</t>
  </si>
  <si>
    <t xml:space="preserve">Church 2003 </t>
  </si>
  <si>
    <t>Webplot digitizer</t>
  </si>
  <si>
    <t>Fig. 3 has total cell counts, Fig. 5 has 2 types of archaea plus bacteria</t>
  </si>
  <si>
    <t>Archaea (cells/ml)</t>
  </si>
  <si>
    <t>DAPI (cell/ml)</t>
  </si>
  <si>
    <t>DAPI av for depth (cell/ml)</t>
  </si>
  <si>
    <t>Averages for each depth</t>
  </si>
  <si>
    <t>Winter DAPI</t>
  </si>
  <si>
    <t>Summer DAPI</t>
  </si>
  <si>
    <t>G1arc (cell/ml)</t>
  </si>
  <si>
    <t>Winter G1</t>
  </si>
  <si>
    <t>German Bight, station 1, transect 2</t>
  </si>
  <si>
    <t>German Bight, station 2, transect 2</t>
  </si>
  <si>
    <t>German Bight, station 3, transect 2</t>
  </si>
  <si>
    <t>German Bight, station 4, transect 2</t>
  </si>
  <si>
    <t>German Bight, station 5, transect 2</t>
  </si>
  <si>
    <t>German Bight, station 6, transect 2</t>
  </si>
  <si>
    <t>German Bight, station 1, transect 3</t>
  </si>
  <si>
    <t>German Bight, station 2, transect 3</t>
  </si>
  <si>
    <t>German Bight, station 3, transect 3</t>
  </si>
  <si>
    <t>German Bight, station 4, transect 3</t>
  </si>
  <si>
    <t>German Bight, station 5, transect 3</t>
  </si>
  <si>
    <t>German Bight, station 6, transect 3</t>
  </si>
  <si>
    <t>Fig2, 40 min lysozyme</t>
  </si>
  <si>
    <t>Depth (m) educated guess</t>
  </si>
  <si>
    <t>FISH and CARDFISH, lysozyme, formaldehyde, DAPI, Microscopy-eye, only Eub338 tried</t>
  </si>
  <si>
    <t>Pernthaler 2002</t>
  </si>
  <si>
    <t>not tried</t>
  </si>
  <si>
    <t>They didn't measure any bacteria</t>
  </si>
  <si>
    <t>Teira 2004</t>
  </si>
  <si>
    <t>Median (range)</t>
    <phoneticPr fontId="6" type="noConversion"/>
  </si>
  <si>
    <t>Nepheloid layers</t>
    <phoneticPr fontId="6" type="noConversion"/>
  </si>
  <si>
    <t>TEMPERATURE</t>
    <phoneticPr fontId="6" type="noConversion"/>
  </si>
  <si>
    <t>SALINITY</t>
    <phoneticPr fontId="6" type="noConversion"/>
  </si>
  <si>
    <t>Schattenhofer 2009</t>
    <phoneticPr fontId="6" type="noConversion"/>
  </si>
  <si>
    <t>EUB338 I-III</t>
    <phoneticPr fontId="6" type="noConversion"/>
  </si>
  <si>
    <t>CREN554, EURY806</t>
  </si>
  <si>
    <t>CREN554, EURY806</t>
    <phoneticPr fontId="6" type="noConversion"/>
  </si>
  <si>
    <t>Chl</t>
  </si>
  <si>
    <t>a</t>
  </si>
  <si>
    <t>Prok</t>
  </si>
  <si>
    <t>Leu:</t>
  </si>
  <si>
    <t>BP</t>
  </si>
  <si>
    <t>leucine-based</t>
  </si>
  <si>
    <t>thymidine-based</t>
  </si>
  <si>
    <t>°C</t>
  </si>
  <si>
    <t>psu</t>
  </si>
  <si>
    <t>m−1</t>
  </si>
  <si>
    <t>mg</t>
  </si>
  <si>
    <t>L−1</t>
  </si>
  <si>
    <t>%</t>
  </si>
  <si>
    <t>mgL−1</t>
  </si>
  <si>
    <t>μg</t>
  </si>
  <si>
    <t>cells</t>
  </si>
  <si>
    <t>ml−1</t>
  </si>
  <si>
    <t>C</t>
  </si>
  <si>
    <t>d−1</t>
  </si>
  <si>
    <t>μgCL−1</t>
  </si>
  <si>
    <t>−0.22</t>
  </si>
  <si>
    <t>(−)</t>
  </si>
  <si>
    <t>Wells 2003</t>
  </si>
  <si>
    <t>Wells 2003</t>
    <phoneticPr fontId="6" type="noConversion"/>
  </si>
  <si>
    <t>DU5 Surface Water</t>
    <phoneticPr fontId="6" type="noConversion"/>
  </si>
  <si>
    <t>CP1 Surface Water</t>
    <phoneticPr fontId="6" type="noConversion"/>
  </si>
  <si>
    <t>CP3 Surface Water</t>
    <phoneticPr fontId="6" type="noConversion"/>
  </si>
  <si>
    <t>CP5 Surface Water</t>
    <phoneticPr fontId="6" type="noConversion"/>
  </si>
  <si>
    <t>cells/ml</t>
  </si>
  <si>
    <t>Teira 2006</t>
  </si>
  <si>
    <t>Arc fraction of CARD</t>
  </si>
  <si>
    <t>Averaged samples, subsurface</t>
  </si>
  <si>
    <t>Averaged samples, O2 minimum</t>
  </si>
  <si>
    <t>Averaged samples, LSW</t>
  </si>
  <si>
    <t>Averaged samples, NADW</t>
  </si>
  <si>
    <t>Averaged samples, DSOW</t>
  </si>
  <si>
    <t>Lin 2006</t>
  </si>
  <si>
    <t>Cariaco Basin</t>
  </si>
  <si>
    <t>Method</t>
  </si>
  <si>
    <t>microscope-eye</t>
  </si>
  <si>
    <t>DAPI x 105 cell/ml</t>
  </si>
  <si>
    <t>DAPI cell/ml</t>
  </si>
  <si>
    <t>Bac cell/ml</t>
  </si>
  <si>
    <t>Arc cell/ml</t>
  </si>
  <si>
    <t>Black Sea</t>
  </si>
  <si>
    <t>CARDFISH, Eub338, Arch915, lysozyme, proteinase K, AO/isopropanol</t>
  </si>
  <si>
    <t>AO/isopropanol</t>
  </si>
  <si>
    <t>AO</t>
  </si>
  <si>
    <t xml:space="preserve">Podlaska 2012, EubI-II, Cren537, Eury806, </t>
  </si>
  <si>
    <t>Bacteria (cells/ml)</t>
  </si>
  <si>
    <t>Cren (cells/ml)</t>
  </si>
  <si>
    <t>Eury (cells/ml)</t>
  </si>
  <si>
    <t>paraformaldehyde</t>
  </si>
  <si>
    <t>Church 2003</t>
  </si>
  <si>
    <r>
      <t xml:space="preserve">G1-Arc </t>
    </r>
    <r>
      <rPr>
        <b/>
        <sz val="10"/>
        <rFont val="Verdana"/>
      </rPr>
      <t>Cells/mL</t>
    </r>
  </si>
  <si>
    <r>
      <rPr>
        <b/>
        <sz val="10"/>
        <rFont val="Verdana"/>
      </rPr>
      <t xml:space="preserve">G1-Arc </t>
    </r>
    <r>
      <rPr>
        <b/>
        <sz val="10"/>
        <rFont val="Verdana"/>
      </rPr>
      <t>Cells/mL</t>
    </r>
  </si>
  <si>
    <t>polyribonucFISH</t>
  </si>
  <si>
    <t>GI, GII</t>
  </si>
  <si>
    <t>Total Arc summer (cells/ml)</t>
  </si>
  <si>
    <t>Season (cruise)</t>
  </si>
  <si>
    <t>Station</t>
  </si>
  <si>
    <t>Water mass</t>
  </si>
  <si>
    <t>Station 2</t>
  </si>
  <si>
    <t>%Bac</t>
  </si>
  <si>
    <t>SE</t>
  </si>
  <si>
    <t>%Cren</t>
  </si>
  <si>
    <t>%Eury</t>
  </si>
  <si>
    <t>Total detected (%)</t>
  </si>
  <si>
    <t>DAPI x 10^3 cells/ml</t>
  </si>
  <si>
    <t>Station4(VECTOR)</t>
  </si>
  <si>
    <t>December 2005(CIESM-Sub2)</t>
  </si>
  <si>
    <t>Tamburini 2009</t>
  </si>
  <si>
    <t>aMAW</t>
  </si>
  <si>
    <t>DAPI cells/cc</t>
  </si>
  <si>
    <t>Depth (m) average of the range given</t>
  </si>
  <si>
    <t>Sample</t>
  </si>
  <si>
    <t>CARDFISH</t>
  </si>
  <si>
    <t>July 2005</t>
  </si>
  <si>
    <t>%Arc</t>
  </si>
  <si>
    <t>Al Ali 2009 Figure 6, CARDFISH, Eub338, Arc915</t>
  </si>
  <si>
    <t>DAPI x 10^4 cells/cc</t>
  </si>
  <si>
    <t>ANTARES April 2005</t>
  </si>
  <si>
    <t>Bac cells/cc</t>
  </si>
  <si>
    <t>Arc cells/cc</t>
  </si>
  <si>
    <t>Garneau 2008, lysozyme, Eub338 and Arc915, DAPI, microscopy-eye</t>
  </si>
  <si>
    <t>gluteraldehyde</t>
  </si>
  <si>
    <t>Figure 5</t>
    <phoneticPr fontId="6" type="noConversion"/>
  </si>
  <si>
    <r>
      <t>DAPI cells  [mL</t>
    </r>
    <r>
      <rPr>
        <b/>
        <vertAlign val="superscript"/>
        <sz val="12"/>
        <rFont val="Arial"/>
      </rPr>
      <t>-1</t>
    </r>
    <r>
      <rPr>
        <b/>
        <sz val="12"/>
        <rFont val="Arial"/>
      </rPr>
      <t>]</t>
    </r>
  </si>
  <si>
    <t>meters</t>
    <phoneticPr fontId="6" type="noConversion"/>
  </si>
  <si>
    <t>Archaea (cells/g)</t>
    <phoneticPr fontId="6" type="noConversion"/>
  </si>
  <si>
    <t>Garneau 2008</t>
  </si>
  <si>
    <t>Garneau 2008</t>
    <phoneticPr fontId="6" type="noConversion"/>
  </si>
  <si>
    <t>EUB338</t>
  </si>
  <si>
    <t>EUB338</t>
    <phoneticPr fontId="6" type="noConversion"/>
  </si>
  <si>
    <t>ARCH915</t>
  </si>
  <si>
    <t>ARCH915</t>
    <phoneticPr fontId="6" type="noConversion"/>
  </si>
  <si>
    <t>DAPI</t>
    <phoneticPr fontId="6" type="noConversion"/>
  </si>
  <si>
    <t>TdR</t>
  </si>
  <si>
    <t>0,70083</t>
  </si>
  <si>
    <t>North Atlantic Gyral Province (NAG)</t>
    <phoneticPr fontId="6" type="noConversion"/>
  </si>
  <si>
    <t>North Atlantic Drift (NADR)</t>
    <phoneticPr fontId="6" type="noConversion"/>
  </si>
  <si>
    <t>CARD-FISH Percentages (%)</t>
    <phoneticPr fontId="6" type="noConversion"/>
  </si>
  <si>
    <t xml:space="preserve">Station </t>
  </si>
  <si>
    <t>Date</t>
  </si>
  <si>
    <t>Lon (oE)</t>
  </si>
  <si>
    <t>Lat (oS)</t>
  </si>
  <si>
    <t>Depth</t>
  </si>
  <si>
    <t>Eub I-III</t>
  </si>
  <si>
    <t>Cren554</t>
  </si>
  <si>
    <t>Eury806</t>
  </si>
  <si>
    <t>GII Archaea</t>
    <phoneticPr fontId="6" type="noConversion"/>
  </si>
  <si>
    <t>Depth</t>
    <phoneticPr fontId="6" type="noConversion"/>
  </si>
  <si>
    <t>Real</t>
    <phoneticPr fontId="6" type="noConversion"/>
  </si>
  <si>
    <t xml:space="preserve">Depth (m) </t>
    <phoneticPr fontId="6" type="noConversion"/>
  </si>
  <si>
    <t xml:space="preserve">Dpeth </t>
    <phoneticPr fontId="6" type="noConversion"/>
  </si>
  <si>
    <t>Bacteria</t>
    <phoneticPr fontId="6" type="noConversion"/>
  </si>
  <si>
    <t xml:space="preserve">My </t>
    <phoneticPr fontId="6" type="noConversion"/>
  </si>
  <si>
    <t>Pernthaler 2002b Comparison of fluorescently labeled oligonucleotide and polynucleotide probes for the detection of pelagic marine bacteria and archaea</t>
  </si>
  <si>
    <t>This paper includes RNA probes, but since those never achieved regular use among other labs (being outstripped by CARDFISH), we do not include those values in this comparison</t>
  </si>
  <si>
    <t>Monterey Bay water</t>
  </si>
  <si>
    <t>formaldehyde, Eub338, A915, DAPI, Microscopy-automated</t>
  </si>
  <si>
    <t>Monterey Bay, April 2000</t>
  </si>
  <si>
    <t>Pernthaler 2002b</t>
  </si>
  <si>
    <t>%Arc of CARDFISH</t>
  </si>
  <si>
    <t>Microscopy-automated</t>
  </si>
  <si>
    <t>German Bight, station 1, transect 1</t>
  </si>
  <si>
    <t>German Bight, station 2, transect 1</t>
  </si>
  <si>
    <t>German Bight, station 3, transect 1</t>
  </si>
  <si>
    <t>German Bight, station 4, transect 1</t>
  </si>
  <si>
    <t>German Bight, station 5, transect 1</t>
  </si>
  <si>
    <t>German Bight, station 6, transect 1</t>
  </si>
  <si>
    <t>German Bight, station 7, transect 1</t>
  </si>
  <si>
    <t>German Bight, station 8, transect 1</t>
  </si>
  <si>
    <t>(224–281)</t>
  </si>
  <si>
    <t>NO3</t>
  </si>
  <si>
    <t>(0.00–15.1)</t>
  </si>
  <si>
    <t>(14.1–16.8)</t>
  </si>
  <si>
    <t>(14.1–16.9)</t>
  </si>
  <si>
    <t>PO4</t>
  </si>
  <si>
    <t>(0.6–1.2)</t>
  </si>
  <si>
    <t>(1.0–1.9)</t>
  </si>
  <si>
    <t>(1.3–1.8)</t>
  </si>
  <si>
    <t>SiO4</t>
  </si>
  <si>
    <t>(2.4–21.0)</t>
  </si>
  <si>
    <t>(15.1–32.4)</t>
  </si>
  <si>
    <t>(27.3–32.4)</t>
  </si>
  <si>
    <t>Particles</t>
  </si>
  <si>
    <t>(ml–1)</t>
  </si>
  <si>
    <t>(0–1000)</t>
  </si>
  <si>
    <t>(1500–9000)</t>
  </si>
  <si>
    <t>(200–600)</t>
  </si>
  <si>
    <t>POC</t>
  </si>
  <si>
    <t>(μg</t>
  </si>
  <si>
    <t>(b.d.–83.1)</t>
  </si>
  <si>
    <t>(b.d.–73.0)</t>
  </si>
  <si>
    <t>&lt;33.0</t>
  </si>
  <si>
    <t>(b.d.–38.6)</t>
  </si>
  <si>
    <t>PON</t>
  </si>
  <si>
    <t>(8.0–17.6)</t>
  </si>
  <si>
    <t>(5.0–18.0)</t>
  </si>
  <si>
    <t>(6.5–7.4)</t>
  </si>
  <si>
    <t>(0.02–0.59)</t>
  </si>
  <si>
    <t>(0.001–0.08)</t>
  </si>
  <si>
    <t>(0.01–0.03)</t>
  </si>
  <si>
    <t>Real</t>
    <phoneticPr fontId="6" type="noConversion"/>
  </si>
  <si>
    <t>Cells/mL</t>
    <phoneticPr fontId="6" type="noConversion"/>
  </si>
  <si>
    <t>Cells/mL</t>
    <phoneticPr fontId="6" type="noConversion"/>
  </si>
  <si>
    <t>Cells/mL</t>
    <phoneticPr fontId="6" type="noConversion"/>
  </si>
  <si>
    <t>Station 1</t>
    <phoneticPr fontId="6" type="noConversion"/>
  </si>
  <si>
    <t>Total prokaryotes (cm)</t>
    <phoneticPr fontId="6" type="noConversion"/>
  </si>
  <si>
    <t>Total Prok (cells/L)</t>
    <phoneticPr fontId="6" type="noConversion"/>
  </si>
  <si>
    <t>% Bacteria</t>
    <phoneticPr fontId="6" type="noConversion"/>
  </si>
  <si>
    <t>Station 5</t>
    <phoneticPr fontId="6" type="noConversion"/>
  </si>
  <si>
    <t>Station 8</t>
    <phoneticPr fontId="6" type="noConversion"/>
  </si>
  <si>
    <t xml:space="preserve">Depth </t>
    <phoneticPr fontId="6" type="noConversion"/>
  </si>
  <si>
    <t>Bacteria %</t>
    <phoneticPr fontId="6" type="noConversion"/>
  </si>
  <si>
    <t>Depth</t>
    <phoneticPr fontId="6" type="noConversion"/>
  </si>
  <si>
    <t>Depth</t>
    <phoneticPr fontId="6" type="noConversion"/>
  </si>
  <si>
    <t>% bacteria</t>
    <phoneticPr fontId="6" type="noConversion"/>
  </si>
  <si>
    <t>Total Prokaryotes (cm)</t>
    <phoneticPr fontId="6" type="noConversion"/>
  </si>
  <si>
    <t>Schattenhofer 2009</t>
  </si>
  <si>
    <t>Schattenhofer 2009</t>
    <phoneticPr fontId="6" type="noConversion"/>
  </si>
  <si>
    <t>Figure 5</t>
    <phoneticPr fontId="6" type="noConversion"/>
  </si>
  <si>
    <t>Benguela Current Coastal Province (BENG)</t>
    <phoneticPr fontId="6" type="noConversion"/>
  </si>
  <si>
    <t>Surface</t>
  </si>
  <si>
    <t>Surface</t>
    <phoneticPr fontId="6" type="noConversion"/>
  </si>
  <si>
    <t>DCM Layer</t>
  </si>
  <si>
    <t>DCM Layer</t>
    <phoneticPr fontId="6" type="noConversion"/>
  </si>
  <si>
    <t>Mesopelagic</t>
  </si>
  <si>
    <t>DT3 Surface Water</t>
    <phoneticPr fontId="6" type="noConversion"/>
  </si>
  <si>
    <t>DT5 Surface Water</t>
    <phoneticPr fontId="6" type="noConversion"/>
  </si>
  <si>
    <t>Pernthaler 2002</t>
    <phoneticPr fontId="2" type="noConversion"/>
  </si>
  <si>
    <t>Station</t>
    <phoneticPr fontId="2" type="noConversion"/>
  </si>
  <si>
    <t>DAPI x 10^5 per ml</t>
    <phoneticPr fontId="2" type="noConversion"/>
  </si>
  <si>
    <t>CARD % Eub of DAPI</t>
    <phoneticPr fontId="2" type="noConversion"/>
  </si>
  <si>
    <t>FISH % Eub of DAPI</t>
    <phoneticPr fontId="2" type="noConversion"/>
  </si>
  <si>
    <t>DAPI cells/ml</t>
    <phoneticPr fontId="2" type="noConversion"/>
  </si>
  <si>
    <t>CARD Eub338 cells/ml</t>
    <phoneticPr fontId="2" type="noConversion"/>
  </si>
  <si>
    <t>FISH Eub338 cells/ml</t>
    <phoneticPr fontId="2" type="noConversion"/>
  </si>
  <si>
    <t>Cells per cc</t>
  </si>
  <si>
    <t>Depth (m)</t>
  </si>
  <si>
    <t>paper</t>
  </si>
  <si>
    <t>CARDFISH Bac per cc</t>
  </si>
  <si>
    <t>CARDFISH Arc per cc</t>
  </si>
  <si>
    <t>CARDFISH Total per cc</t>
  </si>
  <si>
    <t>FISH yield</t>
  </si>
  <si>
    <t>Bac probe</t>
  </si>
  <si>
    <t>Arc probe</t>
  </si>
  <si>
    <t>Fish or cardFish</t>
  </si>
  <si>
    <t>Cell stain</t>
  </si>
  <si>
    <t>Bac permeabilization</t>
  </si>
  <si>
    <t>Arc permeabilization</t>
  </si>
  <si>
    <t>Counting method</t>
  </si>
  <si>
    <t>Fixative</t>
  </si>
  <si>
    <t>formaldehyde</t>
  </si>
  <si>
    <t>DAPI</t>
  </si>
  <si>
    <t>Microscope-eye</t>
  </si>
  <si>
    <t>lysozyme/achromopeptidase</t>
  </si>
  <si>
    <t>proteinase K</t>
  </si>
  <si>
    <t>Station2</t>
  </si>
  <si>
    <t>Station7</t>
  </si>
  <si>
    <t>Station8</t>
  </si>
  <si>
    <t>Station17</t>
  </si>
  <si>
    <t>Station20</t>
  </si>
  <si>
    <t>Station21</t>
  </si>
  <si>
    <t>July 2005 (CIESM-Sub1)</t>
  </si>
  <si>
    <t>sMAW</t>
  </si>
  <si>
    <t>WB1 Surface Water</t>
    <phoneticPr fontId="6" type="noConversion"/>
  </si>
  <si>
    <t>AGT1 Surface Water</t>
    <phoneticPr fontId="6" type="noConversion"/>
  </si>
  <si>
    <t>Euryarchaeota</t>
    <phoneticPr fontId="6" type="noConversion"/>
  </si>
  <si>
    <t>Archaea</t>
    <phoneticPr fontId="6" type="noConversion"/>
  </si>
  <si>
    <t>Subsurface</t>
    <phoneticPr fontId="6" type="noConversion"/>
  </si>
  <si>
    <t>o2 minimum</t>
    <phoneticPr fontId="6" type="noConversion"/>
  </si>
  <si>
    <t>depth: mized amounts of all the possible depth</t>
    <phoneticPr fontId="6" type="noConversion"/>
  </si>
  <si>
    <t>DT5 Nepheloid layer</t>
    <phoneticPr fontId="6" type="noConversion"/>
  </si>
  <si>
    <t>AGT4 Nepheloid layer</t>
    <phoneticPr fontId="6" type="noConversion"/>
  </si>
  <si>
    <t>AG5 Nepheloid layer</t>
    <phoneticPr fontId="6" type="noConversion"/>
  </si>
  <si>
    <t>WB3 Nepheloid layer</t>
    <phoneticPr fontId="6" type="noConversion"/>
  </si>
  <si>
    <t>WB1 Nepheloid layer</t>
    <phoneticPr fontId="6" type="noConversion"/>
  </si>
  <si>
    <t>AGT3 Nepheloid layer</t>
    <phoneticPr fontId="6" type="noConversion"/>
  </si>
  <si>
    <t>CK5 Nepheloid layer</t>
    <phoneticPr fontId="6" type="noConversion"/>
  </si>
  <si>
    <t>Schattenhofer 2009</t>
    <phoneticPr fontId="6" type="noConversion"/>
  </si>
  <si>
    <t>Archaea (cm)</t>
    <phoneticPr fontId="6" type="noConversion"/>
  </si>
  <si>
    <t>Cells/L</t>
    <phoneticPr fontId="6" type="noConversion"/>
  </si>
  <si>
    <t>Archaea</t>
    <phoneticPr fontId="6" type="noConversion"/>
  </si>
  <si>
    <t>Cells/L</t>
    <phoneticPr fontId="6" type="noConversion"/>
  </si>
  <si>
    <t>MULITPLYING ARCHAEA BY 5?????: CONFUSING</t>
    <phoneticPr fontId="6" type="noConversion"/>
  </si>
  <si>
    <t>Winters 2009 2</t>
    <phoneticPr fontId="6" type="noConversion"/>
  </si>
  <si>
    <t>Archaea</t>
    <phoneticPr fontId="6" type="noConversion"/>
  </si>
  <si>
    <t>Lagoon (%)</t>
    <phoneticPr fontId="6" type="noConversion"/>
  </si>
  <si>
    <t>Inlet (%)</t>
    <phoneticPr fontId="6" type="noConversion"/>
  </si>
  <si>
    <t>June</t>
    <phoneticPr fontId="6" type="noConversion"/>
  </si>
  <si>
    <t>Station 1</t>
    <phoneticPr fontId="6" type="noConversion"/>
  </si>
  <si>
    <t>Station 2</t>
    <phoneticPr fontId="6" type="noConversion"/>
  </si>
  <si>
    <t>NEED TO INTEGRATE NUMBERS BETWEEN THE TWO FIGURES!</t>
    <phoneticPr fontId="6" type="noConversion"/>
  </si>
  <si>
    <t>Bacteria</t>
    <phoneticPr fontId="6" type="noConversion"/>
  </si>
  <si>
    <t>Archaea</t>
    <phoneticPr fontId="6" type="noConversion"/>
  </si>
  <si>
    <t>Bacteria</t>
    <phoneticPr fontId="6" type="noConversion"/>
  </si>
  <si>
    <t>My</t>
    <phoneticPr fontId="6" type="noConversion"/>
  </si>
  <si>
    <t xml:space="preserve">Wakehaam 2012 </t>
    <phoneticPr fontId="6" type="noConversion"/>
  </si>
  <si>
    <t>Bacteria</t>
    <phoneticPr fontId="6" type="noConversion"/>
  </si>
  <si>
    <t>Bacteria (cm)</t>
    <phoneticPr fontId="6" type="noConversion"/>
  </si>
  <si>
    <t>Depth (cm)</t>
    <phoneticPr fontId="6" type="noConversion"/>
  </si>
  <si>
    <t>AGT3 Surface Water</t>
    <phoneticPr fontId="6" type="noConversion"/>
  </si>
  <si>
    <t>CK1 Surface Water</t>
    <phoneticPr fontId="6" type="noConversion"/>
  </si>
  <si>
    <t>CK5 Surface Water</t>
    <phoneticPr fontId="6" type="noConversion"/>
  </si>
  <si>
    <t>AGT2 Surface Water</t>
    <phoneticPr fontId="6" type="noConversion"/>
  </si>
  <si>
    <t>LW3 Surface Water</t>
    <phoneticPr fontId="6" type="noConversion"/>
  </si>
  <si>
    <t>Teira 2006</t>
    <phoneticPr fontId="6" type="noConversion"/>
  </si>
  <si>
    <t>WATER!!!</t>
    <phoneticPr fontId="6" type="noConversion"/>
  </si>
  <si>
    <t>CARD-FISH</t>
    <phoneticPr fontId="6" type="noConversion"/>
  </si>
  <si>
    <t>cells/mL</t>
    <phoneticPr fontId="6" type="noConversion"/>
  </si>
  <si>
    <t>%</t>
    <phoneticPr fontId="6" type="noConversion"/>
  </si>
  <si>
    <t>CP3 Deep water</t>
    <phoneticPr fontId="6" type="noConversion"/>
  </si>
  <si>
    <t>CP5 Deep water</t>
    <phoneticPr fontId="6" type="noConversion"/>
  </si>
  <si>
    <t>CP5 Deep water</t>
    <phoneticPr fontId="6" type="noConversion"/>
  </si>
  <si>
    <t>Environmental</t>
  </si>
  <si>
    <t>variable</t>
  </si>
  <si>
    <t>(range)</t>
  </si>
  <si>
    <t>waters</t>
  </si>
  <si>
    <t>Deep</t>
  </si>
  <si>
    <t>(m)</t>
  </si>
  <si>
    <t>(7–42)</t>
  </si>
  <si>
    <t>(92–600)</t>
  </si>
  <si>
    <t>(150–500)</t>
  </si>
  <si>
    <t>Temperature</t>
  </si>
  <si>
    <t>(°C)</t>
  </si>
  <si>
    <t>–0.64</t>
  </si>
  <si>
    <t>(–1.5–3.5)</t>
  </si>
  <si>
    <t>(–1.5–0.3)</t>
  </si>
  <si>
    <t>(–1.5–0.2)</t>
  </si>
  <si>
    <t>Salinity</t>
  </si>
  <si>
    <t>(psu)</t>
  </si>
  <si>
    <t>(26.10–32.35)</t>
  </si>
  <si>
    <t>(32.92–34.84)</t>
  </si>
  <si>
    <t>(33.06–34.76)</t>
  </si>
  <si>
    <t>O2</t>
  </si>
  <si>
    <t>(μM)</t>
  </si>
  <si>
    <t>(343–419)</t>
  </si>
  <si>
    <t>(228–291)</t>
  </si>
  <si>
    <t>ND</t>
    <phoneticPr fontId="6" type="noConversion"/>
  </si>
  <si>
    <t>ND</t>
    <phoneticPr fontId="6" type="noConversion"/>
  </si>
  <si>
    <t>L11</t>
    <phoneticPr fontId="6" type="noConversion"/>
  </si>
  <si>
    <t>Ocean</t>
    <phoneticPr fontId="6" type="noConversion"/>
  </si>
  <si>
    <t>L09</t>
    <phoneticPr fontId="6" type="noConversion"/>
  </si>
  <si>
    <t>Water mass</t>
    <phoneticPr fontId="6" type="noConversion"/>
  </si>
  <si>
    <t>Abundance</t>
    <phoneticPr fontId="6" type="noConversion"/>
  </si>
  <si>
    <t>Bacteria</t>
    <phoneticPr fontId="6" type="noConversion"/>
  </si>
  <si>
    <t>Crenarchaeota</t>
    <phoneticPr fontId="6" type="noConversion"/>
  </si>
  <si>
    <t>February</t>
    <phoneticPr fontId="6" type="noConversion"/>
  </si>
  <si>
    <t xml:space="preserve">March </t>
    <phoneticPr fontId="6" type="noConversion"/>
  </si>
  <si>
    <t>Mediterranean Sea, Control</t>
    <phoneticPr fontId="6" type="noConversion"/>
  </si>
  <si>
    <t>Mediterranean Sea, EC1</t>
    <phoneticPr fontId="6" type="noConversion"/>
  </si>
  <si>
    <t>EUB338</t>
    <phoneticPr fontId="6" type="noConversion"/>
  </si>
  <si>
    <t>ARCH915</t>
    <phoneticPr fontId="6" type="noConversion"/>
  </si>
  <si>
    <t>Bacteria (cells/mL)</t>
    <phoneticPr fontId="6" type="noConversion"/>
  </si>
  <si>
    <t>Archaea (cells/mL)</t>
    <phoneticPr fontId="6" type="noConversion"/>
  </si>
  <si>
    <t>Manini 2008</t>
    <phoneticPr fontId="6" type="noConversion"/>
  </si>
  <si>
    <t>GI Archaea</t>
    <phoneticPr fontId="6" type="noConversion"/>
  </si>
  <si>
    <t>Cells</t>
    <phoneticPr fontId="6" type="noConversion"/>
  </si>
  <si>
    <t xml:space="preserve">My </t>
    <phoneticPr fontId="6" type="noConversion"/>
  </si>
  <si>
    <t>Cells/mL</t>
    <phoneticPr fontId="6" type="noConversion"/>
  </si>
  <si>
    <t>Figure 4</t>
    <phoneticPr fontId="6" type="noConversion"/>
  </si>
  <si>
    <t>Depth (m)</t>
    <phoneticPr fontId="6" type="noConversion"/>
  </si>
  <si>
    <t>Prokaryotes (cells/mL)</t>
    <phoneticPr fontId="6" type="noConversion"/>
  </si>
  <si>
    <t>Figure 4</t>
    <phoneticPr fontId="6" type="noConversion"/>
  </si>
  <si>
    <t>Control</t>
    <phoneticPr fontId="6" type="noConversion"/>
  </si>
  <si>
    <t>EC2</t>
    <phoneticPr fontId="6" type="noConversion"/>
  </si>
  <si>
    <t>Bacteria (cm)</t>
    <phoneticPr fontId="6" type="noConversion"/>
  </si>
  <si>
    <t>Archaea (cm)</t>
    <phoneticPr fontId="6" type="noConversion"/>
  </si>
  <si>
    <t>Actual Archaea %</t>
    <phoneticPr fontId="6" type="noConversion"/>
  </si>
  <si>
    <t xml:space="preserve"> </t>
    <phoneticPr fontId="6" type="noConversion"/>
  </si>
  <si>
    <t>Figure 3</t>
    <phoneticPr fontId="6" type="noConversion"/>
  </si>
  <si>
    <t>Prokaryotic abundance (cm)</t>
    <phoneticPr fontId="6" type="noConversion"/>
  </si>
  <si>
    <t>Herfort 2007</t>
    <phoneticPr fontId="6" type="noConversion"/>
  </si>
  <si>
    <t>Table 1</t>
    <phoneticPr fontId="6" type="noConversion"/>
  </si>
  <si>
    <t>Sites</t>
    <phoneticPr fontId="6" type="noConversion"/>
  </si>
  <si>
    <t>DC</t>
    <phoneticPr fontId="6" type="noConversion"/>
  </si>
  <si>
    <t>B14</t>
    <phoneticPr fontId="6" type="noConversion"/>
  </si>
  <si>
    <t>Prokaryotic abundance (cm)</t>
    <phoneticPr fontId="6" type="noConversion"/>
  </si>
  <si>
    <t>Al Ali 2009</t>
    <phoneticPr fontId="6" type="noConversion"/>
  </si>
  <si>
    <t>Manini 2008</t>
    <phoneticPr fontId="6" type="noConversion"/>
  </si>
  <si>
    <t>Location</t>
    <phoneticPr fontId="6" type="noConversion"/>
  </si>
  <si>
    <t>Mesopelagic</t>
    <phoneticPr fontId="6" type="noConversion"/>
  </si>
  <si>
    <t>Archaea</t>
  </si>
  <si>
    <t>Not hybridized</t>
  </si>
  <si>
    <t>Not hybridized</t>
    <phoneticPr fontId="6" type="noConversion"/>
  </si>
  <si>
    <t>Bacteria</t>
    <phoneticPr fontId="6" type="noConversion"/>
  </si>
  <si>
    <t>South Atlantic Gyral Province (SATL)</t>
    <phoneticPr fontId="6" type="noConversion"/>
  </si>
  <si>
    <t>Western Tropical Atlantic (WTRA)</t>
    <phoneticPr fontId="6" type="noConversion"/>
  </si>
  <si>
    <t>NADW</t>
    <phoneticPr fontId="6" type="noConversion"/>
  </si>
  <si>
    <t>DSOW</t>
    <phoneticPr fontId="6" type="noConversion"/>
  </si>
  <si>
    <t>EUB338</t>
    <phoneticPr fontId="6" type="noConversion"/>
  </si>
  <si>
    <t>Cells/mL</t>
    <phoneticPr fontId="6" type="noConversion"/>
  </si>
  <si>
    <t>2000 m</t>
    <phoneticPr fontId="6" type="noConversion"/>
  </si>
  <si>
    <t>Summer Cells</t>
    <phoneticPr fontId="6" type="noConversion"/>
  </si>
  <si>
    <t>Winter Cells</t>
    <phoneticPr fontId="6" type="noConversion"/>
  </si>
  <si>
    <t>TDW</t>
  </si>
  <si>
    <t>Station 2</t>
    <phoneticPr fontId="6" type="noConversion"/>
  </si>
  <si>
    <t>Station 5</t>
    <phoneticPr fontId="6" type="noConversion"/>
  </si>
  <si>
    <t>Station 8</t>
    <phoneticPr fontId="6" type="noConversion"/>
  </si>
  <si>
    <t xml:space="preserve">Michotey 2012 </t>
    <phoneticPr fontId="6" type="noConversion"/>
  </si>
  <si>
    <t>Station</t>
    <phoneticPr fontId="6" type="noConversion"/>
  </si>
  <si>
    <t>L01</t>
    <phoneticPr fontId="6" type="noConversion"/>
  </si>
  <si>
    <t>Bacteria</t>
    <phoneticPr fontId="6" type="noConversion"/>
  </si>
  <si>
    <t>L03</t>
    <phoneticPr fontId="6" type="noConversion"/>
  </si>
  <si>
    <t>Bacteria (genes/mL)</t>
    <phoneticPr fontId="6" type="noConversion"/>
  </si>
  <si>
    <t>AGT4 Surface Water</t>
    <phoneticPr fontId="6" type="noConversion"/>
  </si>
  <si>
    <t>AG5 Surface Water</t>
    <phoneticPr fontId="6" type="noConversion"/>
  </si>
  <si>
    <t>WB3 Surface Water</t>
    <phoneticPr fontId="6" type="noConversion"/>
  </si>
  <si>
    <t>% Ending Point</t>
    <phoneticPr fontId="6" type="noConversion"/>
  </si>
  <si>
    <t>Figure 5</t>
    <phoneticPr fontId="6" type="noConversion"/>
  </si>
  <si>
    <t>GI Archaea</t>
    <phoneticPr fontId="6" type="noConversion"/>
  </si>
  <si>
    <t>OPEN CIRCLE</t>
    <phoneticPr fontId="6" type="noConversion"/>
  </si>
  <si>
    <t>CLOSE TRIANGLE</t>
    <phoneticPr fontId="6" type="noConversion"/>
  </si>
  <si>
    <t xml:space="preserve">Depth </t>
    <phoneticPr fontId="6" type="noConversion"/>
  </si>
  <si>
    <t>Summer Cells</t>
    <phoneticPr fontId="6" type="noConversion"/>
  </si>
  <si>
    <t>Winter Cells</t>
    <phoneticPr fontId="6" type="noConversion"/>
  </si>
  <si>
    <t>GII Archaea</t>
    <phoneticPr fontId="6" type="noConversion"/>
  </si>
  <si>
    <t xml:space="preserve">April </t>
    <phoneticPr fontId="6" type="noConversion"/>
  </si>
  <si>
    <t>May</t>
    <phoneticPr fontId="6" type="noConversion"/>
  </si>
  <si>
    <t>EUBI-III</t>
    <phoneticPr fontId="6" type="noConversion"/>
  </si>
  <si>
    <t>2.35-2.75</t>
    <phoneticPr fontId="6" type="noConversion"/>
  </si>
  <si>
    <t>2.1-2.4</t>
    <phoneticPr fontId="6" type="noConversion"/>
  </si>
  <si>
    <t>3.9-4.35</t>
    <phoneticPr fontId="6" type="noConversion"/>
  </si>
  <si>
    <t>Station 2</t>
    <phoneticPr fontId="6" type="noConversion"/>
  </si>
  <si>
    <t>2.6-4</t>
    <phoneticPr fontId="6" type="noConversion"/>
  </si>
  <si>
    <t>ARCH915</t>
    <phoneticPr fontId="6" type="noConversion"/>
  </si>
  <si>
    <t>%</t>
    <phoneticPr fontId="6" type="noConversion"/>
  </si>
  <si>
    <t>Crenarchaeota</t>
    <phoneticPr fontId="6" type="noConversion"/>
  </si>
  <si>
    <t>Crenarchaeotal 16S rRNA gene</t>
    <phoneticPr fontId="6" type="noConversion"/>
  </si>
  <si>
    <t>.15-.7</t>
    <phoneticPr fontId="6" type="noConversion"/>
  </si>
  <si>
    <t>.5-1.7</t>
    <phoneticPr fontId="6" type="noConversion"/>
  </si>
  <si>
    <t>.25-.3</t>
    <phoneticPr fontId="6" type="noConversion"/>
  </si>
  <si>
    <t>1.85-2</t>
    <phoneticPr fontId="6" type="noConversion"/>
  </si>
  <si>
    <t>1.45-1.5</t>
    <phoneticPr fontId="6" type="noConversion"/>
  </si>
  <si>
    <t>3.1-3.8</t>
    <phoneticPr fontId="6" type="noConversion"/>
  </si>
  <si>
    <t>3.6-4.3</t>
    <phoneticPr fontId="6" type="noConversion"/>
  </si>
  <si>
    <t>3.1-3.85</t>
    <phoneticPr fontId="6" type="noConversion"/>
  </si>
  <si>
    <t>3.8-4.15</t>
    <phoneticPr fontId="6" type="noConversion"/>
  </si>
  <si>
    <t>Bacteria</t>
    <phoneticPr fontId="6" type="noConversion"/>
  </si>
  <si>
    <t>Wakeham 2012</t>
    <phoneticPr fontId="6" type="noConversion"/>
  </si>
  <si>
    <t>DAPI</t>
    <phoneticPr fontId="6" type="noConversion"/>
  </si>
  <si>
    <t>Crenarchaeotal 16S rRNA gene</t>
    <phoneticPr fontId="6" type="noConversion"/>
  </si>
  <si>
    <t>Euryarchaeota</t>
    <phoneticPr fontId="6" type="noConversion"/>
  </si>
  <si>
    <t>Crenarchaeota</t>
    <phoneticPr fontId="6" type="noConversion"/>
  </si>
  <si>
    <t xml:space="preserve">Copies/mL </t>
    <phoneticPr fontId="6" type="noConversion"/>
  </si>
  <si>
    <t>Crenarchaeotal 16S rRNA</t>
    <phoneticPr fontId="6" type="noConversion"/>
  </si>
  <si>
    <t>Archaea</t>
    <phoneticPr fontId="6" type="noConversion"/>
  </si>
  <si>
    <t>Total cells/mL</t>
    <phoneticPr fontId="6" type="noConversion"/>
  </si>
  <si>
    <t xml:space="preserve">April </t>
    <phoneticPr fontId="6" type="noConversion"/>
  </si>
  <si>
    <t>North Sea, DC</t>
    <phoneticPr fontId="6" type="noConversion"/>
  </si>
  <si>
    <t>% archaea</t>
    <phoneticPr fontId="6" type="noConversion"/>
  </si>
  <si>
    <t>FIGURE 4</t>
    <phoneticPr fontId="6" type="noConversion"/>
  </si>
  <si>
    <t>% archaea</t>
    <phoneticPr fontId="6" type="noConversion"/>
  </si>
  <si>
    <t>DAPI stained cells (cells/mL)</t>
    <phoneticPr fontId="6" type="noConversion"/>
  </si>
  <si>
    <t>Cells/mL</t>
    <phoneticPr fontId="6" type="noConversion"/>
  </si>
  <si>
    <t>Church 2003</t>
    <phoneticPr fontId="6" type="noConversion"/>
  </si>
  <si>
    <t xml:space="preserve">Depth </t>
    <phoneticPr fontId="6" type="noConversion"/>
  </si>
  <si>
    <t>OPEN CIRCLE</t>
    <phoneticPr fontId="6" type="noConversion"/>
  </si>
  <si>
    <t>CLOSE TRIANGLE</t>
    <phoneticPr fontId="6" type="noConversion"/>
  </si>
  <si>
    <t>2.2-2.8</t>
    <phoneticPr fontId="6" type="noConversion"/>
  </si>
  <si>
    <t>1.75-2.25</t>
    <phoneticPr fontId="6" type="noConversion"/>
  </si>
  <si>
    <t>1.9-2.3</t>
    <phoneticPr fontId="6" type="noConversion"/>
  </si>
  <si>
    <t>2.2-4.3</t>
    <phoneticPr fontId="6" type="noConversion"/>
  </si>
  <si>
    <t>3.15-4.8</t>
    <phoneticPr fontId="6" type="noConversion"/>
  </si>
  <si>
    <t>1.3-2.1</t>
    <phoneticPr fontId="6" type="noConversion"/>
  </si>
  <si>
    <t>CSB</t>
    <phoneticPr fontId="6" type="noConversion"/>
  </si>
  <si>
    <t>SFF</t>
    <phoneticPr fontId="6" type="noConversion"/>
  </si>
  <si>
    <t>FF</t>
    <phoneticPr fontId="6" type="noConversion"/>
  </si>
  <si>
    <t>NFF</t>
    <phoneticPr fontId="6" type="noConversion"/>
  </si>
  <si>
    <t>OG</t>
    <phoneticPr fontId="6" type="noConversion"/>
  </si>
  <si>
    <t>DB</t>
    <phoneticPr fontId="6" type="noConversion"/>
  </si>
  <si>
    <t>DAPI</t>
    <phoneticPr fontId="6" type="noConversion"/>
  </si>
  <si>
    <t>Euryarchaeora</t>
    <phoneticPr fontId="6" type="noConversion"/>
  </si>
  <si>
    <t xml:space="preserve">February </t>
    <phoneticPr fontId="6" type="noConversion"/>
  </si>
  <si>
    <t>April</t>
    <phoneticPr fontId="6" type="noConversion"/>
  </si>
  <si>
    <t>August</t>
    <phoneticPr fontId="6" type="noConversion"/>
  </si>
  <si>
    <t xml:space="preserve">November </t>
    <phoneticPr fontId="6" type="noConversion"/>
  </si>
  <si>
    <t>December</t>
    <phoneticPr fontId="6" type="noConversion"/>
  </si>
  <si>
    <t>3.1-3.4</t>
    <phoneticPr fontId="6" type="noConversion"/>
  </si>
  <si>
    <t>Figure 2</t>
    <phoneticPr fontId="6" type="noConversion"/>
  </si>
  <si>
    <t>&lt;0.01</t>
    <phoneticPr fontId="6" type="noConversion"/>
  </si>
  <si>
    <t>qPCR</t>
    <phoneticPr fontId="6" type="noConversion"/>
  </si>
  <si>
    <t>Table 2</t>
    <phoneticPr fontId="6" type="noConversion"/>
  </si>
  <si>
    <t>Simonato 2009</t>
    <phoneticPr fontId="6" type="noConversion"/>
  </si>
  <si>
    <t>Date</t>
    <phoneticPr fontId="6" type="noConversion"/>
  </si>
  <si>
    <t>Date</t>
    <phoneticPr fontId="6" type="noConversion"/>
  </si>
  <si>
    <t>July 2005</t>
    <phoneticPr fontId="6" type="noConversion"/>
  </si>
  <si>
    <t>EUB338</t>
    <phoneticPr fontId="6" type="noConversion"/>
  </si>
  <si>
    <t>Depth (cm)</t>
    <phoneticPr fontId="6" type="noConversion"/>
  </si>
  <si>
    <t>Depth (m)</t>
    <phoneticPr fontId="6" type="noConversion"/>
  </si>
  <si>
    <t>Total Prok (cells/L)</t>
    <phoneticPr fontId="6" type="noConversion"/>
  </si>
  <si>
    <t>Total prok (cells/mL)</t>
    <phoneticPr fontId="6" type="noConversion"/>
  </si>
  <si>
    <t>Station 8</t>
    <phoneticPr fontId="6" type="noConversion"/>
  </si>
  <si>
    <t>FISH</t>
    <phoneticPr fontId="6" type="noConversion"/>
  </si>
  <si>
    <t>Wells 2003</t>
    <phoneticPr fontId="6" type="noConversion"/>
  </si>
  <si>
    <t>Table 3</t>
    <phoneticPr fontId="6" type="noConversion"/>
  </si>
  <si>
    <t xml:space="preserve">Garneau 2008 </t>
    <phoneticPr fontId="6" type="noConversion"/>
  </si>
  <si>
    <t>Tables 1 and 2</t>
    <phoneticPr fontId="6" type="noConversion"/>
  </si>
  <si>
    <t>STATION</t>
    <phoneticPr fontId="6" type="noConversion"/>
  </si>
  <si>
    <t>Depth</t>
    <phoneticPr fontId="6" type="noConversion"/>
  </si>
  <si>
    <t>TOTAL</t>
    <phoneticPr fontId="6" type="noConversion"/>
  </si>
  <si>
    <t>CELLS</t>
    <phoneticPr fontId="6" type="noConversion"/>
  </si>
  <si>
    <t>10e5 mL</t>
    <phoneticPr fontId="6" type="noConversion"/>
  </si>
  <si>
    <t xml:space="preserve">% of total </t>
    <phoneticPr fontId="6" type="noConversion"/>
  </si>
  <si>
    <t>% of HYB</t>
    <phoneticPr fontId="6" type="noConversion"/>
  </si>
  <si>
    <t>% of HYB</t>
    <phoneticPr fontId="6" type="noConversion"/>
  </si>
  <si>
    <t>10e5 mL</t>
    <phoneticPr fontId="6" type="noConversion"/>
  </si>
  <si>
    <t>ARCHAEA</t>
    <phoneticPr fontId="6" type="noConversion"/>
  </si>
  <si>
    <t>BACTERIA</t>
    <phoneticPr fontId="6" type="noConversion"/>
  </si>
  <si>
    <t>10e5 mL</t>
    <phoneticPr fontId="6" type="noConversion"/>
  </si>
  <si>
    <t>Averaged Depth</t>
    <phoneticPr fontId="6" type="noConversion"/>
  </si>
  <si>
    <t>Cariaco Basin, continental shelf of northern Venezuela</t>
    <phoneticPr fontId="6" type="noConversion"/>
  </si>
  <si>
    <t>Stn</t>
  </si>
  <si>
    <t>Temp</t>
  </si>
  <si>
    <t>Sal</t>
  </si>
  <si>
    <t>CDOM</t>
  </si>
  <si>
    <t>SPM</t>
  </si>
  <si>
    <t>POM</t>
  </si>
  <si>
    <t>POM</t>
    <phoneticPr fontId="6" type="noConversion"/>
  </si>
  <si>
    <t>Chl a</t>
    <phoneticPr fontId="6" type="noConversion"/>
  </si>
  <si>
    <t>Prok</t>
    <phoneticPr fontId="6" type="noConversion"/>
  </si>
  <si>
    <t xml:space="preserve">Stn </t>
    <phoneticPr fontId="6" type="noConversion"/>
  </si>
  <si>
    <t>Prokaryotes</t>
    <phoneticPr fontId="6" type="noConversion"/>
  </si>
  <si>
    <t>Bacteria (%)</t>
    <phoneticPr fontId="6" type="noConversion"/>
  </si>
  <si>
    <t>Archaea (%)</t>
    <phoneticPr fontId="6" type="noConversion"/>
  </si>
  <si>
    <t>Cells/mL</t>
    <phoneticPr fontId="6" type="noConversion"/>
  </si>
  <si>
    <t>Cells/mL</t>
    <phoneticPr fontId="6" type="noConversion"/>
  </si>
  <si>
    <t>North Sea, CSB</t>
    <phoneticPr fontId="6" type="noConversion"/>
  </si>
  <si>
    <t>North Sea, SFF</t>
    <phoneticPr fontId="6" type="noConversion"/>
  </si>
  <si>
    <t>Control Site</t>
    <phoneticPr fontId="6" type="noConversion"/>
  </si>
  <si>
    <t>EC1</t>
    <phoneticPr fontId="6" type="noConversion"/>
  </si>
  <si>
    <t>EC2</t>
    <phoneticPr fontId="6" type="noConversion"/>
  </si>
  <si>
    <t>BP</t>
    <phoneticPr fontId="6" type="noConversion"/>
  </si>
  <si>
    <t>2.1-4.45</t>
    <phoneticPr fontId="6" type="noConversion"/>
  </si>
  <si>
    <t>2.4-3.9</t>
    <phoneticPr fontId="6" type="noConversion"/>
  </si>
  <si>
    <t>2.2-3.2</t>
    <phoneticPr fontId="6" type="noConversion"/>
  </si>
  <si>
    <t>3.3-3.95</t>
    <phoneticPr fontId="6" type="noConversion"/>
  </si>
  <si>
    <t>2-3.2</t>
    <phoneticPr fontId="6" type="noConversion"/>
  </si>
  <si>
    <t>3-4.5</t>
    <phoneticPr fontId="6" type="noConversion"/>
  </si>
  <si>
    <t>2.8-4.3</t>
    <phoneticPr fontId="6" type="noConversion"/>
  </si>
  <si>
    <t>2.4-3.3</t>
    <phoneticPr fontId="6" type="noConversion"/>
  </si>
  <si>
    <t>Station 5</t>
    <phoneticPr fontId="6" type="noConversion"/>
  </si>
  <si>
    <t>2.3-3.5</t>
    <phoneticPr fontId="6" type="noConversion"/>
  </si>
  <si>
    <t>2.1-3.8</t>
    <phoneticPr fontId="6" type="noConversion"/>
  </si>
  <si>
    <t>1.6-3.3</t>
    <phoneticPr fontId="6" type="noConversion"/>
  </si>
  <si>
    <t>2.65-3.45</t>
    <phoneticPr fontId="6" type="noConversion"/>
  </si>
  <si>
    <t>EUB338</t>
    <phoneticPr fontId="6" type="noConversion"/>
  </si>
  <si>
    <t>LSW</t>
    <phoneticPr fontId="6" type="noConversion"/>
  </si>
  <si>
    <t>5m</t>
    <phoneticPr fontId="6" type="noConversion"/>
  </si>
  <si>
    <t>200m</t>
    <phoneticPr fontId="6" type="noConversion"/>
  </si>
  <si>
    <t>600m</t>
    <phoneticPr fontId="6" type="noConversion"/>
  </si>
  <si>
    <t xml:space="preserve">1000m </t>
    <phoneticPr fontId="6" type="noConversion"/>
  </si>
  <si>
    <t>July</t>
    <phoneticPr fontId="6" type="noConversion"/>
  </si>
  <si>
    <t xml:space="preserve">August </t>
    <phoneticPr fontId="6" type="noConversion"/>
  </si>
  <si>
    <t>January</t>
    <phoneticPr fontId="6" type="noConversion"/>
  </si>
  <si>
    <t>Figure 1</t>
    <phoneticPr fontId="6" type="noConversion"/>
  </si>
  <si>
    <t>Mediterranean Sea, EC2</t>
    <phoneticPr fontId="6" type="noConversion"/>
  </si>
  <si>
    <t>Mediterranean Sea, BP</t>
    <phoneticPr fontId="6" type="noConversion"/>
  </si>
  <si>
    <t>%</t>
    <phoneticPr fontId="6" type="noConversion"/>
  </si>
  <si>
    <t>Starting point</t>
    <phoneticPr fontId="6" type="noConversion"/>
  </si>
  <si>
    <t xml:space="preserve">Ending point </t>
    <phoneticPr fontId="6" type="noConversion"/>
  </si>
  <si>
    <t>Real %</t>
    <phoneticPr fontId="6" type="noConversion"/>
  </si>
  <si>
    <t>% Starting Point</t>
    <phoneticPr fontId="6" type="noConversion"/>
  </si>
  <si>
    <t>qPCR-Archaea (copies/mL water)</t>
    <phoneticPr fontId="6" type="noConversion"/>
  </si>
  <si>
    <t>qPCR-MCG (copies/mL water)</t>
    <phoneticPr fontId="6" type="noConversion"/>
  </si>
  <si>
    <t>Total qPCR(copies/mL water)</t>
    <phoneticPr fontId="6" type="noConversion"/>
  </si>
  <si>
    <t>Bacteria (cells/mL)</t>
    <phoneticPr fontId="6" type="noConversion"/>
  </si>
  <si>
    <t>Archaea (cells/mL)</t>
    <phoneticPr fontId="6" type="noConversion"/>
  </si>
  <si>
    <t>LIW</t>
  </si>
  <si>
    <t>Wakeham 2007</t>
    <phoneticPr fontId="6" type="noConversion"/>
  </si>
  <si>
    <t>Black Sea</t>
    <phoneticPr fontId="6" type="noConversion"/>
  </si>
  <si>
    <t>North Sea, FF</t>
    <phoneticPr fontId="6" type="noConversion"/>
  </si>
  <si>
    <t>North Sea, NFF</t>
    <phoneticPr fontId="6" type="noConversion"/>
  </si>
  <si>
    <t>North Sea, OG</t>
    <phoneticPr fontId="6" type="noConversion"/>
  </si>
  <si>
    <t>Depth</t>
    <phoneticPr fontId="6" type="noConversion"/>
  </si>
  <si>
    <t>CARD-FISh</t>
    <phoneticPr fontId="6" type="noConversion"/>
  </si>
  <si>
    <t>Bac (cells/mL)</t>
    <phoneticPr fontId="6" type="noConversion"/>
  </si>
  <si>
    <t>CARD-FISH</t>
    <phoneticPr fontId="6" type="noConversion"/>
  </si>
  <si>
    <t>Bacteria</t>
    <phoneticPr fontId="6" type="noConversion"/>
  </si>
  <si>
    <t xml:space="preserve">Cells/mL </t>
    <phoneticPr fontId="6" type="noConversion"/>
  </si>
  <si>
    <t>Podlaska 2012</t>
    <phoneticPr fontId="6" type="noConversion"/>
  </si>
  <si>
    <t>2.6-3.2</t>
    <phoneticPr fontId="6" type="noConversion"/>
  </si>
  <si>
    <t>2.65-2.95</t>
    <phoneticPr fontId="6" type="noConversion"/>
  </si>
  <si>
    <t>1.9-2.05</t>
    <phoneticPr fontId="6" type="noConversion"/>
  </si>
  <si>
    <t>2-2.2</t>
    <phoneticPr fontId="6" type="noConversion"/>
  </si>
  <si>
    <t>0?</t>
    <phoneticPr fontId="6" type="noConversion"/>
  </si>
  <si>
    <t>1.7-1.9</t>
    <phoneticPr fontId="6" type="noConversion"/>
  </si>
  <si>
    <t>Averaged Depth</t>
    <phoneticPr fontId="6" type="noConversion"/>
  </si>
  <si>
    <t>Depth (m)</t>
    <phoneticPr fontId="6" type="noConversion"/>
  </si>
  <si>
    <t>Bac (cells/mL)</t>
    <phoneticPr fontId="6" type="noConversion"/>
  </si>
  <si>
    <t xml:space="preserve">DAPI </t>
    <phoneticPr fontId="6" type="noConversion"/>
  </si>
  <si>
    <t>Total prokar (cells/mL)</t>
    <phoneticPr fontId="6" type="noConversion"/>
  </si>
  <si>
    <t>Station 1</t>
    <phoneticPr fontId="6" type="noConversion"/>
  </si>
  <si>
    <t>Station 2</t>
    <phoneticPr fontId="6" type="noConversion"/>
  </si>
  <si>
    <t>Depth</t>
    <phoneticPr fontId="6" type="noConversion"/>
  </si>
  <si>
    <t>Station 5</t>
    <phoneticPr fontId="6" type="noConversion"/>
  </si>
  <si>
    <t>Arc (cells/mL)</t>
    <phoneticPr fontId="6" type="noConversion"/>
  </si>
  <si>
    <t>Total Prok (cells/mL)</t>
    <phoneticPr fontId="6" type="noConversion"/>
  </si>
  <si>
    <t>Cells/mL</t>
    <phoneticPr fontId="6" type="noConversion"/>
  </si>
  <si>
    <t>Station 8</t>
    <phoneticPr fontId="6" type="noConversion"/>
  </si>
  <si>
    <t>DEPTH</t>
    <phoneticPr fontId="6" type="noConversion"/>
  </si>
  <si>
    <t>qPCR-Bacteria (copies/mL water)</t>
    <phoneticPr fontId="6" type="noConversion"/>
  </si>
  <si>
    <t>North Sea, B14</t>
    <phoneticPr fontId="6" type="noConversion"/>
  </si>
  <si>
    <t>DIDN"T INCLUDE CONVERSION OF PAPER FROM GENE COPIES TO CELLS so used Schipper's Numbers 3.6 copies/cell for both Archaea and Bacteria</t>
    <phoneticPr fontId="6" type="noConversion"/>
  </si>
  <si>
    <t>ALSO SSU GENE COPY NUMBER?</t>
    <phoneticPr fontId="6" type="noConversion"/>
  </si>
  <si>
    <t>EUB338</t>
    <phoneticPr fontId="6" type="noConversion"/>
  </si>
  <si>
    <t>ARCH915</t>
    <phoneticPr fontId="6" type="noConversion"/>
  </si>
  <si>
    <t>La Seyne-sur-Mer, French Mediterranean coast</t>
    <phoneticPr fontId="6" type="noConversion"/>
  </si>
  <si>
    <t>Depth (m)</t>
    <phoneticPr fontId="6" type="noConversion"/>
  </si>
  <si>
    <t xml:space="preserve">my </t>
    <phoneticPr fontId="6" type="noConversion"/>
  </si>
  <si>
    <t>real</t>
    <phoneticPr fontId="6" type="noConversion"/>
  </si>
  <si>
    <t>Cell Numbers</t>
    <phoneticPr fontId="6" type="noConversion"/>
  </si>
  <si>
    <t>My</t>
    <phoneticPr fontId="6" type="noConversion"/>
  </si>
  <si>
    <t>GI Archaea</t>
    <phoneticPr fontId="6" type="noConversion"/>
  </si>
  <si>
    <t>Depth</t>
    <phoneticPr fontId="6" type="noConversion"/>
  </si>
  <si>
    <t xml:space="preserve">My </t>
    <phoneticPr fontId="6" type="noConversion"/>
  </si>
  <si>
    <t>Real</t>
    <phoneticPr fontId="6" type="noConversion"/>
  </si>
  <si>
    <t>Depth (m)</t>
    <phoneticPr fontId="6" type="noConversion"/>
  </si>
  <si>
    <t xml:space="preserve">September </t>
    <phoneticPr fontId="6" type="noConversion"/>
  </si>
  <si>
    <t xml:space="preserve">October </t>
    <phoneticPr fontId="6" type="noConversion"/>
  </si>
  <si>
    <t>North Sea, DB</t>
    <phoneticPr fontId="6" type="noConversion"/>
  </si>
  <si>
    <t>Herfort 2007</t>
    <phoneticPr fontId="6" type="noConversion"/>
  </si>
  <si>
    <t>August</t>
    <phoneticPr fontId="6" type="noConversion"/>
  </si>
  <si>
    <t>Archaea (cells/mL)</t>
    <phoneticPr fontId="6" type="noConversion"/>
  </si>
  <si>
    <t>Total prokaryotes (cells/mL)</t>
    <phoneticPr fontId="6" type="noConversion"/>
  </si>
  <si>
    <t>Cells/mL</t>
    <phoneticPr fontId="6" type="noConversion"/>
  </si>
  <si>
    <t>Depth</t>
    <phoneticPr fontId="6" type="noConversion"/>
  </si>
  <si>
    <t>lysozyme/proteinase K</t>
  </si>
  <si>
    <t>Fraction Arc CARDFISH</t>
  </si>
  <si>
    <t>EUB-27R (50-CTGAGCCAKGATCRAACTCT-3 0 ), EUB-338Rpl (50-GCWGCC</t>
  </si>
  <si>
    <t>WCCCGTAGGWGT-3 0 ), EUB-700R (50 -CTAHGCATTTCACYGCTACAC-3 0 ), EUB-</t>
  </si>
  <si>
    <t>700Ral (50 -CTACGAATTTCACCTCTACAC-3 0 ) and EUB-1522R (50 -AAGGAGGTGAT</t>
  </si>
  <si>
    <t>CCANCCVCA-3 0</t>
  </si>
  <si>
    <t>Below is Eubmix:</t>
  </si>
  <si>
    <t>They found that Eubmix was not significantly different than Eub338</t>
  </si>
  <si>
    <t xml:space="preserve">Delong 1999 </t>
  </si>
  <si>
    <t xml:space="preserve">As with Karner et al. 2001, this paper does a polyribonucleotide probe with multiple fluorescent tags, made from large amplicons of fosmids or bacterioplankton </t>
  </si>
  <si>
    <t>34498 M2</t>
  </si>
  <si>
    <t>18198 M2</t>
  </si>
  <si>
    <t>Cell density (10^4/ml)</t>
  </si>
  <si>
    <t>Group I archaea</t>
  </si>
  <si>
    <t>Group II archaea</t>
  </si>
  <si>
    <t>Collection of amplicons from SSU and LSU from natural planktonic samples</t>
  </si>
  <si>
    <t>Collection of amplicons from SSU and LSU from fosmids of Eurys and Crens</t>
  </si>
  <si>
    <t>Polyribonucleotide FISH</t>
  </si>
  <si>
    <t>Offshore, Moss Landing, CA</t>
  </si>
  <si>
    <t>Delong 1999</t>
  </si>
  <si>
    <t>Av Eub338 counts</t>
  </si>
  <si>
    <t>StdDEv</t>
  </si>
  <si>
    <t>Av Eub338I-III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</si>
</sst>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20"/>
      <name val="Verdana"/>
    </font>
    <font>
      <sz val="10"/>
      <color indexed="14"/>
      <name val="Verdana"/>
    </font>
    <font>
      <sz val="15"/>
      <name val="Verdana"/>
    </font>
    <font>
      <sz val="12"/>
      <name val="Verdana"/>
    </font>
    <font>
      <b/>
      <sz val="12"/>
      <name val="Arial"/>
    </font>
    <font>
      <b/>
      <vertAlign val="superscript"/>
      <sz val="12"/>
      <name val="Arial"/>
    </font>
    <font>
      <sz val="12"/>
      <name val="Arial"/>
    </font>
    <font>
      <sz val="12"/>
      <color indexed="8"/>
      <name val="Arial"/>
    </font>
    <font>
      <sz val="12"/>
      <color indexed="8"/>
      <name val="Calibri"/>
      <family val="2"/>
    </font>
    <font>
      <sz val="12"/>
      <name val="Calibri"/>
    </font>
    <font>
      <sz val="10"/>
      <color indexed="10"/>
      <name val="Verdana"/>
    </font>
    <font>
      <b/>
      <sz val="9"/>
      <color indexed="8"/>
      <name val="Arial"/>
    </font>
    <font>
      <b/>
      <vertAlign val="superscript"/>
      <sz val="9"/>
      <color indexed="8"/>
      <name val="Arial"/>
    </font>
    <font>
      <sz val="9"/>
      <color indexed="8"/>
      <name val="Arial"/>
    </font>
    <font>
      <u/>
      <sz val="10"/>
      <color indexed="12"/>
      <name val="Verdana"/>
    </font>
    <font>
      <u/>
      <sz val="10"/>
      <color indexed="20"/>
      <name val="Verdana"/>
    </font>
    <font>
      <u/>
      <sz val="10"/>
      <name val="Arial"/>
    </font>
    <font>
      <u/>
      <sz val="10"/>
      <color theme="10"/>
      <name val="Verdana"/>
    </font>
    <font>
      <u/>
      <sz val="10"/>
      <color theme="11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33CC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5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0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3" fillId="0" borderId="0" xfId="0" applyFont="1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  <xf numFmtId="11" fontId="0" fillId="0" borderId="0" xfId="0" applyNumberFormat="1" applyFill="1"/>
    <xf numFmtId="11" fontId="0" fillId="2" borderId="0" xfId="0" applyNumberFormat="1" applyFill="1"/>
    <xf numFmtId="0" fontId="0" fillId="3" borderId="0" xfId="0" applyFill="1"/>
    <xf numFmtId="0" fontId="0" fillId="4" borderId="0" xfId="0" applyFill="1"/>
    <xf numFmtId="11" fontId="0" fillId="0" borderId="0" xfId="0" applyNumberFormat="1"/>
    <xf numFmtId="11" fontId="0" fillId="4" borderId="0" xfId="0" applyNumberFormat="1" applyFill="1"/>
    <xf numFmtId="11" fontId="0" fillId="0" borderId="0" xfId="0" applyNumberFormat="1"/>
    <xf numFmtId="11" fontId="0" fillId="4" borderId="0" xfId="0" applyNumberFormat="1" applyFill="1"/>
    <xf numFmtId="17" fontId="0" fillId="0" borderId="0" xfId="0" applyNumberFormat="1"/>
    <xf numFmtId="0" fontId="7" fillId="3" borderId="0" xfId="0" applyFont="1" applyFill="1"/>
    <xf numFmtId="11" fontId="0" fillId="0" borderId="0" xfId="0" applyNumberFormat="1"/>
    <xf numFmtId="11" fontId="0" fillId="2" borderId="0" xfId="0" applyNumberFormat="1" applyFill="1"/>
    <xf numFmtId="0" fontId="5" fillId="2" borderId="0" xfId="0" applyFont="1" applyFill="1"/>
    <xf numFmtId="0" fontId="0" fillId="0" borderId="0" xfId="0" applyFill="1"/>
    <xf numFmtId="11" fontId="0" fillId="0" borderId="0" xfId="0" applyNumberFormat="1"/>
    <xf numFmtId="11" fontId="5" fillId="2" borderId="0" xfId="0" applyNumberFormat="1" applyFont="1" applyFill="1"/>
    <xf numFmtId="11" fontId="0" fillId="2" borderId="0" xfId="0" applyNumberFormat="1" applyFill="1"/>
    <xf numFmtId="15" fontId="0" fillId="0" borderId="0" xfId="0" applyNumberFormat="1"/>
    <xf numFmtId="0" fontId="4" fillId="0" borderId="0" xfId="0" applyFont="1"/>
    <xf numFmtId="0" fontId="0" fillId="6" borderId="0" xfId="0" applyFill="1"/>
    <xf numFmtId="0" fontId="9" fillId="3" borderId="0" xfId="0" applyFont="1" applyFill="1"/>
    <xf numFmtId="0" fontId="7" fillId="0" borderId="0" xfId="0" applyFont="1" applyFill="1"/>
    <xf numFmtId="11" fontId="0" fillId="5" borderId="0" xfId="0" applyNumberFormat="1" applyFill="1"/>
    <xf numFmtId="0" fontId="0" fillId="5" borderId="0" xfId="0" applyFill="1"/>
    <xf numFmtId="0" fontId="0" fillId="0" borderId="0" xfId="0" applyNumberFormat="1" applyFill="1"/>
    <xf numFmtId="0" fontId="2" fillId="0" borderId="0" xfId="0" applyFont="1"/>
    <xf numFmtId="0" fontId="3" fillId="0" borderId="0" xfId="0" applyFont="1"/>
    <xf numFmtId="0" fontId="10" fillId="0" borderId="0" xfId="0" applyFont="1"/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horizontal="center"/>
    </xf>
    <xf numFmtId="14" fontId="13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 vertical="top" wrapText="1"/>
    </xf>
    <xf numFmtId="14" fontId="14" fillId="0" borderId="0" xfId="0" applyNumberFormat="1" applyFont="1" applyAlignment="1">
      <alignment horizontal="center" vertical="top" wrapText="1"/>
    </xf>
    <xf numFmtId="3" fontId="14" fillId="0" borderId="0" xfId="0" applyNumberFormat="1" applyFont="1" applyAlignment="1">
      <alignment horizontal="center" vertical="top" wrapText="1"/>
    </xf>
    <xf numFmtId="11" fontId="13" fillId="0" borderId="0" xfId="0" applyNumberFormat="1" applyFont="1" applyAlignment="1">
      <alignment horizontal="right"/>
    </xf>
    <xf numFmtId="11" fontId="14" fillId="0" borderId="0" xfId="0" applyNumberFormat="1" applyFont="1" applyAlignment="1">
      <alignment horizontal="right" vertical="top" wrapText="1"/>
    </xf>
    <xf numFmtId="0" fontId="10" fillId="4" borderId="0" xfId="0" applyFont="1" applyFill="1"/>
    <xf numFmtId="0" fontId="11" fillId="4" borderId="0" xfId="0" applyFont="1" applyFill="1" applyAlignment="1">
      <alignment horizontal="center" wrapText="1"/>
    </xf>
    <xf numFmtId="0" fontId="13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 vertical="top" wrapText="1"/>
    </xf>
    <xf numFmtId="11" fontId="0" fillId="6" borderId="0" xfId="0" applyNumberFormat="1" applyFill="1"/>
    <xf numFmtId="11" fontId="0" fillId="0" borderId="0" xfId="0" applyNumberFormat="1" applyFill="1"/>
    <xf numFmtId="11" fontId="0" fillId="0" borderId="0" xfId="0" applyNumberFormat="1"/>
    <xf numFmtId="11" fontId="8" fillId="0" borderId="0" xfId="0" applyNumberFormat="1" applyFont="1" applyFill="1"/>
    <xf numFmtId="11" fontId="0" fillId="2" borderId="0" xfId="0" applyNumberFormat="1" applyFill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0" fillId="0" borderId="1" xfId="0" applyFont="1" applyFill="1" applyBorder="1" applyAlignment="1">
      <alignment wrapText="1"/>
    </xf>
    <xf numFmtId="0" fontId="15" fillId="0" borderId="1" xfId="0" applyFont="1" applyFill="1" applyBorder="1" applyAlignment="1">
      <alignment horizontal="center" wrapText="1"/>
    </xf>
    <xf numFmtId="11" fontId="16" fillId="0" borderId="1" xfId="0" applyNumberFormat="1" applyFont="1" applyFill="1" applyBorder="1" applyAlignment="1">
      <alignment horizontal="center" wrapText="1"/>
    </xf>
    <xf numFmtId="11" fontId="15" fillId="0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/>
    <xf numFmtId="2" fontId="15" fillId="0" borderId="1" xfId="0" applyNumberFormat="1" applyFont="1" applyFill="1" applyBorder="1" applyAlignment="1">
      <alignment horizontal="center" wrapText="1"/>
    </xf>
    <xf numFmtId="2" fontId="0" fillId="0" borderId="0" xfId="0" applyNumberFormat="1" applyFill="1"/>
    <xf numFmtId="49" fontId="0" fillId="0" borderId="0" xfId="0" applyNumberFormat="1" applyFill="1"/>
    <xf numFmtId="11" fontId="0" fillId="0" borderId="0" xfId="0" applyNumberFormat="1" applyFont="1" applyFill="1"/>
    <xf numFmtId="0" fontId="0" fillId="6" borderId="0" xfId="0" applyFill="1" applyAlignment="1">
      <alignment wrapText="1"/>
    </xf>
    <xf numFmtId="11" fontId="13" fillId="4" borderId="0" xfId="0" applyNumberFormat="1" applyFont="1" applyFill="1" applyAlignment="1">
      <alignment horizontal="center"/>
    </xf>
    <xf numFmtId="11" fontId="13" fillId="0" borderId="0" xfId="0" applyNumberFormat="1" applyFont="1" applyAlignment="1">
      <alignment horizontal="center"/>
    </xf>
    <xf numFmtId="11" fontId="10" fillId="4" borderId="0" xfId="0" applyNumberFormat="1" applyFont="1" applyFill="1"/>
    <xf numFmtId="11" fontId="10" fillId="0" borderId="0" xfId="0" applyNumberFormat="1" applyFont="1"/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17" fillId="0" borderId="0" xfId="0" applyFont="1"/>
    <xf numFmtId="0" fontId="17" fillId="2" borderId="0" xfId="0" applyFont="1" applyFill="1"/>
    <xf numFmtId="0" fontId="0" fillId="7" borderId="0" xfId="0" applyFill="1"/>
    <xf numFmtId="1" fontId="0" fillId="0" borderId="0" xfId="0" applyNumberFormat="1"/>
    <xf numFmtId="0" fontId="18" fillId="0" borderId="0" xfId="0" applyFont="1" applyAlignment="1">
      <alignment horizontal="center" vertical="top" wrapText="1"/>
    </xf>
    <xf numFmtId="0" fontId="18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8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18" fillId="0" borderId="4" xfId="0" applyFont="1" applyBorder="1" applyAlignment="1">
      <alignment horizontal="center" vertical="top" wrapText="1"/>
    </xf>
    <xf numFmtId="0" fontId="20" fillId="0" borderId="0" xfId="0" applyFont="1" applyAlignment="1">
      <alignment horizontal="right" vertical="top" wrapText="1"/>
    </xf>
    <xf numFmtId="14" fontId="20" fillId="0" borderId="0" xfId="0" applyNumberFormat="1" applyFont="1" applyAlignment="1">
      <alignment horizontal="right" vertical="top" wrapText="1"/>
    </xf>
    <xf numFmtId="0" fontId="20" fillId="0" borderId="2" xfId="0" applyFont="1" applyBorder="1" applyAlignment="1">
      <alignment horizontal="right" vertical="top" wrapText="1"/>
    </xf>
    <xf numFmtId="11" fontId="20" fillId="0" borderId="2" xfId="0" applyNumberFormat="1" applyFont="1" applyBorder="1" applyAlignment="1">
      <alignment horizontal="right" vertical="top" wrapText="1"/>
    </xf>
    <xf numFmtId="11" fontId="20" fillId="0" borderId="0" xfId="0" applyNumberFormat="1" applyFont="1" applyAlignment="1">
      <alignment horizontal="right" vertical="top" wrapText="1"/>
    </xf>
    <xf numFmtId="0" fontId="20" fillId="0" borderId="2" xfId="0" applyFont="1" applyBorder="1" applyAlignment="1">
      <alignment vertical="top" wrapText="1"/>
    </xf>
    <xf numFmtId="0" fontId="20" fillId="0" borderId="0" xfId="0" applyFont="1" applyAlignment="1">
      <alignment vertical="top" wrapText="1"/>
    </xf>
    <xf numFmtId="11" fontId="3" fillId="0" borderId="0" xfId="0" applyNumberFormat="1" applyFont="1"/>
    <xf numFmtId="0" fontId="0" fillId="0" borderId="0" xfId="0" applyFont="1"/>
    <xf numFmtId="0" fontId="18" fillId="0" borderId="0" xfId="0" applyFont="1" applyAlignment="1">
      <alignment horizontal="center" vertical="top" wrapText="1"/>
    </xf>
    <xf numFmtId="0" fontId="18" fillId="0" borderId="3" xfId="0" applyFont="1" applyBorder="1" applyAlignment="1">
      <alignment horizontal="center" vertical="top" wrapText="1"/>
    </xf>
    <xf numFmtId="3" fontId="0" fillId="0" borderId="0" xfId="0" applyNumberFormat="1"/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haredStrings" Target="sharedStrings.xml"/><Relationship Id="rId3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06478343234919"/>
          <c:y val="0.0114832535885167"/>
          <c:w val="0.860047811126719"/>
          <c:h val="0.926609350864635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  <a:effectLst/>
          </c:spPr>
          <c:marker>
            <c:symbol val="square"/>
            <c:size val="3"/>
            <c:spPr>
              <a:effectLst/>
            </c:spPr>
          </c:marker>
          <c:xVal>
            <c:numRef>
              <c:f>Compilation!$I$2:$I$1661</c:f>
              <c:numCache>
                <c:formatCode>0.00E+00</c:formatCode>
                <c:ptCount val="1660"/>
                <c:pt idx="0">
                  <c:v>1.47E6</c:v>
                </c:pt>
                <c:pt idx="1">
                  <c:v>1.31E6</c:v>
                </c:pt>
                <c:pt idx="2">
                  <c:v>1.2E6</c:v>
                </c:pt>
                <c:pt idx="3">
                  <c:v>1.43E6</c:v>
                </c:pt>
                <c:pt idx="4">
                  <c:v>1.32E6</c:v>
                </c:pt>
                <c:pt idx="5">
                  <c:v>1.49E6</c:v>
                </c:pt>
                <c:pt idx="6">
                  <c:v>1.4E6</c:v>
                </c:pt>
                <c:pt idx="7">
                  <c:v>981000.0</c:v>
                </c:pt>
                <c:pt idx="8">
                  <c:v>955000.0</c:v>
                </c:pt>
                <c:pt idx="9">
                  <c:v>781000.0</c:v>
                </c:pt>
                <c:pt idx="10">
                  <c:v>539000.0</c:v>
                </c:pt>
                <c:pt idx="11">
                  <c:v>614000.0</c:v>
                </c:pt>
                <c:pt idx="12">
                  <c:v>456000.0</c:v>
                </c:pt>
                <c:pt idx="13">
                  <c:v>573000.0</c:v>
                </c:pt>
                <c:pt idx="14">
                  <c:v>420000.0</c:v>
                </c:pt>
                <c:pt idx="15">
                  <c:v>476000.0</c:v>
                </c:pt>
                <c:pt idx="16">
                  <c:v>340000.0</c:v>
                </c:pt>
                <c:pt idx="17">
                  <c:v>372000.0</c:v>
                </c:pt>
                <c:pt idx="18">
                  <c:v>186000.0</c:v>
                </c:pt>
                <c:pt idx="19">
                  <c:v>186000.0</c:v>
                </c:pt>
                <c:pt idx="20">
                  <c:v>138000.0</c:v>
                </c:pt>
                <c:pt idx="21">
                  <c:v>241000.0</c:v>
                </c:pt>
                <c:pt idx="22">
                  <c:v>154000.0</c:v>
                </c:pt>
                <c:pt idx="23">
                  <c:v>132000.0</c:v>
                </c:pt>
                <c:pt idx="24">
                  <c:v>149000.0</c:v>
                </c:pt>
                <c:pt idx="25">
                  <c:v>237000.0</c:v>
                </c:pt>
                <c:pt idx="26">
                  <c:v>213000.0</c:v>
                </c:pt>
                <c:pt idx="27">
                  <c:v>294000.0</c:v>
                </c:pt>
                <c:pt idx="28">
                  <c:v>521000.0</c:v>
                </c:pt>
                <c:pt idx="29">
                  <c:v>408000.0</c:v>
                </c:pt>
                <c:pt idx="30">
                  <c:v>450000.0</c:v>
                </c:pt>
                <c:pt idx="31">
                  <c:v>672000.0</c:v>
                </c:pt>
                <c:pt idx="32">
                  <c:v>525000.0</c:v>
                </c:pt>
                <c:pt idx="34">
                  <c:v>411000.0</c:v>
                </c:pt>
                <c:pt idx="35">
                  <c:v>398000.0</c:v>
                </c:pt>
                <c:pt idx="36">
                  <c:v>243000.0</c:v>
                </c:pt>
                <c:pt idx="37">
                  <c:v>194000.0</c:v>
                </c:pt>
                <c:pt idx="38">
                  <c:v>292000.0</c:v>
                </c:pt>
                <c:pt idx="39">
                  <c:v>313000.0</c:v>
                </c:pt>
                <c:pt idx="40">
                  <c:v>306000.0</c:v>
                </c:pt>
                <c:pt idx="41">
                  <c:v>399000.0</c:v>
                </c:pt>
                <c:pt idx="42">
                  <c:v>519000.0</c:v>
                </c:pt>
                <c:pt idx="43">
                  <c:v>548000.0</c:v>
                </c:pt>
                <c:pt idx="44">
                  <c:v>429000.0</c:v>
                </c:pt>
                <c:pt idx="45">
                  <c:v>592000.0</c:v>
                </c:pt>
                <c:pt idx="46">
                  <c:v>546000.0</c:v>
                </c:pt>
                <c:pt idx="48">
                  <c:v>370000.0</c:v>
                </c:pt>
                <c:pt idx="49">
                  <c:v>398000.0</c:v>
                </c:pt>
                <c:pt idx="50">
                  <c:v>185000.0</c:v>
                </c:pt>
                <c:pt idx="51">
                  <c:v>180000.0</c:v>
                </c:pt>
                <c:pt idx="52">
                  <c:v>182000.0</c:v>
                </c:pt>
                <c:pt idx="53">
                  <c:v>287000.0</c:v>
                </c:pt>
                <c:pt idx="54">
                  <c:v>361000.0</c:v>
                </c:pt>
                <c:pt idx="55">
                  <c:v>478000.0</c:v>
                </c:pt>
                <c:pt idx="56">
                  <c:v>567000.0</c:v>
                </c:pt>
                <c:pt idx="57">
                  <c:v>383000.0</c:v>
                </c:pt>
                <c:pt idx="58">
                  <c:v>376000.0</c:v>
                </c:pt>
                <c:pt idx="59">
                  <c:v>406000.0</c:v>
                </c:pt>
                <c:pt idx="60">
                  <c:v>381000.0</c:v>
                </c:pt>
                <c:pt idx="62">
                  <c:v>239000.0</c:v>
                </c:pt>
                <c:pt idx="63">
                  <c:v>235000.0</c:v>
                </c:pt>
                <c:pt idx="64">
                  <c:v>176000.0</c:v>
                </c:pt>
                <c:pt idx="65">
                  <c:v>145000.0</c:v>
                </c:pt>
                <c:pt idx="66">
                  <c:v>166000.0</c:v>
                </c:pt>
                <c:pt idx="67">
                  <c:v>225000.0</c:v>
                </c:pt>
                <c:pt idx="68">
                  <c:v>247000.0</c:v>
                </c:pt>
                <c:pt idx="69">
                  <c:v>280000.0</c:v>
                </c:pt>
                <c:pt idx="70">
                  <c:v>422000.0</c:v>
                </c:pt>
                <c:pt idx="71">
                  <c:v>397000.0</c:v>
                </c:pt>
                <c:pt idx="72">
                  <c:v>239000.0</c:v>
                </c:pt>
                <c:pt idx="73">
                  <c:v>222000.0</c:v>
                </c:pt>
                <c:pt idx="74">
                  <c:v>459000.0</c:v>
                </c:pt>
                <c:pt idx="76">
                  <c:v>233000.0</c:v>
                </c:pt>
                <c:pt idx="77">
                  <c:v>187000.0</c:v>
                </c:pt>
                <c:pt idx="78">
                  <c:v>298000.0</c:v>
                </c:pt>
                <c:pt idx="80">
                  <c:v>169000.0</c:v>
                </c:pt>
                <c:pt idx="81">
                  <c:v>41900.0</c:v>
                </c:pt>
                <c:pt idx="82">
                  <c:v>58100.0</c:v>
                </c:pt>
                <c:pt idx="83">
                  <c:v>42300.0</c:v>
                </c:pt>
                <c:pt idx="84">
                  <c:v>101000.0</c:v>
                </c:pt>
                <c:pt idx="85">
                  <c:v>67300.0</c:v>
                </c:pt>
                <c:pt idx="86">
                  <c:v>128000.0</c:v>
                </c:pt>
                <c:pt idx="87">
                  <c:v>77500.0</c:v>
                </c:pt>
                <c:pt idx="88">
                  <c:v>62800.0</c:v>
                </c:pt>
                <c:pt idx="89">
                  <c:v>129000.0</c:v>
                </c:pt>
                <c:pt idx="90">
                  <c:v>125000.0</c:v>
                </c:pt>
                <c:pt idx="92">
                  <c:v>103000.0</c:v>
                </c:pt>
                <c:pt idx="93">
                  <c:v>56100.0</c:v>
                </c:pt>
                <c:pt idx="94">
                  <c:v>34500.0</c:v>
                </c:pt>
                <c:pt idx="95">
                  <c:v>47600.0</c:v>
                </c:pt>
                <c:pt idx="96">
                  <c:v>52200.0</c:v>
                </c:pt>
                <c:pt idx="97">
                  <c:v>80700.0</c:v>
                </c:pt>
                <c:pt idx="98">
                  <c:v>48800.0</c:v>
                </c:pt>
                <c:pt idx="99">
                  <c:v>9210.0</c:v>
                </c:pt>
                <c:pt idx="100">
                  <c:v>14400.0</c:v>
                </c:pt>
                <c:pt idx="101">
                  <c:v>9780.0</c:v>
                </c:pt>
                <c:pt idx="102">
                  <c:v>16700.0</c:v>
                </c:pt>
                <c:pt idx="103">
                  <c:v>18600.0</c:v>
                </c:pt>
                <c:pt idx="104">
                  <c:v>23000.0</c:v>
                </c:pt>
                <c:pt idx="105">
                  <c:v>26100.0</c:v>
                </c:pt>
                <c:pt idx="106">
                  <c:v>23300.0</c:v>
                </c:pt>
                <c:pt idx="107">
                  <c:v>25800.0</c:v>
                </c:pt>
                <c:pt idx="108">
                  <c:v>15800.0</c:v>
                </c:pt>
                <c:pt idx="109">
                  <c:v>21700.0</c:v>
                </c:pt>
                <c:pt idx="110">
                  <c:v>38400.0</c:v>
                </c:pt>
                <c:pt idx="111">
                  <c:v>26500.0</c:v>
                </c:pt>
                <c:pt idx="112">
                  <c:v>36800.0</c:v>
                </c:pt>
                <c:pt idx="113">
                  <c:v>16700.0</c:v>
                </c:pt>
                <c:pt idx="114">
                  <c:v>11200.0</c:v>
                </c:pt>
                <c:pt idx="115">
                  <c:v>7880.0</c:v>
                </c:pt>
                <c:pt idx="116">
                  <c:v>11900.0</c:v>
                </c:pt>
                <c:pt idx="117">
                  <c:v>11700.0</c:v>
                </c:pt>
                <c:pt idx="118">
                  <c:v>6800.0</c:v>
                </c:pt>
                <c:pt idx="119">
                  <c:v>16900.0</c:v>
                </c:pt>
                <c:pt idx="121">
                  <c:v>16300.0</c:v>
                </c:pt>
                <c:pt idx="122">
                  <c:v>14600.0</c:v>
                </c:pt>
                <c:pt idx="123">
                  <c:v>7890.0</c:v>
                </c:pt>
                <c:pt idx="124">
                  <c:v>8870.0</c:v>
                </c:pt>
                <c:pt idx="125">
                  <c:v>7260.0</c:v>
                </c:pt>
                <c:pt idx="126">
                  <c:v>8390.0</c:v>
                </c:pt>
                <c:pt idx="127">
                  <c:v>8480.0</c:v>
                </c:pt>
                <c:pt idx="128">
                  <c:v>6440.0</c:v>
                </c:pt>
                <c:pt idx="129">
                  <c:v>11300.0</c:v>
                </c:pt>
                <c:pt idx="131">
                  <c:v>12600.0</c:v>
                </c:pt>
                <c:pt idx="132">
                  <c:v>13500.0</c:v>
                </c:pt>
                <c:pt idx="133">
                  <c:v>7710.0</c:v>
                </c:pt>
                <c:pt idx="134">
                  <c:v>8110.0</c:v>
                </c:pt>
                <c:pt idx="135">
                  <c:v>6520.0</c:v>
                </c:pt>
                <c:pt idx="136">
                  <c:v>8620.0</c:v>
                </c:pt>
                <c:pt idx="137">
                  <c:v>10600.0</c:v>
                </c:pt>
                <c:pt idx="138">
                  <c:v>4790.0</c:v>
                </c:pt>
                <c:pt idx="139">
                  <c:v>7030.0</c:v>
                </c:pt>
                <c:pt idx="141">
                  <c:v>22100.0</c:v>
                </c:pt>
                <c:pt idx="142">
                  <c:v>16300.0</c:v>
                </c:pt>
                <c:pt idx="143">
                  <c:v>1.00681406356577E6</c:v>
                </c:pt>
                <c:pt idx="144">
                  <c:v>705236.976457375</c:v>
                </c:pt>
                <c:pt idx="145">
                  <c:v>102463.122067506</c:v>
                </c:pt>
                <c:pt idx="146">
                  <c:v>69325.6901909174</c:v>
                </c:pt>
                <c:pt idx="147">
                  <c:v>63786.2492335032</c:v>
                </c:pt>
                <c:pt idx="148">
                  <c:v>57320.8121757452</c:v>
                </c:pt>
                <c:pt idx="149">
                  <c:v>37287.8786834863</c:v>
                </c:pt>
                <c:pt idx="201">
                  <c:v>1.21E6</c:v>
                </c:pt>
                <c:pt idx="202">
                  <c:v>1.2E6</c:v>
                </c:pt>
                <c:pt idx="203">
                  <c:v>570000.0</c:v>
                </c:pt>
                <c:pt idx="204">
                  <c:v>700000.0</c:v>
                </c:pt>
                <c:pt idx="205">
                  <c:v>650000.0</c:v>
                </c:pt>
                <c:pt idx="206">
                  <c:v>780000.0</c:v>
                </c:pt>
                <c:pt idx="207">
                  <c:v>1.38E6</c:v>
                </c:pt>
                <c:pt idx="208">
                  <c:v>1.0095390070922E6</c:v>
                </c:pt>
                <c:pt idx="209">
                  <c:v>576879.4326241135</c:v>
                </c:pt>
                <c:pt idx="210">
                  <c:v>587277.6545947278</c:v>
                </c:pt>
                <c:pt idx="211">
                  <c:v>440017.7304964538</c:v>
                </c:pt>
                <c:pt idx="212">
                  <c:v>322287.2340425531</c:v>
                </c:pt>
                <c:pt idx="213">
                  <c:v>848199.06380882</c:v>
                </c:pt>
                <c:pt idx="214">
                  <c:v>319343.9716312057</c:v>
                </c:pt>
                <c:pt idx="215">
                  <c:v>2.18266075388027E6</c:v>
                </c:pt>
                <c:pt idx="216">
                  <c:v>476808.5106382979</c:v>
                </c:pt>
                <c:pt idx="217">
                  <c:v>286968.085106383</c:v>
                </c:pt>
                <c:pt idx="218">
                  <c:v>913882.9787234042</c:v>
                </c:pt>
                <c:pt idx="219">
                  <c:v>392925.5319148936</c:v>
                </c:pt>
                <c:pt idx="220">
                  <c:v>1.47604609929078E6</c:v>
                </c:pt>
                <c:pt idx="221">
                  <c:v>358113.8101068935</c:v>
                </c:pt>
                <c:pt idx="222">
                  <c:v>727214.8128536916</c:v>
                </c:pt>
                <c:pt idx="223">
                  <c:v>1.10372340425532E6</c:v>
                </c:pt>
                <c:pt idx="224">
                  <c:v>1.21586104951959E6</c:v>
                </c:pt>
                <c:pt idx="225">
                  <c:v>420886.524822695</c:v>
                </c:pt>
                <c:pt idx="226">
                  <c:v>694609.9290780142</c:v>
                </c:pt>
                <c:pt idx="227">
                  <c:v>412056.7375886524</c:v>
                </c:pt>
                <c:pt idx="228">
                  <c:v>341897.0189701897</c:v>
                </c:pt>
                <c:pt idx="229">
                  <c:v>476808.5106382979</c:v>
                </c:pt>
                <c:pt idx="230">
                  <c:v>323493.471298349</c:v>
                </c:pt>
                <c:pt idx="231">
                  <c:v>687251.7730496455</c:v>
                </c:pt>
                <c:pt idx="232">
                  <c:v>25201.68439716312</c:v>
                </c:pt>
                <c:pt idx="233">
                  <c:v>757890.070921986</c:v>
                </c:pt>
                <c:pt idx="234">
                  <c:v>1.19214092140921E6</c:v>
                </c:pt>
                <c:pt idx="235">
                  <c:v>510391.7220990391</c:v>
                </c:pt>
                <c:pt idx="236">
                  <c:v>799095.744680851</c:v>
                </c:pt>
                <c:pt idx="237">
                  <c:v>383611.7270263612</c:v>
                </c:pt>
                <c:pt idx="238">
                  <c:v>341079.083518108</c:v>
                </c:pt>
                <c:pt idx="239">
                  <c:v>328810.051736881</c:v>
                </c:pt>
                <c:pt idx="240">
                  <c:v>1.4245390070922E6</c:v>
                </c:pt>
                <c:pt idx="241">
                  <c:v>1.08459219858156E6</c:v>
                </c:pt>
                <c:pt idx="242">
                  <c:v>726528.1133136976</c:v>
                </c:pt>
                <c:pt idx="243">
                  <c:v>1.10225177304965E6</c:v>
                </c:pt>
                <c:pt idx="244">
                  <c:v>1.97531411677753E6</c:v>
                </c:pt>
                <c:pt idx="245">
                  <c:v>415920.1773835921</c:v>
                </c:pt>
                <c:pt idx="246">
                  <c:v>585641.7836905641</c:v>
                </c:pt>
                <c:pt idx="247">
                  <c:v>890336.8794326241</c:v>
                </c:pt>
                <c:pt idx="248">
                  <c:v>1.12875092387288E6</c:v>
                </c:pt>
                <c:pt idx="249">
                  <c:v>503439.2707563439</c:v>
                </c:pt>
                <c:pt idx="250">
                  <c:v>778061.098792806</c:v>
                </c:pt>
                <c:pt idx="251">
                  <c:v>304981.8686085918</c:v>
                </c:pt>
                <c:pt idx="252">
                  <c:v>889962.6038322798</c:v>
                </c:pt>
                <c:pt idx="253">
                  <c:v>359143.8594168845</c:v>
                </c:pt>
                <c:pt idx="254">
                  <c:v>510656.0283687944</c:v>
                </c:pt>
                <c:pt idx="255">
                  <c:v>1.27590425531915E6</c:v>
                </c:pt>
                <c:pt idx="256">
                  <c:v>694609.9290780142</c:v>
                </c:pt>
                <c:pt idx="257">
                  <c:v>370851.0638297873</c:v>
                </c:pt>
                <c:pt idx="258">
                  <c:v>789716.6789849717</c:v>
                </c:pt>
                <c:pt idx="259">
                  <c:v>969804.9645390073</c:v>
                </c:pt>
                <c:pt idx="260">
                  <c:v>688723.404255319</c:v>
                </c:pt>
                <c:pt idx="261">
                  <c:v>739494.680851064</c:v>
                </c:pt>
                <c:pt idx="262">
                  <c:v>469015.7858159314</c:v>
                </c:pt>
                <c:pt idx="263">
                  <c:v>393017.9847253018</c:v>
                </c:pt>
                <c:pt idx="264">
                  <c:v>1.22439716312057E6</c:v>
                </c:pt>
                <c:pt idx="265">
                  <c:v>316132.0522296132</c:v>
                </c:pt>
                <c:pt idx="266">
                  <c:v>688723.404255319</c:v>
                </c:pt>
                <c:pt idx="267">
                  <c:v>1.48193262411347E6</c:v>
                </c:pt>
                <c:pt idx="268">
                  <c:v>881507.0921985816</c:v>
                </c:pt>
                <c:pt idx="269">
                  <c:v>304627.659574468</c:v>
                </c:pt>
                <c:pt idx="270">
                  <c:v>409113.475177305</c:v>
                </c:pt>
                <c:pt idx="271">
                  <c:v>724778.368794326</c:v>
                </c:pt>
                <c:pt idx="272">
                  <c:v>897695.035460993</c:v>
                </c:pt>
                <c:pt idx="273">
                  <c:v>1.62173758865248E6</c:v>
                </c:pt>
                <c:pt idx="274">
                  <c:v>459679.724069968</c:v>
                </c:pt>
                <c:pt idx="275">
                  <c:v>581294.3262411347</c:v>
                </c:pt>
                <c:pt idx="276">
                  <c:v>999237.588652482</c:v>
                </c:pt>
                <c:pt idx="277">
                  <c:v>407212.8272164675</c:v>
                </c:pt>
                <c:pt idx="278">
                  <c:v>363163.3407243163</c:v>
                </c:pt>
                <c:pt idx="279">
                  <c:v>415735.8156028369</c:v>
                </c:pt>
                <c:pt idx="280">
                  <c:v>224550.7495780521</c:v>
                </c:pt>
                <c:pt idx="281">
                  <c:v>525372.340425532</c:v>
                </c:pt>
                <c:pt idx="282">
                  <c:v>219206.7011579207</c:v>
                </c:pt>
                <c:pt idx="283">
                  <c:v>288439.7163120567</c:v>
                </c:pt>
                <c:pt idx="284">
                  <c:v>544503.5460992907</c:v>
                </c:pt>
                <c:pt idx="285">
                  <c:v>261950.3546099291</c:v>
                </c:pt>
                <c:pt idx="286">
                  <c:v>532730.4964539008</c:v>
                </c:pt>
                <c:pt idx="287">
                  <c:v>192799.0708478513</c:v>
                </c:pt>
                <c:pt idx="288">
                  <c:v>173402.3158413402</c:v>
                </c:pt>
                <c:pt idx="289">
                  <c:v>665177.304964539</c:v>
                </c:pt>
                <c:pt idx="290">
                  <c:v>756418.439716312</c:v>
                </c:pt>
                <c:pt idx="291">
                  <c:v>300212.7659574468</c:v>
                </c:pt>
                <c:pt idx="292">
                  <c:v>197180.8679125752</c:v>
                </c:pt>
                <c:pt idx="293">
                  <c:v>329645.390070922</c:v>
                </c:pt>
                <c:pt idx="294">
                  <c:v>348481.7430298061</c:v>
                </c:pt>
                <c:pt idx="295">
                  <c:v>418679.0780141844</c:v>
                </c:pt>
                <c:pt idx="296">
                  <c:v>630205.5190147011</c:v>
                </c:pt>
                <c:pt idx="297">
                  <c:v>153638.2978723405</c:v>
                </c:pt>
                <c:pt idx="298">
                  <c:v>144808.5106382979</c:v>
                </c:pt>
                <c:pt idx="299">
                  <c:v>479015.9574468085</c:v>
                </c:pt>
                <c:pt idx="300">
                  <c:v>395267.3072185267</c:v>
                </c:pt>
                <c:pt idx="301">
                  <c:v>272168.0216802167</c:v>
                </c:pt>
                <c:pt idx="302">
                  <c:v>279609.929078014</c:v>
                </c:pt>
                <c:pt idx="303">
                  <c:v>357606.3829787234</c:v>
                </c:pt>
                <c:pt idx="304">
                  <c:v>226631.2056737589</c:v>
                </c:pt>
                <c:pt idx="305">
                  <c:v>178067.3758865248</c:v>
                </c:pt>
                <c:pt idx="306">
                  <c:v>362757.0921985816</c:v>
                </c:pt>
                <c:pt idx="307">
                  <c:v>343625.8865248227</c:v>
                </c:pt>
                <c:pt idx="308">
                  <c:v>260227.1950908967</c:v>
                </c:pt>
                <c:pt idx="309">
                  <c:v>186602.8368794326</c:v>
                </c:pt>
                <c:pt idx="310">
                  <c:v>348084.8037662958</c:v>
                </c:pt>
                <c:pt idx="311">
                  <c:v>223705.3461443705</c:v>
                </c:pt>
                <c:pt idx="312">
                  <c:v>297728.5045577728</c:v>
                </c:pt>
                <c:pt idx="313">
                  <c:v>269509.731460951</c:v>
                </c:pt>
                <c:pt idx="314">
                  <c:v>453998.2269503546</c:v>
                </c:pt>
                <c:pt idx="315">
                  <c:v>191312.056737589</c:v>
                </c:pt>
                <c:pt idx="316">
                  <c:v>178067.3758865248</c:v>
                </c:pt>
                <c:pt idx="317">
                  <c:v>334943.2624113475</c:v>
                </c:pt>
                <c:pt idx="318">
                  <c:v>259595.7446808511</c:v>
                </c:pt>
                <c:pt idx="319">
                  <c:v>190568.3377967192</c:v>
                </c:pt>
                <c:pt idx="320">
                  <c:v>926095.3871570801</c:v>
                </c:pt>
                <c:pt idx="321">
                  <c:v>186602.8368794326</c:v>
                </c:pt>
                <c:pt idx="322">
                  <c:v>141865.24822695</c:v>
                </c:pt>
                <c:pt idx="323">
                  <c:v>129503.5460992908</c:v>
                </c:pt>
                <c:pt idx="324">
                  <c:v>332490.761271249</c:v>
                </c:pt>
                <c:pt idx="325">
                  <c:v>180968.2187730968</c:v>
                </c:pt>
                <c:pt idx="326">
                  <c:v>248038.9258438039</c:v>
                </c:pt>
                <c:pt idx="327">
                  <c:v>241303.8132095817</c:v>
                </c:pt>
                <c:pt idx="328">
                  <c:v>243287.1322222632</c:v>
                </c:pt>
                <c:pt idx="329">
                  <c:v>198991.3110111737</c:v>
                </c:pt>
                <c:pt idx="330">
                  <c:v>234940.6647105619</c:v>
                </c:pt>
                <c:pt idx="331">
                  <c:v>152497.7836879433</c:v>
                </c:pt>
                <c:pt idx="332">
                  <c:v>176595.7446808511</c:v>
                </c:pt>
                <c:pt idx="333">
                  <c:v>116228.6277408228</c:v>
                </c:pt>
                <c:pt idx="334">
                  <c:v>130490.7565485762</c:v>
                </c:pt>
                <c:pt idx="335">
                  <c:v>101110.237264962</c:v>
                </c:pt>
                <c:pt idx="336">
                  <c:v>96943.70567375887</c:v>
                </c:pt>
                <c:pt idx="337">
                  <c:v>89100.0</c:v>
                </c:pt>
                <c:pt idx="338">
                  <c:v>188820.399113082</c:v>
                </c:pt>
                <c:pt idx="339">
                  <c:v>134507.0921985816</c:v>
                </c:pt>
                <c:pt idx="340">
                  <c:v>55472.7368832934</c:v>
                </c:pt>
                <c:pt idx="341">
                  <c:v>77812.5</c:v>
                </c:pt>
                <c:pt idx="342">
                  <c:v>71374.11347517729</c:v>
                </c:pt>
                <c:pt idx="343">
                  <c:v>79468.085106383</c:v>
                </c:pt>
                <c:pt idx="344">
                  <c:v>177000.0</c:v>
                </c:pt>
                <c:pt idx="345">
                  <c:v>65964.08851789053</c:v>
                </c:pt>
                <c:pt idx="346">
                  <c:v>80939.71631205674</c:v>
                </c:pt>
                <c:pt idx="347">
                  <c:v>28776.45635960492</c:v>
                </c:pt>
                <c:pt idx="348">
                  <c:v>67695.0354609929</c:v>
                </c:pt>
                <c:pt idx="349">
                  <c:v>42382.97872340426</c:v>
                </c:pt>
                <c:pt idx="350">
                  <c:v>40126.47754137115</c:v>
                </c:pt>
                <c:pt idx="351">
                  <c:v>29834.19561468342</c:v>
                </c:pt>
                <c:pt idx="352">
                  <c:v>101910.4609929078</c:v>
                </c:pt>
                <c:pt idx="353">
                  <c:v>462278.822068326</c:v>
                </c:pt>
                <c:pt idx="354">
                  <c:v>511607.142857142</c:v>
                </c:pt>
                <c:pt idx="355">
                  <c:v>511607.142857142</c:v>
                </c:pt>
                <c:pt idx="356">
                  <c:v>553822.3840697149</c:v>
                </c:pt>
                <c:pt idx="357">
                  <c:v>327422.064116866</c:v>
                </c:pt>
                <c:pt idx="358">
                  <c:v>469469.34136022</c:v>
                </c:pt>
                <c:pt idx="359">
                  <c:v>495676.847622455</c:v>
                </c:pt>
                <c:pt idx="360">
                  <c:v>383085.440040414</c:v>
                </c:pt>
                <c:pt idx="361">
                  <c:v>355744.627107583</c:v>
                </c:pt>
                <c:pt idx="362">
                  <c:v>391789.841497042</c:v>
                </c:pt>
                <c:pt idx="363">
                  <c:v>117857.142857142</c:v>
                </c:pt>
                <c:pt idx="364">
                  <c:v>117857.142857142</c:v>
                </c:pt>
                <c:pt idx="365">
                  <c:v>290117.245879554</c:v>
                </c:pt>
                <c:pt idx="366">
                  <c:v>419053.192161155</c:v>
                </c:pt>
                <c:pt idx="367">
                  <c:v>99107.14285714271</c:v>
                </c:pt>
                <c:pt idx="368">
                  <c:v>99107.14285714271</c:v>
                </c:pt>
                <c:pt idx="369">
                  <c:v>381842.675816195</c:v>
                </c:pt>
                <c:pt idx="370">
                  <c:v>93749.99999999951</c:v>
                </c:pt>
                <c:pt idx="371">
                  <c:v>93749.99999999951</c:v>
                </c:pt>
                <c:pt idx="372">
                  <c:v>369768.665670321</c:v>
                </c:pt>
                <c:pt idx="373">
                  <c:v>101785.714285714</c:v>
                </c:pt>
                <c:pt idx="374">
                  <c:v>101785.714285714</c:v>
                </c:pt>
                <c:pt idx="375">
                  <c:v>77678.5714285714</c:v>
                </c:pt>
                <c:pt idx="376">
                  <c:v>77678.5714285714</c:v>
                </c:pt>
                <c:pt idx="377">
                  <c:v>136607.142857142</c:v>
                </c:pt>
                <c:pt idx="378">
                  <c:v>136607.142857142</c:v>
                </c:pt>
                <c:pt idx="379">
                  <c:v>270535.714285713</c:v>
                </c:pt>
                <c:pt idx="380">
                  <c:v>270535.714285713</c:v>
                </c:pt>
                <c:pt idx="381">
                  <c:v>249107.142857143</c:v>
                </c:pt>
                <c:pt idx="382">
                  <c:v>249107.142857143</c:v>
                </c:pt>
                <c:pt idx="383">
                  <c:v>176785.714285713</c:v>
                </c:pt>
                <c:pt idx="384">
                  <c:v>176785.714285713</c:v>
                </c:pt>
                <c:pt idx="385">
                  <c:v>352183.046708905</c:v>
                </c:pt>
                <c:pt idx="386">
                  <c:v>171428.571428571</c:v>
                </c:pt>
                <c:pt idx="387">
                  <c:v>171428.571428571</c:v>
                </c:pt>
                <c:pt idx="388">
                  <c:v>179464.285714285</c:v>
                </c:pt>
                <c:pt idx="389">
                  <c:v>179464.285714285</c:v>
                </c:pt>
                <c:pt idx="390">
                  <c:v>115178.571428571</c:v>
                </c:pt>
                <c:pt idx="391">
                  <c:v>115178.571428571</c:v>
                </c:pt>
                <c:pt idx="392">
                  <c:v>152678.571428571</c:v>
                </c:pt>
                <c:pt idx="393">
                  <c:v>152678.571428571</c:v>
                </c:pt>
                <c:pt idx="394">
                  <c:v>340095.564864125</c:v>
                </c:pt>
                <c:pt idx="395">
                  <c:v>120535.714285714</c:v>
                </c:pt>
                <c:pt idx="396">
                  <c:v>120535.714285714</c:v>
                </c:pt>
                <c:pt idx="397">
                  <c:v>104464.285714285</c:v>
                </c:pt>
                <c:pt idx="398">
                  <c:v>104464.285714285</c:v>
                </c:pt>
                <c:pt idx="399">
                  <c:v>331256.446418421</c:v>
                </c:pt>
                <c:pt idx="400">
                  <c:v>302773.907003178</c:v>
                </c:pt>
                <c:pt idx="401">
                  <c:v>66964.2857142857</c:v>
                </c:pt>
                <c:pt idx="402">
                  <c:v>66964.2857142857</c:v>
                </c:pt>
                <c:pt idx="403">
                  <c:v>313647.251983917</c:v>
                </c:pt>
                <c:pt idx="404">
                  <c:v>99107.1428571421</c:v>
                </c:pt>
                <c:pt idx="405">
                  <c:v>99107.1428571421</c:v>
                </c:pt>
                <c:pt idx="406">
                  <c:v>398796.80889132</c:v>
                </c:pt>
                <c:pt idx="407">
                  <c:v>556104.153072178</c:v>
                </c:pt>
                <c:pt idx="408">
                  <c:v>166666.6666666667</c:v>
                </c:pt>
                <c:pt idx="409">
                  <c:v>196666.6666666667</c:v>
                </c:pt>
                <c:pt idx="410">
                  <c:v>153333.3333333333</c:v>
                </c:pt>
                <c:pt idx="411">
                  <c:v>113333.3333333333</c:v>
                </c:pt>
                <c:pt idx="412">
                  <c:v>402912.621359223</c:v>
                </c:pt>
                <c:pt idx="413">
                  <c:v>450000.0</c:v>
                </c:pt>
                <c:pt idx="414">
                  <c:v>450000.0</c:v>
                </c:pt>
                <c:pt idx="415">
                  <c:v>650000.0</c:v>
                </c:pt>
                <c:pt idx="416">
                  <c:v>650000.0</c:v>
                </c:pt>
                <c:pt idx="417">
                  <c:v>280000.0</c:v>
                </c:pt>
                <c:pt idx="418">
                  <c:v>280000.0</c:v>
                </c:pt>
                <c:pt idx="419">
                  <c:v>420000.0</c:v>
                </c:pt>
                <c:pt idx="420">
                  <c:v>420000.0</c:v>
                </c:pt>
                <c:pt idx="421">
                  <c:v>630000.0</c:v>
                </c:pt>
                <c:pt idx="422">
                  <c:v>630000.0</c:v>
                </c:pt>
                <c:pt idx="423">
                  <c:v>170000.0</c:v>
                </c:pt>
                <c:pt idx="424">
                  <c:v>170000.0</c:v>
                </c:pt>
                <c:pt idx="425">
                  <c:v>250000.0</c:v>
                </c:pt>
                <c:pt idx="426">
                  <c:v>250000.0</c:v>
                </c:pt>
                <c:pt idx="427">
                  <c:v>51</c:v>
                </c:pt>
                <c:pt idx="428">
                  <c:v>51</c:v>
                </c:pt>
                <c:pt idx="429">
                  <c:v>240000.0</c:v>
                </c:pt>
                <c:pt idx="430">
                  <c:v>240000.0</c:v>
                </c:pt>
                <c:pt idx="431">
                  <c:v>600000.0</c:v>
                </c:pt>
                <c:pt idx="432">
                  <c:v>600000.0</c:v>
                </c:pt>
                <c:pt idx="433">
                  <c:v>320000.0</c:v>
                </c:pt>
                <c:pt idx="434">
                  <c:v>320000.0</c:v>
                </c:pt>
                <c:pt idx="435">
                  <c:v>260000.0</c:v>
                </c:pt>
                <c:pt idx="436">
                  <c:v>260000.0</c:v>
                </c:pt>
                <c:pt idx="437">
                  <c:v>620000.0</c:v>
                </c:pt>
                <c:pt idx="438">
                  <c:v>620000.0</c:v>
                </c:pt>
                <c:pt idx="439">
                  <c:v>320000.0</c:v>
                </c:pt>
                <c:pt idx="440">
                  <c:v>320000.0</c:v>
                </c:pt>
                <c:pt idx="441">
                  <c:v>250000.0</c:v>
                </c:pt>
                <c:pt idx="442">
                  <c:v>250000.0</c:v>
                </c:pt>
                <c:pt idx="443">
                  <c:v>600000.0</c:v>
                </c:pt>
                <c:pt idx="444">
                  <c:v>600000.0</c:v>
                </c:pt>
                <c:pt idx="445">
                  <c:v>210000.0</c:v>
                </c:pt>
                <c:pt idx="446">
                  <c:v>210000.0</c:v>
                </c:pt>
                <c:pt idx="447">
                  <c:v>23</c:v>
                </c:pt>
                <c:pt idx="448">
                  <c:v>23</c:v>
                </c:pt>
                <c:pt idx="449">
                  <c:v>990000.0</c:v>
                </c:pt>
                <c:pt idx="450">
                  <c:v>990000.0</c:v>
                </c:pt>
                <c:pt idx="451">
                  <c:v>560000.0</c:v>
                </c:pt>
                <c:pt idx="452">
                  <c:v>560000.0</c:v>
                </c:pt>
                <c:pt idx="458">
                  <c:v>369800.0</c:v>
                </c:pt>
                <c:pt idx="459">
                  <c:v>534200.0</c:v>
                </c:pt>
                <c:pt idx="460">
                  <c:v>278500.0</c:v>
                </c:pt>
                <c:pt idx="461">
                  <c:v>305200.0</c:v>
                </c:pt>
                <c:pt idx="462">
                  <c:v>412500.0</c:v>
                </c:pt>
                <c:pt idx="463">
                  <c:v>227700.0</c:v>
                </c:pt>
                <c:pt idx="464">
                  <c:v>492700.0</c:v>
                </c:pt>
                <c:pt idx="465">
                  <c:v>288700.0</c:v>
                </c:pt>
                <c:pt idx="466">
                  <c:v>351200.0</c:v>
                </c:pt>
                <c:pt idx="467">
                  <c:v>218600.0</c:v>
                </c:pt>
                <c:pt idx="468">
                  <c:v>337300.0</c:v>
                </c:pt>
                <c:pt idx="469">
                  <c:v>254500.0</c:v>
                </c:pt>
                <c:pt idx="470">
                  <c:v>439900.0</c:v>
                </c:pt>
                <c:pt idx="471">
                  <c:v>102200.0</c:v>
                </c:pt>
                <c:pt idx="472">
                  <c:v>96900.0</c:v>
                </c:pt>
                <c:pt idx="473">
                  <c:v>50300.0</c:v>
                </c:pt>
                <c:pt idx="474">
                  <c:v>52100.0</c:v>
                </c:pt>
                <c:pt idx="475">
                  <c:v>68200.0</c:v>
                </c:pt>
                <c:pt idx="476">
                  <c:v>327900.0</c:v>
                </c:pt>
                <c:pt idx="477">
                  <c:v>77400.0</c:v>
                </c:pt>
                <c:pt idx="478">
                  <c:v>48800.0</c:v>
                </c:pt>
                <c:pt idx="479">
                  <c:v>80500.0</c:v>
                </c:pt>
                <c:pt idx="480">
                  <c:v>50500.0</c:v>
                </c:pt>
                <c:pt idx="481">
                  <c:v>72100.0</c:v>
                </c:pt>
                <c:pt idx="482">
                  <c:v>91400.0</c:v>
                </c:pt>
                <c:pt idx="483">
                  <c:v>98000.0</c:v>
                </c:pt>
                <c:pt idx="484">
                  <c:v>20800.0</c:v>
                </c:pt>
                <c:pt idx="485">
                  <c:v>33500.0</c:v>
                </c:pt>
                <c:pt idx="486">
                  <c:v>10800.0</c:v>
                </c:pt>
                <c:pt idx="487">
                  <c:v>19600.0</c:v>
                </c:pt>
                <c:pt idx="488">
                  <c:v>20300.0</c:v>
                </c:pt>
                <c:pt idx="489">
                  <c:v>269000.0</c:v>
                </c:pt>
                <c:pt idx="490">
                  <c:v>16700.0</c:v>
                </c:pt>
                <c:pt idx="491">
                  <c:v>31200.0</c:v>
                </c:pt>
                <c:pt idx="492">
                  <c:v>12500.0</c:v>
                </c:pt>
                <c:pt idx="493">
                  <c:v>25100.0</c:v>
                </c:pt>
                <c:pt idx="494">
                  <c:v>34600.0</c:v>
                </c:pt>
                <c:pt idx="495">
                  <c:v>16400.0</c:v>
                </c:pt>
                <c:pt idx="496">
                  <c:v>25100.0</c:v>
                </c:pt>
                <c:pt idx="515">
                  <c:v>250000.0</c:v>
                </c:pt>
                <c:pt idx="535">
                  <c:v>85000.0</c:v>
                </c:pt>
                <c:pt idx="554">
                  <c:v>37000.0</c:v>
                </c:pt>
                <c:pt idx="559">
                  <c:v>22000.0</c:v>
                </c:pt>
                <c:pt idx="570">
                  <c:v>25000.0</c:v>
                </c:pt>
                <c:pt idx="600">
                  <c:v>123000.0</c:v>
                </c:pt>
                <c:pt idx="601">
                  <c:v>656000.0</c:v>
                </c:pt>
                <c:pt idx="602">
                  <c:v>385000.0</c:v>
                </c:pt>
                <c:pt idx="603">
                  <c:v>494000.0000000001</c:v>
                </c:pt>
                <c:pt idx="604">
                  <c:v>542000.0</c:v>
                </c:pt>
                <c:pt idx="605">
                  <c:v>521000.0</c:v>
                </c:pt>
                <c:pt idx="606">
                  <c:v>457000.0</c:v>
                </c:pt>
                <c:pt idx="607">
                  <c:v>327000.0</c:v>
                </c:pt>
                <c:pt idx="608">
                  <c:v>424000.0</c:v>
                </c:pt>
                <c:pt idx="609">
                  <c:v>309000.0</c:v>
                </c:pt>
                <c:pt idx="610">
                  <c:v>285000.0</c:v>
                </c:pt>
                <c:pt idx="611">
                  <c:v>227000.0</c:v>
                </c:pt>
                <c:pt idx="612">
                  <c:v>271000.0</c:v>
                </c:pt>
                <c:pt idx="613">
                  <c:v>553000.0</c:v>
                </c:pt>
                <c:pt idx="614">
                  <c:v>432000.0</c:v>
                </c:pt>
                <c:pt idx="615">
                  <c:v>354000.0</c:v>
                </c:pt>
                <c:pt idx="616">
                  <c:v>511000.0000000001</c:v>
                </c:pt>
                <c:pt idx="617">
                  <c:v>215000.0</c:v>
                </c:pt>
                <c:pt idx="618">
                  <c:v>139000.0</c:v>
                </c:pt>
                <c:pt idx="619">
                  <c:v>194000.0</c:v>
                </c:pt>
                <c:pt idx="620">
                  <c:v>155000.0</c:v>
                </c:pt>
                <c:pt idx="621">
                  <c:v>194000.0</c:v>
                </c:pt>
                <c:pt idx="622">
                  <c:v>219000.0</c:v>
                </c:pt>
                <c:pt idx="623">
                  <c:v>168000.0</c:v>
                </c:pt>
                <c:pt idx="624">
                  <c:v>227000.0</c:v>
                </c:pt>
                <c:pt idx="625">
                  <c:v>232</c:v>
                </c:pt>
                <c:pt idx="626">
                  <c:v>249000.0</c:v>
                </c:pt>
                <c:pt idx="627">
                  <c:v>137000.0</c:v>
                </c:pt>
                <c:pt idx="628">
                  <c:v>190000.0</c:v>
                </c:pt>
                <c:pt idx="629">
                  <c:v>1.3E6</c:v>
                </c:pt>
                <c:pt idx="630">
                  <c:v>2.1E6</c:v>
                </c:pt>
                <c:pt idx="631">
                  <c:v>1.7E6</c:v>
                </c:pt>
                <c:pt idx="632">
                  <c:v>740000.0</c:v>
                </c:pt>
                <c:pt idx="633">
                  <c:v>1.0E6</c:v>
                </c:pt>
                <c:pt idx="634">
                  <c:v>780000.0</c:v>
                </c:pt>
                <c:pt idx="635">
                  <c:v>820000.0</c:v>
                </c:pt>
                <c:pt idx="636">
                  <c:v>800000.0</c:v>
                </c:pt>
                <c:pt idx="637">
                  <c:v>600000.0</c:v>
                </c:pt>
                <c:pt idx="638">
                  <c:v>660000.0</c:v>
                </c:pt>
                <c:pt idx="639">
                  <c:v>750000.0</c:v>
                </c:pt>
                <c:pt idx="640">
                  <c:v>2.0E6</c:v>
                </c:pt>
                <c:pt idx="641">
                  <c:v>1.0E6</c:v>
                </c:pt>
                <c:pt idx="642">
                  <c:v>1.2E6</c:v>
                </c:pt>
                <c:pt idx="643">
                  <c:v>840000.0</c:v>
                </c:pt>
                <c:pt idx="644">
                  <c:v>1.4E6</c:v>
                </c:pt>
                <c:pt idx="645">
                  <c:v>1.3E6</c:v>
                </c:pt>
                <c:pt idx="646">
                  <c:v>1.1E6</c:v>
                </c:pt>
                <c:pt idx="647">
                  <c:v>900000.0</c:v>
                </c:pt>
                <c:pt idx="648">
                  <c:v>610000.0</c:v>
                </c:pt>
                <c:pt idx="649">
                  <c:v>810000.0</c:v>
                </c:pt>
                <c:pt idx="650">
                  <c:v>1.0E6</c:v>
                </c:pt>
                <c:pt idx="651">
                  <c:v>930000.0</c:v>
                </c:pt>
                <c:pt idx="652">
                  <c:v>1.1E6</c:v>
                </c:pt>
                <c:pt idx="653">
                  <c:v>760000.0</c:v>
                </c:pt>
                <c:pt idx="654">
                  <c:v>990000.0</c:v>
                </c:pt>
                <c:pt idx="655">
                  <c:v>1.1E6</c:v>
                </c:pt>
                <c:pt idx="656">
                  <c:v>1.6E6</c:v>
                </c:pt>
                <c:pt idx="657">
                  <c:v>1.2E6</c:v>
                </c:pt>
                <c:pt idx="658">
                  <c:v>980000.0</c:v>
                </c:pt>
                <c:pt idx="659">
                  <c:v>1.2E6</c:v>
                </c:pt>
                <c:pt idx="660">
                  <c:v>830000.0</c:v>
                </c:pt>
                <c:pt idx="661">
                  <c:v>1.0E6</c:v>
                </c:pt>
                <c:pt idx="662">
                  <c:v>670000.0</c:v>
                </c:pt>
                <c:pt idx="663">
                  <c:v>840000.0</c:v>
                </c:pt>
                <c:pt idx="664">
                  <c:v>1.3E6</c:v>
                </c:pt>
                <c:pt idx="665">
                  <c:v>820000.0</c:v>
                </c:pt>
                <c:pt idx="666">
                  <c:v>750000.0</c:v>
                </c:pt>
                <c:pt idx="667">
                  <c:v>810000.0</c:v>
                </c:pt>
                <c:pt idx="668">
                  <c:v>620000.0</c:v>
                </c:pt>
                <c:pt idx="669">
                  <c:v>790000.0</c:v>
                </c:pt>
                <c:pt idx="670">
                  <c:v>880000.0</c:v>
                </c:pt>
                <c:pt idx="671">
                  <c:v>720000.0</c:v>
                </c:pt>
                <c:pt idx="672">
                  <c:v>760000.0</c:v>
                </c:pt>
                <c:pt idx="673">
                  <c:v>560000.0</c:v>
                </c:pt>
                <c:pt idx="674">
                  <c:v>850000.0</c:v>
                </c:pt>
                <c:pt idx="675">
                  <c:v>1.0E6</c:v>
                </c:pt>
                <c:pt idx="676">
                  <c:v>580000.0</c:v>
                </c:pt>
                <c:pt idx="677">
                  <c:v>660000.0</c:v>
                </c:pt>
                <c:pt idx="678">
                  <c:v>850000.0</c:v>
                </c:pt>
                <c:pt idx="679">
                  <c:v>650000.0</c:v>
                </c:pt>
                <c:pt idx="680">
                  <c:v>890000.0</c:v>
                </c:pt>
                <c:pt idx="681">
                  <c:v>690000.0</c:v>
                </c:pt>
                <c:pt idx="682">
                  <c:v>540000.0</c:v>
                </c:pt>
                <c:pt idx="683">
                  <c:v>700000.0</c:v>
                </c:pt>
                <c:pt idx="684">
                  <c:v>770000.0</c:v>
                </c:pt>
                <c:pt idx="685">
                  <c:v>520000.0</c:v>
                </c:pt>
                <c:pt idx="686">
                  <c:v>580000.0</c:v>
                </c:pt>
                <c:pt idx="687">
                  <c:v>660000.0</c:v>
                </c:pt>
                <c:pt idx="688">
                  <c:v>670000.0</c:v>
                </c:pt>
                <c:pt idx="689">
                  <c:v>970000.0</c:v>
                </c:pt>
                <c:pt idx="690">
                  <c:v>1.9E6</c:v>
                </c:pt>
                <c:pt idx="691">
                  <c:v>680000.0</c:v>
                </c:pt>
                <c:pt idx="692">
                  <c:v>1.5E6</c:v>
                </c:pt>
                <c:pt idx="693">
                  <c:v>1.1E6</c:v>
                </c:pt>
                <c:pt idx="694">
                  <c:v>1.5E6</c:v>
                </c:pt>
                <c:pt idx="695">
                  <c:v>990000.0</c:v>
                </c:pt>
                <c:pt idx="696">
                  <c:v>1.8E6</c:v>
                </c:pt>
                <c:pt idx="697">
                  <c:v>1.1E6</c:v>
                </c:pt>
                <c:pt idx="698">
                  <c:v>1.3E6</c:v>
                </c:pt>
                <c:pt idx="699">
                  <c:v>900000.0</c:v>
                </c:pt>
                <c:pt idx="700">
                  <c:v>860000.0</c:v>
                </c:pt>
                <c:pt idx="701">
                  <c:v>1.5E6</c:v>
                </c:pt>
                <c:pt idx="702">
                  <c:v>1.3E6</c:v>
                </c:pt>
                <c:pt idx="703">
                  <c:v>1.2E6</c:v>
                </c:pt>
                <c:pt idx="704">
                  <c:v>1.1E6</c:v>
                </c:pt>
                <c:pt idx="705">
                  <c:v>1.1E6</c:v>
                </c:pt>
                <c:pt idx="706">
                  <c:v>1.1E6</c:v>
                </c:pt>
                <c:pt idx="707">
                  <c:v>1.2E6</c:v>
                </c:pt>
                <c:pt idx="708">
                  <c:v>1.2E6</c:v>
                </c:pt>
                <c:pt idx="709">
                  <c:v>1.4E6</c:v>
                </c:pt>
                <c:pt idx="710">
                  <c:v>540000.0</c:v>
                </c:pt>
                <c:pt idx="711">
                  <c:v>840000.0</c:v>
                </c:pt>
                <c:pt idx="712">
                  <c:v>980000.0</c:v>
                </c:pt>
                <c:pt idx="713">
                  <c:v>1.3E6</c:v>
                </c:pt>
                <c:pt idx="714">
                  <c:v>1.4E6</c:v>
                </c:pt>
                <c:pt idx="715">
                  <c:v>1.3E6</c:v>
                </c:pt>
                <c:pt idx="716">
                  <c:v>990000.0</c:v>
                </c:pt>
                <c:pt idx="717">
                  <c:v>1.2E6</c:v>
                </c:pt>
                <c:pt idx="718">
                  <c:v>1.1E6</c:v>
                </c:pt>
                <c:pt idx="719">
                  <c:v>1.6E6</c:v>
                </c:pt>
                <c:pt idx="720">
                  <c:v>930000.0</c:v>
                </c:pt>
                <c:pt idx="721">
                  <c:v>890000.0</c:v>
                </c:pt>
                <c:pt idx="722">
                  <c:v>1.5E6</c:v>
                </c:pt>
                <c:pt idx="723">
                  <c:v>810000.0</c:v>
                </c:pt>
                <c:pt idx="724">
                  <c:v>730000.0</c:v>
                </c:pt>
                <c:pt idx="725">
                  <c:v>700000.0</c:v>
                </c:pt>
                <c:pt idx="726">
                  <c:v>1.2E6</c:v>
                </c:pt>
                <c:pt idx="727">
                  <c:v>1.3E6</c:v>
                </c:pt>
                <c:pt idx="728">
                  <c:v>1.5E6</c:v>
                </c:pt>
                <c:pt idx="729">
                  <c:v>1.2E6</c:v>
                </c:pt>
                <c:pt idx="730">
                  <c:v>910000.0</c:v>
                </c:pt>
                <c:pt idx="731">
                  <c:v>960000.0</c:v>
                </c:pt>
                <c:pt idx="732">
                  <c:v>1.2E6</c:v>
                </c:pt>
                <c:pt idx="733">
                  <c:v>1.7E6</c:v>
                </c:pt>
                <c:pt idx="734">
                  <c:v>910000.0</c:v>
                </c:pt>
                <c:pt idx="735">
                  <c:v>1.2E6</c:v>
                </c:pt>
                <c:pt idx="736">
                  <c:v>1.2E6</c:v>
                </c:pt>
                <c:pt idx="737">
                  <c:v>1.1E6</c:v>
                </c:pt>
                <c:pt idx="738">
                  <c:v>1.7E6</c:v>
                </c:pt>
                <c:pt idx="739">
                  <c:v>680000.0</c:v>
                </c:pt>
                <c:pt idx="740">
                  <c:v>740000.0</c:v>
                </c:pt>
                <c:pt idx="741">
                  <c:v>1.7E6</c:v>
                </c:pt>
                <c:pt idx="742">
                  <c:v>860000.0</c:v>
                </c:pt>
                <c:pt idx="743">
                  <c:v>1.3E6</c:v>
                </c:pt>
                <c:pt idx="744">
                  <c:v>690000.0</c:v>
                </c:pt>
                <c:pt idx="745">
                  <c:v>550000.0</c:v>
                </c:pt>
                <c:pt idx="746">
                  <c:v>1.1E6</c:v>
                </c:pt>
                <c:pt idx="747">
                  <c:v>1.1E6</c:v>
                </c:pt>
                <c:pt idx="748">
                  <c:v>1.3E6</c:v>
                </c:pt>
                <c:pt idx="749">
                  <c:v>920000.0</c:v>
                </c:pt>
                <c:pt idx="750">
                  <c:v>910000.0</c:v>
                </c:pt>
                <c:pt idx="751">
                  <c:v>1.2E6</c:v>
                </c:pt>
                <c:pt idx="752">
                  <c:v>1.1E6</c:v>
                </c:pt>
                <c:pt idx="753">
                  <c:v>1.1E6</c:v>
                </c:pt>
                <c:pt idx="754">
                  <c:v>1.0E6</c:v>
                </c:pt>
                <c:pt idx="755">
                  <c:v>830000.0</c:v>
                </c:pt>
                <c:pt idx="756">
                  <c:v>470000.0</c:v>
                </c:pt>
                <c:pt idx="757">
                  <c:v>780000.0</c:v>
                </c:pt>
                <c:pt idx="758">
                  <c:v>580000.0</c:v>
                </c:pt>
                <c:pt idx="759">
                  <c:v>520000.0</c:v>
                </c:pt>
                <c:pt idx="760">
                  <c:v>540000.0</c:v>
                </c:pt>
                <c:pt idx="761">
                  <c:v>620000.0</c:v>
                </c:pt>
                <c:pt idx="762">
                  <c:v>1.1E6</c:v>
                </c:pt>
                <c:pt idx="763">
                  <c:v>980000.0</c:v>
                </c:pt>
                <c:pt idx="764">
                  <c:v>530000.0</c:v>
                </c:pt>
                <c:pt idx="765">
                  <c:v>1.7E6</c:v>
                </c:pt>
                <c:pt idx="766">
                  <c:v>540000.0</c:v>
                </c:pt>
                <c:pt idx="767">
                  <c:v>760000.0</c:v>
                </c:pt>
                <c:pt idx="768">
                  <c:v>670000.0</c:v>
                </c:pt>
                <c:pt idx="769">
                  <c:v>680000.0</c:v>
                </c:pt>
                <c:pt idx="770">
                  <c:v>510000.0</c:v>
                </c:pt>
                <c:pt idx="771">
                  <c:v>360000.0</c:v>
                </c:pt>
                <c:pt idx="772">
                  <c:v>730000.0</c:v>
                </c:pt>
                <c:pt idx="773">
                  <c:v>940000.0</c:v>
                </c:pt>
                <c:pt idx="774">
                  <c:v>450000.0</c:v>
                </c:pt>
                <c:pt idx="775">
                  <c:v>550000.0</c:v>
                </c:pt>
                <c:pt idx="776">
                  <c:v>490000.0</c:v>
                </c:pt>
                <c:pt idx="777">
                  <c:v>450000.0</c:v>
                </c:pt>
                <c:pt idx="778">
                  <c:v>630000.0</c:v>
                </c:pt>
                <c:pt idx="779">
                  <c:v>670000.0</c:v>
                </c:pt>
                <c:pt idx="780">
                  <c:v>990000.0</c:v>
                </c:pt>
                <c:pt idx="781">
                  <c:v>740000.0</c:v>
                </c:pt>
                <c:pt idx="782">
                  <c:v>430000.0</c:v>
                </c:pt>
                <c:pt idx="783">
                  <c:v>800000.0</c:v>
                </c:pt>
                <c:pt idx="784">
                  <c:v>620000.0</c:v>
                </c:pt>
                <c:pt idx="785">
                  <c:v>1.5E6</c:v>
                </c:pt>
                <c:pt idx="786">
                  <c:v>780000.0</c:v>
                </c:pt>
                <c:pt idx="787">
                  <c:v>390000.0</c:v>
                </c:pt>
                <c:pt idx="788">
                  <c:v>720000.0</c:v>
                </c:pt>
                <c:pt idx="789">
                  <c:v>660000.0</c:v>
                </c:pt>
                <c:pt idx="790">
                  <c:v>670000.0</c:v>
                </c:pt>
                <c:pt idx="791">
                  <c:v>680000.0</c:v>
                </c:pt>
                <c:pt idx="792">
                  <c:v>600000.0</c:v>
                </c:pt>
                <c:pt idx="793">
                  <c:v>770000.0</c:v>
                </c:pt>
                <c:pt idx="794">
                  <c:v>610000.0</c:v>
                </c:pt>
                <c:pt idx="795">
                  <c:v>790000.0</c:v>
                </c:pt>
                <c:pt idx="796">
                  <c:v>750000.0</c:v>
                </c:pt>
                <c:pt idx="797">
                  <c:v>650000.0</c:v>
                </c:pt>
                <c:pt idx="798">
                  <c:v>550000.0</c:v>
                </c:pt>
                <c:pt idx="799">
                  <c:v>570000.0</c:v>
                </c:pt>
                <c:pt idx="800">
                  <c:v>460000.0</c:v>
                </c:pt>
                <c:pt idx="801">
                  <c:v>830000.0</c:v>
                </c:pt>
                <c:pt idx="802">
                  <c:v>420000.0</c:v>
                </c:pt>
                <c:pt idx="803">
                  <c:v>700000.0</c:v>
                </c:pt>
                <c:pt idx="804">
                  <c:v>580000.0</c:v>
                </c:pt>
                <c:pt idx="805">
                  <c:v>700000.0</c:v>
                </c:pt>
                <c:pt idx="806">
                  <c:v>550000.0</c:v>
                </c:pt>
                <c:pt idx="807">
                  <c:v>540000.0</c:v>
                </c:pt>
                <c:pt idx="808">
                  <c:v>630000.0</c:v>
                </c:pt>
                <c:pt idx="809">
                  <c:v>480000.0</c:v>
                </c:pt>
                <c:pt idx="810">
                  <c:v>440000.0</c:v>
                </c:pt>
                <c:pt idx="811">
                  <c:v>660000.0</c:v>
                </c:pt>
                <c:pt idx="812">
                  <c:v>780000.0</c:v>
                </c:pt>
                <c:pt idx="813">
                  <c:v>690000.0</c:v>
                </c:pt>
                <c:pt idx="814">
                  <c:v>440000.0</c:v>
                </c:pt>
                <c:pt idx="815">
                  <c:v>310000.0</c:v>
                </c:pt>
                <c:pt idx="816">
                  <c:v>600000.0</c:v>
                </c:pt>
                <c:pt idx="817">
                  <c:v>680000.0</c:v>
                </c:pt>
                <c:pt idx="818">
                  <c:v>310000.0</c:v>
                </c:pt>
                <c:pt idx="819">
                  <c:v>400000.0</c:v>
                </c:pt>
                <c:pt idx="820">
                  <c:v>630000.0</c:v>
                </c:pt>
                <c:pt idx="821">
                  <c:v>410000.0</c:v>
                </c:pt>
                <c:pt idx="822">
                  <c:v>570000.0</c:v>
                </c:pt>
                <c:pt idx="823">
                  <c:v>660000.0</c:v>
                </c:pt>
                <c:pt idx="824">
                  <c:v>340000.0</c:v>
                </c:pt>
                <c:pt idx="825">
                  <c:v>410000.0</c:v>
                </c:pt>
                <c:pt idx="826">
                  <c:v>680000.0</c:v>
                </c:pt>
                <c:pt idx="827">
                  <c:v>410000.0</c:v>
                </c:pt>
                <c:pt idx="828">
                  <c:v>620000.0</c:v>
                </c:pt>
                <c:pt idx="829">
                  <c:v>370000.0</c:v>
                </c:pt>
                <c:pt idx="830">
                  <c:v>550000.0</c:v>
                </c:pt>
                <c:pt idx="831">
                  <c:v>550000.0</c:v>
                </c:pt>
                <c:pt idx="832">
                  <c:v>580000.0</c:v>
                </c:pt>
                <c:pt idx="833">
                  <c:v>330000.0</c:v>
                </c:pt>
                <c:pt idx="834">
                  <c:v>440000.0</c:v>
                </c:pt>
                <c:pt idx="835">
                  <c:v>450000.0</c:v>
                </c:pt>
                <c:pt idx="836">
                  <c:v>450000.0</c:v>
                </c:pt>
                <c:pt idx="837">
                  <c:v>330000.0</c:v>
                </c:pt>
                <c:pt idx="838">
                  <c:v>540000.0</c:v>
                </c:pt>
                <c:pt idx="839">
                  <c:v>460000.0</c:v>
                </c:pt>
                <c:pt idx="840">
                  <c:v>490000.0</c:v>
                </c:pt>
                <c:pt idx="841">
                  <c:v>470000.0</c:v>
                </c:pt>
                <c:pt idx="842">
                  <c:v>480000.0</c:v>
                </c:pt>
                <c:pt idx="843">
                  <c:v>540000.0</c:v>
                </c:pt>
                <c:pt idx="844">
                  <c:v>330000.0</c:v>
                </c:pt>
                <c:pt idx="845">
                  <c:v>530000.0</c:v>
                </c:pt>
                <c:pt idx="846">
                  <c:v>470000.0</c:v>
                </c:pt>
                <c:pt idx="847">
                  <c:v>460000.0</c:v>
                </c:pt>
                <c:pt idx="848">
                  <c:v>390000.0</c:v>
                </c:pt>
                <c:pt idx="849">
                  <c:v>350000.0</c:v>
                </c:pt>
                <c:pt idx="850">
                  <c:v>430000.0</c:v>
                </c:pt>
                <c:pt idx="851">
                  <c:v>410000.0</c:v>
                </c:pt>
                <c:pt idx="852">
                  <c:v>490000.0</c:v>
                </c:pt>
                <c:pt idx="853">
                  <c:v>340000.0</c:v>
                </c:pt>
                <c:pt idx="854">
                  <c:v>480000.0</c:v>
                </c:pt>
                <c:pt idx="855">
                  <c:v>300000.0</c:v>
                </c:pt>
                <c:pt idx="856">
                  <c:v>460000.0</c:v>
                </c:pt>
                <c:pt idx="857">
                  <c:v>510000.0</c:v>
                </c:pt>
                <c:pt idx="858">
                  <c:v>380000.0</c:v>
                </c:pt>
                <c:pt idx="859">
                  <c:v>430000.0</c:v>
                </c:pt>
                <c:pt idx="860">
                  <c:v>350000.0</c:v>
                </c:pt>
                <c:pt idx="861">
                  <c:v>410000.0</c:v>
                </c:pt>
                <c:pt idx="862">
                  <c:v>370000.0</c:v>
                </c:pt>
                <c:pt idx="863">
                  <c:v>430000.0</c:v>
                </c:pt>
                <c:pt idx="864">
                  <c:v>350000.0</c:v>
                </c:pt>
                <c:pt idx="865">
                  <c:v>330000.0</c:v>
                </c:pt>
                <c:pt idx="866">
                  <c:v>400000.0</c:v>
                </c:pt>
                <c:pt idx="867">
                  <c:v>350000.0</c:v>
                </c:pt>
                <c:pt idx="868">
                  <c:v>400000.0</c:v>
                </c:pt>
                <c:pt idx="869">
                  <c:v>360000.0</c:v>
                </c:pt>
                <c:pt idx="870">
                  <c:v>310000.0</c:v>
                </c:pt>
                <c:pt idx="871">
                  <c:v>310000.0</c:v>
                </c:pt>
                <c:pt idx="872">
                  <c:v>440000.0</c:v>
                </c:pt>
                <c:pt idx="873">
                  <c:v>300000.0</c:v>
                </c:pt>
                <c:pt idx="874">
                  <c:v>430000.0</c:v>
                </c:pt>
                <c:pt idx="875">
                  <c:v>300000.0</c:v>
                </c:pt>
                <c:pt idx="876">
                  <c:v>340000.0</c:v>
                </c:pt>
                <c:pt idx="877">
                  <c:v>930000.0</c:v>
                </c:pt>
                <c:pt idx="878">
                  <c:v>230000.0</c:v>
                </c:pt>
                <c:pt idx="879">
                  <c:v>250000.0</c:v>
                </c:pt>
                <c:pt idx="880">
                  <c:v>360000.0</c:v>
                </c:pt>
                <c:pt idx="881">
                  <c:v>270000.0</c:v>
                </c:pt>
                <c:pt idx="882">
                  <c:v>200000.0</c:v>
                </c:pt>
                <c:pt idx="883">
                  <c:v>490000.0</c:v>
                </c:pt>
                <c:pt idx="884">
                  <c:v>210000.0</c:v>
                </c:pt>
                <c:pt idx="885">
                  <c:v>190000.0</c:v>
                </c:pt>
                <c:pt idx="886">
                  <c:v>210000.0</c:v>
                </c:pt>
                <c:pt idx="887">
                  <c:v>330000.0</c:v>
                </c:pt>
                <c:pt idx="888">
                  <c:v>270000.0</c:v>
                </c:pt>
                <c:pt idx="889">
                  <c:v>240000.0</c:v>
                </c:pt>
                <c:pt idx="890">
                  <c:v>230000.0</c:v>
                </c:pt>
                <c:pt idx="891">
                  <c:v>200000.0</c:v>
                </c:pt>
                <c:pt idx="892">
                  <c:v>310000.0</c:v>
                </c:pt>
                <c:pt idx="893">
                  <c:v>280000.0</c:v>
                </c:pt>
                <c:pt idx="894">
                  <c:v>360000.0</c:v>
                </c:pt>
                <c:pt idx="895">
                  <c:v>330000.0</c:v>
                </c:pt>
                <c:pt idx="896">
                  <c:v>230000.0</c:v>
                </c:pt>
                <c:pt idx="897">
                  <c:v>220000.0</c:v>
                </c:pt>
                <c:pt idx="898">
                  <c:v>220000.0</c:v>
                </c:pt>
                <c:pt idx="899">
                  <c:v>250000.0</c:v>
                </c:pt>
                <c:pt idx="900">
                  <c:v>280000.0</c:v>
                </c:pt>
                <c:pt idx="901">
                  <c:v>170000.0</c:v>
                </c:pt>
                <c:pt idx="902">
                  <c:v>230000.0</c:v>
                </c:pt>
                <c:pt idx="903">
                  <c:v>260000.0</c:v>
                </c:pt>
                <c:pt idx="904">
                  <c:v>200000.0</c:v>
                </c:pt>
                <c:pt idx="905">
                  <c:v>220000.0</c:v>
                </c:pt>
                <c:pt idx="906">
                  <c:v>170000.0</c:v>
                </c:pt>
                <c:pt idx="907">
                  <c:v>300000.0</c:v>
                </c:pt>
                <c:pt idx="908">
                  <c:v>210000.0</c:v>
                </c:pt>
                <c:pt idx="909">
                  <c:v>170000.0</c:v>
                </c:pt>
                <c:pt idx="910">
                  <c:v>210000.0</c:v>
                </c:pt>
                <c:pt idx="911">
                  <c:v>210000.0</c:v>
                </c:pt>
                <c:pt idx="912">
                  <c:v>270000.0</c:v>
                </c:pt>
                <c:pt idx="913">
                  <c:v>270000.0</c:v>
                </c:pt>
                <c:pt idx="914">
                  <c:v>250000.0</c:v>
                </c:pt>
                <c:pt idx="915">
                  <c:v>190000.0</c:v>
                </c:pt>
                <c:pt idx="916">
                  <c:v>160000.0</c:v>
                </c:pt>
                <c:pt idx="917">
                  <c:v>200000.0</c:v>
                </c:pt>
                <c:pt idx="918">
                  <c:v>180000.0</c:v>
                </c:pt>
                <c:pt idx="919">
                  <c:v>180000.0</c:v>
                </c:pt>
                <c:pt idx="920">
                  <c:v>190000.0</c:v>
                </c:pt>
                <c:pt idx="921">
                  <c:v>280000.0</c:v>
                </c:pt>
                <c:pt idx="922">
                  <c:v>280000.0</c:v>
                </c:pt>
                <c:pt idx="923">
                  <c:v>380000.0</c:v>
                </c:pt>
                <c:pt idx="924">
                  <c:v>270000.0</c:v>
                </c:pt>
                <c:pt idx="925">
                  <c:v>270000.0</c:v>
                </c:pt>
                <c:pt idx="926">
                  <c:v>300000.0</c:v>
                </c:pt>
                <c:pt idx="927">
                  <c:v>330000.0</c:v>
                </c:pt>
                <c:pt idx="928">
                  <c:v>350000.0</c:v>
                </c:pt>
                <c:pt idx="929">
                  <c:v>320000.0</c:v>
                </c:pt>
                <c:pt idx="930">
                  <c:v>290000.0</c:v>
                </c:pt>
                <c:pt idx="931">
                  <c:v>190000.0</c:v>
                </c:pt>
                <c:pt idx="932">
                  <c:v>230000.0</c:v>
                </c:pt>
                <c:pt idx="933">
                  <c:v>1.5E6</c:v>
                </c:pt>
                <c:pt idx="934">
                  <c:v>1.1E6</c:v>
                </c:pt>
                <c:pt idx="935">
                  <c:v>500000.0</c:v>
                </c:pt>
                <c:pt idx="936">
                  <c:v>170000.0</c:v>
                </c:pt>
                <c:pt idx="937">
                  <c:v>190000.0</c:v>
                </c:pt>
                <c:pt idx="938">
                  <c:v>230000.0</c:v>
                </c:pt>
                <c:pt idx="939">
                  <c:v>250000.0</c:v>
                </c:pt>
                <c:pt idx="940">
                  <c:v>190000.0</c:v>
                </c:pt>
                <c:pt idx="941">
                  <c:v>210000.0</c:v>
                </c:pt>
                <c:pt idx="942">
                  <c:v>140000.0</c:v>
                </c:pt>
                <c:pt idx="943">
                  <c:v>200000.0</c:v>
                </c:pt>
                <c:pt idx="944">
                  <c:v>160000.0</c:v>
                </c:pt>
                <c:pt idx="945">
                  <c:v>150000.0</c:v>
                </c:pt>
                <c:pt idx="946">
                  <c:v>170000.0</c:v>
                </c:pt>
                <c:pt idx="947">
                  <c:v>150000.0</c:v>
                </c:pt>
                <c:pt idx="948">
                  <c:v>140000.0</c:v>
                </c:pt>
                <c:pt idx="949">
                  <c:v>270000.0</c:v>
                </c:pt>
                <c:pt idx="950">
                  <c:v>170000.0</c:v>
                </c:pt>
                <c:pt idx="951">
                  <c:v>160000.0</c:v>
                </c:pt>
                <c:pt idx="952">
                  <c:v>140000.0</c:v>
                </c:pt>
                <c:pt idx="953">
                  <c:v>140000.0</c:v>
                </c:pt>
                <c:pt idx="954">
                  <c:v>130000.0</c:v>
                </c:pt>
                <c:pt idx="955">
                  <c:v>130000.0</c:v>
                </c:pt>
                <c:pt idx="956">
                  <c:v>140000.0</c:v>
                </c:pt>
                <c:pt idx="957">
                  <c:v>170000.0</c:v>
                </c:pt>
                <c:pt idx="958">
                  <c:v>190000.0</c:v>
                </c:pt>
                <c:pt idx="959">
                  <c:v>280000.0</c:v>
                </c:pt>
                <c:pt idx="960">
                  <c:v>180000.0</c:v>
                </c:pt>
                <c:pt idx="961">
                  <c:v>240000.0</c:v>
                </c:pt>
                <c:pt idx="962">
                  <c:v>180000.0</c:v>
                </c:pt>
                <c:pt idx="963">
                  <c:v>200000.0</c:v>
                </c:pt>
                <c:pt idx="964">
                  <c:v>210000.0</c:v>
                </c:pt>
                <c:pt idx="965">
                  <c:v>220000.0</c:v>
                </c:pt>
                <c:pt idx="966">
                  <c:v>220000.0</c:v>
                </c:pt>
                <c:pt idx="967">
                  <c:v>170000.0</c:v>
                </c:pt>
                <c:pt idx="968">
                  <c:v>150000.0</c:v>
                </c:pt>
                <c:pt idx="969">
                  <c:v>170000.0</c:v>
                </c:pt>
                <c:pt idx="970">
                  <c:v>140000.0</c:v>
                </c:pt>
                <c:pt idx="971">
                  <c:v>150000.0</c:v>
                </c:pt>
                <c:pt idx="972">
                  <c:v>140000.0</c:v>
                </c:pt>
                <c:pt idx="973">
                  <c:v>150000.0</c:v>
                </c:pt>
                <c:pt idx="974">
                  <c:v>140000.0</c:v>
                </c:pt>
                <c:pt idx="975">
                  <c:v>280000.0</c:v>
                </c:pt>
                <c:pt idx="976">
                  <c:v>240000.0</c:v>
                </c:pt>
                <c:pt idx="977">
                  <c:v>380000.0</c:v>
                </c:pt>
                <c:pt idx="978">
                  <c:v>240000.0</c:v>
                </c:pt>
                <c:pt idx="979">
                  <c:v>270000.0</c:v>
                </c:pt>
                <c:pt idx="980">
                  <c:v>200000.0</c:v>
                </c:pt>
                <c:pt idx="981">
                  <c:v>270000.0</c:v>
                </c:pt>
                <c:pt idx="982">
                  <c:v>290000.0</c:v>
                </c:pt>
                <c:pt idx="983">
                  <c:v>280000.0</c:v>
                </c:pt>
                <c:pt idx="984">
                  <c:v>270000.0</c:v>
                </c:pt>
                <c:pt idx="985">
                  <c:v>300000.0</c:v>
                </c:pt>
                <c:pt idx="986">
                  <c:v>320000.0</c:v>
                </c:pt>
                <c:pt idx="987">
                  <c:v>280000.0</c:v>
                </c:pt>
                <c:pt idx="988">
                  <c:v>270000.0</c:v>
                </c:pt>
                <c:pt idx="989">
                  <c:v>170000.0</c:v>
                </c:pt>
                <c:pt idx="990">
                  <c:v>250000.0</c:v>
                </c:pt>
                <c:pt idx="991">
                  <c:v>160000.0</c:v>
                </c:pt>
                <c:pt idx="992">
                  <c:v>88000.0</c:v>
                </c:pt>
                <c:pt idx="993">
                  <c:v>430000.0</c:v>
                </c:pt>
                <c:pt idx="994">
                  <c:v>100000.0</c:v>
                </c:pt>
                <c:pt idx="995">
                  <c:v>150000.0</c:v>
                </c:pt>
                <c:pt idx="996">
                  <c:v>160000.0</c:v>
                </c:pt>
                <c:pt idx="997">
                  <c:v>100000.0</c:v>
                </c:pt>
                <c:pt idx="998">
                  <c:v>180000.0</c:v>
                </c:pt>
                <c:pt idx="999">
                  <c:v>95000.0</c:v>
                </c:pt>
                <c:pt idx="1000">
                  <c:v>90000.0</c:v>
                </c:pt>
                <c:pt idx="1001">
                  <c:v>120000.0</c:v>
                </c:pt>
                <c:pt idx="1002">
                  <c:v>90000.0</c:v>
                </c:pt>
                <c:pt idx="1003">
                  <c:v>78000.0</c:v>
                </c:pt>
                <c:pt idx="1004">
                  <c:v>59000.0</c:v>
                </c:pt>
                <c:pt idx="1005">
                  <c:v>91000.0</c:v>
                </c:pt>
                <c:pt idx="1006">
                  <c:v>33000.0</c:v>
                </c:pt>
                <c:pt idx="1007">
                  <c:v>59000.0</c:v>
                </c:pt>
                <c:pt idx="1008">
                  <c:v>75000.0</c:v>
                </c:pt>
                <c:pt idx="1009">
                  <c:v>54000.0</c:v>
                </c:pt>
                <c:pt idx="1010">
                  <c:v>61000.0</c:v>
                </c:pt>
                <c:pt idx="1011">
                  <c:v>96000.0</c:v>
                </c:pt>
                <c:pt idx="1012">
                  <c:v>90000.0</c:v>
                </c:pt>
                <c:pt idx="1013">
                  <c:v>38000.0</c:v>
                </c:pt>
                <c:pt idx="1014">
                  <c:v>23000.0</c:v>
                </c:pt>
                <c:pt idx="1015">
                  <c:v>22000.0</c:v>
                </c:pt>
                <c:pt idx="1016">
                  <c:v>23000.0</c:v>
                </c:pt>
                <c:pt idx="1017">
                  <c:v>19000.0</c:v>
                </c:pt>
                <c:pt idx="1018">
                  <c:v>8.150658285547E6</c:v>
                </c:pt>
                <c:pt idx="1019">
                  <c:v>1.06070439532195E7</c:v>
                </c:pt>
                <c:pt idx="1020">
                  <c:v>3.51588174519285E6</c:v>
                </c:pt>
                <c:pt idx="1021">
                  <c:v>2.48775052722416E6</c:v>
                </c:pt>
                <c:pt idx="1022">
                  <c:v>2.39969123982359E6</c:v>
                </c:pt>
                <c:pt idx="1023">
                  <c:v>1.0261603612528E6</c:v>
                </c:pt>
                <c:pt idx="1024">
                  <c:v>3.40219961839012E6</c:v>
                </c:pt>
                <c:pt idx="1025">
                  <c:v>1.29165300734794E7</c:v>
                </c:pt>
                <c:pt idx="1026">
                  <c:v>401019.600216699</c:v>
                </c:pt>
                <c:pt idx="1027">
                  <c:v>520621.206017586</c:v>
                </c:pt>
                <c:pt idx="1028">
                  <c:v>304004.778507827</c:v>
                </c:pt>
                <c:pt idx="1029">
                  <c:v>416071.899873591</c:v>
                </c:pt>
                <c:pt idx="1030">
                  <c:v>450402.144772117</c:v>
                </c:pt>
                <c:pt idx="1031">
                  <c:v>354145.772270763</c:v>
                </c:pt>
                <c:pt idx="1032">
                  <c:v>338718.41531345</c:v>
                </c:pt>
                <c:pt idx="1033">
                  <c:v>335742.960730111</c:v>
                </c:pt>
                <c:pt idx="1034">
                  <c:v>289310.866938004</c:v>
                </c:pt>
                <c:pt idx="1035">
                  <c:v>280134.464987706</c:v>
                </c:pt>
                <c:pt idx="1036">
                  <c:v>299070.691355623</c:v>
                </c:pt>
                <c:pt idx="1037">
                  <c:v>311789.30114323</c:v>
                </c:pt>
                <c:pt idx="1038">
                  <c:v>340318.659795246</c:v>
                </c:pt>
                <c:pt idx="1039">
                  <c:v>188403.78391143</c:v>
                </c:pt>
                <c:pt idx="1040">
                  <c:v>263548.597702426</c:v>
                </c:pt>
                <c:pt idx="1041">
                  <c:v>332342.441206295</c:v>
                </c:pt>
                <c:pt idx="1042">
                  <c:v>220725.388601036</c:v>
                </c:pt>
                <c:pt idx="1043">
                  <c:v>227493.089221964</c:v>
                </c:pt>
                <c:pt idx="1044">
                  <c:v>224751.003625553</c:v>
                </c:pt>
                <c:pt idx="1045">
                  <c:v>1.2E6</c:v>
                </c:pt>
                <c:pt idx="1046">
                  <c:v>1.4E6</c:v>
                </c:pt>
                <c:pt idx="1047">
                  <c:v>500000.0</c:v>
                </c:pt>
                <c:pt idx="1048">
                  <c:v>500000.0</c:v>
                </c:pt>
                <c:pt idx="1049">
                  <c:v>600000.0</c:v>
                </c:pt>
                <c:pt idx="1050">
                  <c:v>1.2E6</c:v>
                </c:pt>
                <c:pt idx="1051">
                  <c:v>800000.0</c:v>
                </c:pt>
                <c:pt idx="1052">
                  <c:v>1.9E6</c:v>
                </c:pt>
                <c:pt idx="1053">
                  <c:v>400000.0</c:v>
                </c:pt>
                <c:pt idx="1054">
                  <c:v>600000.0</c:v>
                </c:pt>
                <c:pt idx="1055">
                  <c:v>300000.0</c:v>
                </c:pt>
                <c:pt idx="1056">
                  <c:v>700000.0</c:v>
                </c:pt>
                <c:pt idx="1057">
                  <c:v>200000.0</c:v>
                </c:pt>
                <c:pt idx="1058">
                  <c:v>800000.0</c:v>
                </c:pt>
                <c:pt idx="1059">
                  <c:v>700000.0</c:v>
                </c:pt>
                <c:pt idx="1060">
                  <c:v>1.4E6</c:v>
                </c:pt>
              </c:numCache>
            </c:numRef>
          </c:xVal>
          <c:yVal>
            <c:numRef>
              <c:f>Compilation!$L$2:$L$19666</c:f>
              <c:numCache>
                <c:formatCode>0.00E+00</c:formatCode>
                <c:ptCount val="19665"/>
                <c:pt idx="0">
                  <c:v>1.13E6</c:v>
                </c:pt>
                <c:pt idx="1">
                  <c:v>1.11E6</c:v>
                </c:pt>
                <c:pt idx="2">
                  <c:v>988000.0</c:v>
                </c:pt>
                <c:pt idx="3">
                  <c:v>1.07E6</c:v>
                </c:pt>
                <c:pt idx="4">
                  <c:v>1.28E6</c:v>
                </c:pt>
                <c:pt idx="5">
                  <c:v>1.32E6</c:v>
                </c:pt>
                <c:pt idx="6">
                  <c:v>1.12E6</c:v>
                </c:pt>
                <c:pt idx="7">
                  <c:v>747000.0</c:v>
                </c:pt>
                <c:pt idx="8">
                  <c:v>732000.0</c:v>
                </c:pt>
                <c:pt idx="9">
                  <c:v>505000.0</c:v>
                </c:pt>
                <c:pt idx="10">
                  <c:v>364000.0</c:v>
                </c:pt>
                <c:pt idx="11">
                  <c:v>300000.0</c:v>
                </c:pt>
                <c:pt idx="12">
                  <c:v>316000.0</c:v>
                </c:pt>
                <c:pt idx="13">
                  <c:v>390000.0</c:v>
                </c:pt>
                <c:pt idx="14">
                  <c:v>313000.0</c:v>
                </c:pt>
                <c:pt idx="15">
                  <c:v>220000.0</c:v>
                </c:pt>
                <c:pt idx="16">
                  <c:v>240000.0</c:v>
                </c:pt>
                <c:pt idx="17">
                  <c:v>221000.0</c:v>
                </c:pt>
                <c:pt idx="18">
                  <c:v>142000.0</c:v>
                </c:pt>
                <c:pt idx="19">
                  <c:v>88000.0</c:v>
                </c:pt>
                <c:pt idx="20">
                  <c:v>39000.0</c:v>
                </c:pt>
                <c:pt idx="21">
                  <c:v>237000.0</c:v>
                </c:pt>
                <c:pt idx="22">
                  <c:v>101000.0</c:v>
                </c:pt>
                <c:pt idx="23">
                  <c:v>110000.0</c:v>
                </c:pt>
                <c:pt idx="24">
                  <c:v>136000.0</c:v>
                </c:pt>
                <c:pt idx="25">
                  <c:v>184000.0</c:v>
                </c:pt>
                <c:pt idx="26">
                  <c:v>174000.0</c:v>
                </c:pt>
                <c:pt idx="27">
                  <c:v>230000.0</c:v>
                </c:pt>
                <c:pt idx="28">
                  <c:v>457000.0</c:v>
                </c:pt>
                <c:pt idx="29">
                  <c:v>337000.0</c:v>
                </c:pt>
                <c:pt idx="30">
                  <c:v>375000.0</c:v>
                </c:pt>
                <c:pt idx="31">
                  <c:v>577000.0</c:v>
                </c:pt>
                <c:pt idx="32">
                  <c:v>494000.0</c:v>
                </c:pt>
                <c:pt idx="34">
                  <c:v>473000.0</c:v>
                </c:pt>
                <c:pt idx="35">
                  <c:v>332000.0</c:v>
                </c:pt>
                <c:pt idx="36">
                  <c:v>184000.0</c:v>
                </c:pt>
                <c:pt idx="37">
                  <c:v>139000.0</c:v>
                </c:pt>
                <c:pt idx="38">
                  <c:v>256000.0</c:v>
                </c:pt>
                <c:pt idx="39">
                  <c:v>263000.0</c:v>
                </c:pt>
                <c:pt idx="40">
                  <c:v>239000.0</c:v>
                </c:pt>
                <c:pt idx="41">
                  <c:v>321000.0</c:v>
                </c:pt>
                <c:pt idx="42">
                  <c:v>460000.0</c:v>
                </c:pt>
                <c:pt idx="43">
                  <c:v>375000.0</c:v>
                </c:pt>
                <c:pt idx="44">
                  <c:v>383000.0</c:v>
                </c:pt>
                <c:pt idx="45">
                  <c:v>483000.0</c:v>
                </c:pt>
                <c:pt idx="46">
                  <c:v>469000.0</c:v>
                </c:pt>
                <c:pt idx="48">
                  <c:v>366000.0</c:v>
                </c:pt>
                <c:pt idx="49">
                  <c:v>322000.0</c:v>
                </c:pt>
                <c:pt idx="50">
                  <c:v>140000.0</c:v>
                </c:pt>
                <c:pt idx="51">
                  <c:v>129000.0</c:v>
                </c:pt>
                <c:pt idx="52">
                  <c:v>147000.0</c:v>
                </c:pt>
                <c:pt idx="53">
                  <c:v>238000.0</c:v>
                </c:pt>
                <c:pt idx="54">
                  <c:v>420000.0</c:v>
                </c:pt>
                <c:pt idx="55">
                  <c:v>425000.0</c:v>
                </c:pt>
                <c:pt idx="56">
                  <c:v>500000.0</c:v>
                </c:pt>
                <c:pt idx="57">
                  <c:v>319000.0</c:v>
                </c:pt>
                <c:pt idx="58">
                  <c:v>330000.0</c:v>
                </c:pt>
                <c:pt idx="59">
                  <c:v>319000.0</c:v>
                </c:pt>
                <c:pt idx="60">
                  <c:v>353000.0</c:v>
                </c:pt>
                <c:pt idx="62">
                  <c:v>251000.0</c:v>
                </c:pt>
                <c:pt idx="63">
                  <c:v>180000.0</c:v>
                </c:pt>
                <c:pt idx="64">
                  <c:v>130000.0</c:v>
                </c:pt>
                <c:pt idx="65">
                  <c:v>107000.0</c:v>
                </c:pt>
                <c:pt idx="66">
                  <c:v>127000.0</c:v>
                </c:pt>
                <c:pt idx="67">
                  <c:v>166000.0</c:v>
                </c:pt>
                <c:pt idx="68">
                  <c:v>250000.0</c:v>
                </c:pt>
                <c:pt idx="69">
                  <c:v>226000.0</c:v>
                </c:pt>
                <c:pt idx="70">
                  <c:v>362000.0</c:v>
                </c:pt>
                <c:pt idx="71">
                  <c:v>317000.0</c:v>
                </c:pt>
                <c:pt idx="72">
                  <c:v>155000.0</c:v>
                </c:pt>
                <c:pt idx="73">
                  <c:v>187000.0</c:v>
                </c:pt>
                <c:pt idx="74">
                  <c:v>438000.0</c:v>
                </c:pt>
                <c:pt idx="76">
                  <c:v>247000.0</c:v>
                </c:pt>
                <c:pt idx="77">
                  <c:v>177000.0</c:v>
                </c:pt>
                <c:pt idx="78">
                  <c:v>277000.0</c:v>
                </c:pt>
                <c:pt idx="80">
                  <c:v>144000.0</c:v>
                </c:pt>
                <c:pt idx="81">
                  <c:v>40600.0</c:v>
                </c:pt>
                <c:pt idx="82">
                  <c:v>49100.0</c:v>
                </c:pt>
                <c:pt idx="83">
                  <c:v>38900.0</c:v>
                </c:pt>
                <c:pt idx="84">
                  <c:v>94300.0</c:v>
                </c:pt>
                <c:pt idx="85">
                  <c:v>57500.0</c:v>
                </c:pt>
                <c:pt idx="86">
                  <c:v>85900.0</c:v>
                </c:pt>
                <c:pt idx="87">
                  <c:v>83000.0</c:v>
                </c:pt>
                <c:pt idx="88">
                  <c:v>43000.0</c:v>
                </c:pt>
                <c:pt idx="89">
                  <c:v>90900.0</c:v>
                </c:pt>
                <c:pt idx="90">
                  <c:v>107000.0</c:v>
                </c:pt>
                <c:pt idx="92">
                  <c:v>97000.0</c:v>
                </c:pt>
                <c:pt idx="93">
                  <c:v>55700.0</c:v>
                </c:pt>
                <c:pt idx="94">
                  <c:v>25400.0</c:v>
                </c:pt>
                <c:pt idx="95">
                  <c:v>42800.0</c:v>
                </c:pt>
                <c:pt idx="96">
                  <c:v>43300.0</c:v>
                </c:pt>
                <c:pt idx="97">
                  <c:v>75800.0</c:v>
                </c:pt>
                <c:pt idx="98">
                  <c:v>45600.0</c:v>
                </c:pt>
                <c:pt idx="99">
                  <c:v>7330.0</c:v>
                </c:pt>
                <c:pt idx="100">
                  <c:v>8090.0</c:v>
                </c:pt>
                <c:pt idx="101">
                  <c:v>8390.0</c:v>
                </c:pt>
                <c:pt idx="102">
                  <c:v>13400.0</c:v>
                </c:pt>
                <c:pt idx="103">
                  <c:v>13700.0</c:v>
                </c:pt>
                <c:pt idx="104">
                  <c:v>17100.0</c:v>
                </c:pt>
                <c:pt idx="105">
                  <c:v>24100.0</c:v>
                </c:pt>
                <c:pt idx="106">
                  <c:v>15300.0</c:v>
                </c:pt>
                <c:pt idx="107">
                  <c:v>16000.0</c:v>
                </c:pt>
                <c:pt idx="108">
                  <c:v>13900.0</c:v>
                </c:pt>
                <c:pt idx="109">
                  <c:v>16300.0</c:v>
                </c:pt>
                <c:pt idx="110">
                  <c:v>29500.0</c:v>
                </c:pt>
                <c:pt idx="111">
                  <c:v>18700.0</c:v>
                </c:pt>
                <c:pt idx="112">
                  <c:v>31200.0</c:v>
                </c:pt>
                <c:pt idx="113">
                  <c:v>6110.0</c:v>
                </c:pt>
                <c:pt idx="114">
                  <c:v>8450.0</c:v>
                </c:pt>
                <c:pt idx="115">
                  <c:v>5460.0</c:v>
                </c:pt>
                <c:pt idx="116">
                  <c:v>6200.0</c:v>
                </c:pt>
                <c:pt idx="117">
                  <c:v>7010.0</c:v>
                </c:pt>
                <c:pt idx="118">
                  <c:v>5850.0</c:v>
                </c:pt>
                <c:pt idx="119">
                  <c:v>10600.0</c:v>
                </c:pt>
                <c:pt idx="121">
                  <c:v>12300.0</c:v>
                </c:pt>
                <c:pt idx="122">
                  <c:v>12500.0</c:v>
                </c:pt>
                <c:pt idx="123">
                  <c:v>3020.0</c:v>
                </c:pt>
                <c:pt idx="124">
                  <c:v>5110.0</c:v>
                </c:pt>
                <c:pt idx="125">
                  <c:v>5780.0</c:v>
                </c:pt>
                <c:pt idx="126">
                  <c:v>1580.0</c:v>
                </c:pt>
                <c:pt idx="127">
                  <c:v>6290.0</c:v>
                </c:pt>
                <c:pt idx="128">
                  <c:v>5220.0</c:v>
                </c:pt>
                <c:pt idx="129">
                  <c:v>8940.0</c:v>
                </c:pt>
                <c:pt idx="131">
                  <c:v>10200.0</c:v>
                </c:pt>
                <c:pt idx="132">
                  <c:v>11900.0</c:v>
                </c:pt>
                <c:pt idx="133">
                  <c:v>5190.0</c:v>
                </c:pt>
                <c:pt idx="134">
                  <c:v>6300.0</c:v>
                </c:pt>
                <c:pt idx="135">
                  <c:v>7270.0</c:v>
                </c:pt>
                <c:pt idx="136">
                  <c:v>4600.0</c:v>
                </c:pt>
                <c:pt idx="137">
                  <c:v>7580.0</c:v>
                </c:pt>
                <c:pt idx="138">
                  <c:v>3430.0</c:v>
                </c:pt>
                <c:pt idx="139">
                  <c:v>6570.0</c:v>
                </c:pt>
                <c:pt idx="141">
                  <c:v>23600.0</c:v>
                </c:pt>
                <c:pt idx="142">
                  <c:v>14600.0</c:v>
                </c:pt>
                <c:pt idx="143">
                  <c:v>840376.2864489814</c:v>
                </c:pt>
                <c:pt idx="144">
                  <c:v>547593.4320802858</c:v>
                </c:pt>
                <c:pt idx="145">
                  <c:v>81027.98171276535</c:v>
                </c:pt>
                <c:pt idx="146">
                  <c:v>53938.22106045398</c:v>
                </c:pt>
                <c:pt idx="147">
                  <c:v>46639.18002618378</c:v>
                </c:pt>
                <c:pt idx="148">
                  <c:v>42993.3675917097</c:v>
                </c:pt>
                <c:pt idx="149">
                  <c:v>27572.39731559758</c:v>
                </c:pt>
                <c:pt idx="201">
                  <c:v>1.06843E6</c:v>
                </c:pt>
                <c:pt idx="202">
                  <c:v>518400.0</c:v>
                </c:pt>
                <c:pt idx="203">
                  <c:v>418380.0</c:v>
                </c:pt>
                <c:pt idx="204">
                  <c:v>584500.0</c:v>
                </c:pt>
                <c:pt idx="205">
                  <c:v>535600.0</c:v>
                </c:pt>
                <c:pt idx="206">
                  <c:v>368940.0</c:v>
                </c:pt>
                <c:pt idx="207">
                  <c:v>677580.0</c:v>
                </c:pt>
                <c:pt idx="208">
                  <c:v>849266.2536718166</c:v>
                </c:pt>
                <c:pt idx="209">
                  <c:v>481777.1094880922</c:v>
                </c:pt>
                <c:pt idx="210">
                  <c:v>454721.9699093668</c:v>
                </c:pt>
                <c:pt idx="211">
                  <c:v>337928.4210054177</c:v>
                </c:pt>
                <c:pt idx="212">
                  <c:v>295301.8565087511</c:v>
                </c:pt>
                <c:pt idx="213">
                  <c:v>331075.6761376275</c:v>
                </c:pt>
                <c:pt idx="214">
                  <c:v>296202.1901558682</c:v>
                </c:pt>
                <c:pt idx="215">
                  <c:v>2.14312990499535E6</c:v>
                </c:pt>
                <c:pt idx="216">
                  <c:v>359393.7146268913</c:v>
                </c:pt>
                <c:pt idx="217">
                  <c:v>279397.5471244134</c:v>
                </c:pt>
                <c:pt idx="218">
                  <c:v>737623.3291972364</c:v>
                </c:pt>
                <c:pt idx="219">
                  <c:v>348744.330168522</c:v>
                </c:pt>
                <c:pt idx="220">
                  <c:v>1.14051013337875E6</c:v>
                </c:pt>
                <c:pt idx="221">
                  <c:v>322084.9113098132</c:v>
                </c:pt>
                <c:pt idx="222">
                  <c:v>678959.084826101</c:v>
                </c:pt>
                <c:pt idx="223">
                  <c:v>956708.1438648034</c:v>
                </c:pt>
                <c:pt idx="224">
                  <c:v>1.07358666489777E6</c:v>
                </c:pt>
                <c:pt idx="225">
                  <c:v>400468.9693599037</c:v>
                </c:pt>
                <c:pt idx="226">
                  <c:v>606441.9224144786</c:v>
                </c:pt>
                <c:pt idx="227">
                  <c:v>356205.2364802436</c:v>
                </c:pt>
                <c:pt idx="228">
                  <c:v>344961.7042140094</c:v>
                </c:pt>
                <c:pt idx="229">
                  <c:v>433866.0909505399</c:v>
                </c:pt>
                <c:pt idx="230">
                  <c:v>379120.8604328476</c:v>
                </c:pt>
                <c:pt idx="231">
                  <c:v>642480.2188628482</c:v>
                </c:pt>
                <c:pt idx="232">
                  <c:v>26298.52309601527</c:v>
                </c:pt>
                <c:pt idx="233">
                  <c:v>842999.4342998154</c:v>
                </c:pt>
                <c:pt idx="234">
                  <c:v>1.05769094555825E6</c:v>
                </c:pt>
                <c:pt idx="235">
                  <c:v>485911.0087109294</c:v>
                </c:pt>
                <c:pt idx="236">
                  <c:v>789931.2409158061</c:v>
                </c:pt>
                <c:pt idx="237">
                  <c:v>466985.4957555613</c:v>
                </c:pt>
                <c:pt idx="238">
                  <c:v>287636.2228978367</c:v>
                </c:pt>
                <c:pt idx="239">
                  <c:v>284147.3517094412</c:v>
                </c:pt>
                <c:pt idx="240">
                  <c:v>1.62168084959874E6</c:v>
                </c:pt>
                <c:pt idx="241">
                  <c:v>780067.9955623768</c:v>
                </c:pt>
                <c:pt idx="242">
                  <c:v>754272.5960292197</c:v>
                </c:pt>
                <c:pt idx="243">
                  <c:v>1.04423918708992E6</c:v>
                </c:pt>
                <c:pt idx="244">
                  <c:v>2.0773030729781E6</c:v>
                </c:pt>
                <c:pt idx="245">
                  <c:v>358340.7488971415</c:v>
                </c:pt>
                <c:pt idx="246">
                  <c:v>581384.3744140583</c:v>
                </c:pt>
                <c:pt idx="247">
                  <c:v>1.09281513260196E6</c:v>
                </c:pt>
                <c:pt idx="248">
                  <c:v>1.00699314826386E6</c:v>
                </c:pt>
                <c:pt idx="249">
                  <c:v>597295.252184886</c:v>
                </c:pt>
                <c:pt idx="250">
                  <c:v>730252.4095874794</c:v>
                </c:pt>
                <c:pt idx="251">
                  <c:v>231370.9056031516</c:v>
                </c:pt>
                <c:pt idx="252">
                  <c:v>849545.368268873</c:v>
                </c:pt>
                <c:pt idx="253">
                  <c:v>372634.1757452485</c:v>
                </c:pt>
                <c:pt idx="254">
                  <c:v>244862.7882986709</c:v>
                </c:pt>
                <c:pt idx="255">
                  <c:v>700437.6769890418</c:v>
                </c:pt>
                <c:pt idx="256">
                  <c:v>826139.9062997301</c:v>
                </c:pt>
                <c:pt idx="257">
                  <c:v>335786.5521757299</c:v>
                </c:pt>
                <c:pt idx="258">
                  <c:v>533232.7992325652</c:v>
                </c:pt>
                <c:pt idx="259">
                  <c:v>953598.6342066047</c:v>
                </c:pt>
                <c:pt idx="260">
                  <c:v>624676.5219004477</c:v>
                </c:pt>
                <c:pt idx="261">
                  <c:v>658339.2878035431</c:v>
                </c:pt>
                <c:pt idx="262">
                  <c:v>563800.6952843948</c:v>
                </c:pt>
                <c:pt idx="263">
                  <c:v>327329.0287737442</c:v>
                </c:pt>
                <c:pt idx="264">
                  <c:v>1.22647238766333E6</c:v>
                </c:pt>
                <c:pt idx="265">
                  <c:v>300282.6169052265</c:v>
                </c:pt>
                <c:pt idx="266">
                  <c:v>582845.6912245741</c:v>
                </c:pt>
                <c:pt idx="267">
                  <c:v>1.0986185086917E6</c:v>
                </c:pt>
                <c:pt idx="268">
                  <c:v>784361.8868344906</c:v>
                </c:pt>
                <c:pt idx="269">
                  <c:v>271459.0666147371</c:v>
                </c:pt>
                <c:pt idx="270">
                  <c:v>291571.9483950771</c:v>
                </c:pt>
                <c:pt idx="271">
                  <c:v>657598.7679512106</c:v>
                </c:pt>
                <c:pt idx="272">
                  <c:v>751187.318694232</c:v>
                </c:pt>
                <c:pt idx="273">
                  <c:v>949465.0600695598</c:v>
                </c:pt>
                <c:pt idx="274">
                  <c:v>425845.6949966244</c:v>
                </c:pt>
                <c:pt idx="275">
                  <c:v>554206.8724652326</c:v>
                </c:pt>
                <c:pt idx="276">
                  <c:v>599548.20720483</c:v>
                </c:pt>
                <c:pt idx="277">
                  <c:v>285459.5591223701</c:v>
                </c:pt>
                <c:pt idx="278">
                  <c:v>324275.2539247795</c:v>
                </c:pt>
                <c:pt idx="279">
                  <c:v>386448.3760093747</c:v>
                </c:pt>
                <c:pt idx="280">
                  <c:v>174041.514342486</c:v>
                </c:pt>
                <c:pt idx="281">
                  <c:v>461796.3217904585</c:v>
                </c:pt>
                <c:pt idx="282">
                  <c:v>217629.4271315812</c:v>
                </c:pt>
                <c:pt idx="283">
                  <c:v>262952.8359788762</c:v>
                </c:pt>
                <c:pt idx="284">
                  <c:v>512141.195358488</c:v>
                </c:pt>
                <c:pt idx="285">
                  <c:v>190313.7568105012</c:v>
                </c:pt>
                <c:pt idx="286">
                  <c:v>375046.0553682804</c:v>
                </c:pt>
                <c:pt idx="287">
                  <c:v>186575.8389308573</c:v>
                </c:pt>
                <c:pt idx="288">
                  <c:v>168234.9967882542</c:v>
                </c:pt>
                <c:pt idx="289">
                  <c:v>813033.4505430679</c:v>
                </c:pt>
                <c:pt idx="290">
                  <c:v>721950.1819331171</c:v>
                </c:pt>
                <c:pt idx="291">
                  <c:v>240309.4053314366</c:v>
                </c:pt>
                <c:pt idx="292">
                  <c:v>139610.203386304</c:v>
                </c:pt>
                <c:pt idx="293">
                  <c:v>203168.2574011972</c:v>
                </c:pt>
                <c:pt idx="294">
                  <c:v>381104.4924732623</c:v>
                </c:pt>
                <c:pt idx="295">
                  <c:v>257770.748253508</c:v>
                </c:pt>
                <c:pt idx="296">
                  <c:v>720035.7698064614</c:v>
                </c:pt>
                <c:pt idx="297">
                  <c:v>101858.4364487223</c:v>
                </c:pt>
                <c:pt idx="298">
                  <c:v>93189.2746929528</c:v>
                </c:pt>
                <c:pt idx="299">
                  <c:v>602765.0853861893</c:v>
                </c:pt>
                <c:pt idx="300">
                  <c:v>366029.407602562</c:v>
                </c:pt>
                <c:pt idx="301">
                  <c:v>263863.565947059</c:v>
                </c:pt>
                <c:pt idx="302">
                  <c:v>178981.1365297206</c:v>
                </c:pt>
                <c:pt idx="303">
                  <c:v>276251.208162348</c:v>
                </c:pt>
                <c:pt idx="304">
                  <c:v>210018.8389340521</c:v>
                </c:pt>
                <c:pt idx="305">
                  <c:v>139690.7192612073</c:v>
                </c:pt>
                <c:pt idx="306">
                  <c:v>319798.8487474316</c:v>
                </c:pt>
                <c:pt idx="307">
                  <c:v>264255.9981524733</c:v>
                </c:pt>
                <c:pt idx="308">
                  <c:v>309855.3082759875</c:v>
                </c:pt>
                <c:pt idx="309">
                  <c:v>126910.5849906336</c:v>
                </c:pt>
                <c:pt idx="310">
                  <c:v>441302.3146173568</c:v>
                </c:pt>
                <c:pt idx="311">
                  <c:v>170450.5224447081</c:v>
                </c:pt>
                <c:pt idx="312">
                  <c:v>199058.9642172858</c:v>
                </c:pt>
                <c:pt idx="313">
                  <c:v>233312.660625288</c:v>
                </c:pt>
                <c:pt idx="314">
                  <c:v>552967.133915691</c:v>
                </c:pt>
                <c:pt idx="315">
                  <c:v>192082.2165230913</c:v>
                </c:pt>
                <c:pt idx="316">
                  <c:v>145156.8383142983</c:v>
                </c:pt>
                <c:pt idx="317">
                  <c:v>374614.7337680441</c:v>
                </c:pt>
                <c:pt idx="318">
                  <c:v>214702.5125274026</c:v>
                </c:pt>
                <c:pt idx="319">
                  <c:v>102971.9253825602</c:v>
                </c:pt>
                <c:pt idx="320">
                  <c:v>1.12577078445352E6</c:v>
                </c:pt>
                <c:pt idx="321">
                  <c:v>110525.2227044826</c:v>
                </c:pt>
                <c:pt idx="322">
                  <c:v>94530.79511001575</c:v>
                </c:pt>
                <c:pt idx="323">
                  <c:v>99354.8054418083</c:v>
                </c:pt>
                <c:pt idx="324">
                  <c:v>255444.6439104221</c:v>
                </c:pt>
                <c:pt idx="325">
                  <c:v>146283.5167201452</c:v>
                </c:pt>
                <c:pt idx="326">
                  <c:v>156174.182465936</c:v>
                </c:pt>
                <c:pt idx="327">
                  <c:v>171213.8711095516</c:v>
                </c:pt>
                <c:pt idx="328">
                  <c:v>223262.6548402958</c:v>
                </c:pt>
                <c:pt idx="329">
                  <c:v>121348.1625181969</c:v>
                </c:pt>
                <c:pt idx="330">
                  <c:v>198624.7847695072</c:v>
                </c:pt>
                <c:pt idx="331">
                  <c:v>105783.5215159009</c:v>
                </c:pt>
                <c:pt idx="332">
                  <c:v>181257.3896718274</c:v>
                </c:pt>
                <c:pt idx="333">
                  <c:v>70031.9746157669</c:v>
                </c:pt>
                <c:pt idx="334">
                  <c:v>84187.83532257837</c:v>
                </c:pt>
                <c:pt idx="335">
                  <c:v>66904.56873574895</c:v>
                </c:pt>
                <c:pt idx="336">
                  <c:v>65814.92516329143</c:v>
                </c:pt>
                <c:pt idx="337">
                  <c:v>53149.48150069057</c:v>
                </c:pt>
                <c:pt idx="338">
                  <c:v>118768.430501114</c:v>
                </c:pt>
                <c:pt idx="339">
                  <c:v>140438.616675437</c:v>
                </c:pt>
                <c:pt idx="340">
                  <c:v>40036.00119065973</c:v>
                </c:pt>
                <c:pt idx="341">
                  <c:v>54384.26423579215</c:v>
                </c:pt>
                <c:pt idx="342">
                  <c:v>46074.22279136749</c:v>
                </c:pt>
                <c:pt idx="343">
                  <c:v>51319.11603355666</c:v>
                </c:pt>
                <c:pt idx="344">
                  <c:v>111911.1534501148</c:v>
                </c:pt>
                <c:pt idx="345">
                  <c:v>71712.97698491801</c:v>
                </c:pt>
                <c:pt idx="346">
                  <c:v>45025.29529263586</c:v>
                </c:pt>
                <c:pt idx="347">
                  <c:v>22279.51393233519</c:v>
                </c:pt>
                <c:pt idx="348">
                  <c:v>45225.2535841702</c:v>
                </c:pt>
                <c:pt idx="349">
                  <c:v>22234.80665016828</c:v>
                </c:pt>
                <c:pt idx="350">
                  <c:v>17688.46061847805</c:v>
                </c:pt>
                <c:pt idx="351">
                  <c:v>18286.39490755116</c:v>
                </c:pt>
                <c:pt idx="352">
                  <c:v>72625.3403344483</c:v>
                </c:pt>
                <c:pt idx="353">
                  <c:v>226721.4298865478</c:v>
                </c:pt>
                <c:pt idx="354">
                  <c:v>236552.024533462</c:v>
                </c:pt>
                <c:pt idx="355">
                  <c:v>238121.4566791911</c:v>
                </c:pt>
                <c:pt idx="356">
                  <c:v>241438.5178146957</c:v>
                </c:pt>
                <c:pt idx="357">
                  <c:v>218403.5881433875</c:v>
                </c:pt>
                <c:pt idx="358">
                  <c:v>348700.9817750626</c:v>
                </c:pt>
                <c:pt idx="359">
                  <c:v>382197.2561784512</c:v>
                </c:pt>
                <c:pt idx="360">
                  <c:v>248018.9138364861</c:v>
                </c:pt>
                <c:pt idx="361">
                  <c:v>221817.3399588581</c:v>
                </c:pt>
                <c:pt idx="362">
                  <c:v>216327.504887354</c:v>
                </c:pt>
                <c:pt idx="363">
                  <c:v>72424.46078918538</c:v>
                </c:pt>
                <c:pt idx="364">
                  <c:v>82925.22754057325</c:v>
                </c:pt>
                <c:pt idx="365">
                  <c:v>150459.8320354118</c:v>
                </c:pt>
                <c:pt idx="366">
                  <c:v>233131.49108206</c:v>
                </c:pt>
                <c:pt idx="367">
                  <c:v>67959.91287561452</c:v>
                </c:pt>
                <c:pt idx="368">
                  <c:v>70547.49308439285</c:v>
                </c:pt>
                <c:pt idx="369">
                  <c:v>205035.0165585186</c:v>
                </c:pt>
                <c:pt idx="370">
                  <c:v>68049.24618915483</c:v>
                </c:pt>
                <c:pt idx="371">
                  <c:v>69201.30951197648</c:v>
                </c:pt>
                <c:pt idx="372">
                  <c:v>207155.0639111465</c:v>
                </c:pt>
                <c:pt idx="373">
                  <c:v>60299.69620380582</c:v>
                </c:pt>
                <c:pt idx="374">
                  <c:v>80158.16990384597</c:v>
                </c:pt>
                <c:pt idx="375">
                  <c:v>46867.47286358402</c:v>
                </c:pt>
                <c:pt idx="376">
                  <c:v>54145.69341303754</c:v>
                </c:pt>
                <c:pt idx="377">
                  <c:v>76144.18524274606</c:v>
                </c:pt>
                <c:pt idx="378">
                  <c:v>97966.32183292233</c:v>
                </c:pt>
                <c:pt idx="379">
                  <c:v>160371.6920938113</c:v>
                </c:pt>
                <c:pt idx="380">
                  <c:v>276730.0876988018</c:v>
                </c:pt>
                <c:pt idx="381">
                  <c:v>119366.4184190721</c:v>
                </c:pt>
                <c:pt idx="382">
                  <c:v>217325.8423938648</c:v>
                </c:pt>
                <c:pt idx="383">
                  <c:v>122466.17064478</c:v>
                </c:pt>
                <c:pt idx="384">
                  <c:v>194972.8974682988</c:v>
                </c:pt>
                <c:pt idx="385">
                  <c:v>188651.1183746215</c:v>
                </c:pt>
                <c:pt idx="386">
                  <c:v>102441.0834171292</c:v>
                </c:pt>
                <c:pt idx="387">
                  <c:v>159845.9784922357</c:v>
                </c:pt>
                <c:pt idx="388">
                  <c:v>115799.390761807</c:v>
                </c:pt>
                <c:pt idx="389">
                  <c:v>187200.947596285</c:v>
                </c:pt>
                <c:pt idx="390">
                  <c:v>83702.22890368718</c:v>
                </c:pt>
                <c:pt idx="391">
                  <c:v>111834.7076340809</c:v>
                </c:pt>
                <c:pt idx="392">
                  <c:v>86811.61392776754</c:v>
                </c:pt>
                <c:pt idx="393">
                  <c:v>145209.5706450387</c:v>
                </c:pt>
                <c:pt idx="394">
                  <c:v>170667.0411528957</c:v>
                </c:pt>
                <c:pt idx="395">
                  <c:v>95216.03688280679</c:v>
                </c:pt>
                <c:pt idx="396">
                  <c:v>100215.1688014796</c:v>
                </c:pt>
                <c:pt idx="397">
                  <c:v>87044.76153257275</c:v>
                </c:pt>
                <c:pt idx="398">
                  <c:v>87686.62538385912</c:v>
                </c:pt>
                <c:pt idx="399">
                  <c:v>148663.829052076</c:v>
                </c:pt>
                <c:pt idx="400">
                  <c:v>150072.08336991</c:v>
                </c:pt>
                <c:pt idx="401">
                  <c:v>47519.28415238463</c:v>
                </c:pt>
                <c:pt idx="402">
                  <c:v>49266.74154540407</c:v>
                </c:pt>
                <c:pt idx="403">
                  <c:v>155319.524028939</c:v>
                </c:pt>
                <c:pt idx="404">
                  <c:v>75857.8757243147</c:v>
                </c:pt>
                <c:pt idx="405">
                  <c:v>82404.06410506219</c:v>
                </c:pt>
                <c:pt idx="406">
                  <c:v>185795.8219573804</c:v>
                </c:pt>
                <c:pt idx="407">
                  <c:v>256119.2637608319</c:v>
                </c:pt>
                <c:pt idx="408">
                  <c:v>166666.6666666667</c:v>
                </c:pt>
                <c:pt idx="409">
                  <c:v>195346.7561521253</c:v>
                </c:pt>
                <c:pt idx="410">
                  <c:v>153333.3333333333</c:v>
                </c:pt>
                <c:pt idx="411">
                  <c:v>113333.3333333333</c:v>
                </c:pt>
                <c:pt idx="412">
                  <c:v>345998.6362880989</c:v>
                </c:pt>
                <c:pt idx="413">
                  <c:v>423774.4100895036</c:v>
                </c:pt>
                <c:pt idx="414">
                  <c:v>81968.2341949548</c:v>
                </c:pt>
                <c:pt idx="415">
                  <c:v>592243.562684677</c:v>
                </c:pt>
                <c:pt idx="416">
                  <c:v>369847.0168281486</c:v>
                </c:pt>
                <c:pt idx="417">
                  <c:v>279540.2298850574</c:v>
                </c:pt>
                <c:pt idx="418">
                  <c:v>137873.5632183907</c:v>
                </c:pt>
                <c:pt idx="419">
                  <c:v>404493.4906427985</c:v>
                </c:pt>
                <c:pt idx="420">
                  <c:v>74509.49859856725</c:v>
                </c:pt>
                <c:pt idx="421">
                  <c:v>563449.7678345291</c:v>
                </c:pt>
                <c:pt idx="422">
                  <c:v>269541.0504844463</c:v>
                </c:pt>
                <c:pt idx="423">
                  <c:v>161311.5763546797</c:v>
                </c:pt>
                <c:pt idx="424">
                  <c:v>85139.57307060748</c:v>
                </c:pt>
                <c:pt idx="425">
                  <c:v>231743.2872253862</c:v>
                </c:pt>
                <c:pt idx="426">
                  <c:v>282528.8072251632</c:v>
                </c:pt>
                <c:pt idx="427">
                  <c:v>441594.5546644152</c:v>
                </c:pt>
                <c:pt idx="428">
                  <c:v>252893.4217236102</c:v>
                </c:pt>
                <c:pt idx="429">
                  <c:v>232512.3152709357</c:v>
                </c:pt>
                <c:pt idx="430">
                  <c:v>135862.0689655171</c:v>
                </c:pt>
                <c:pt idx="431">
                  <c:v>541415.7851912117</c:v>
                </c:pt>
                <c:pt idx="432">
                  <c:v>233183.847191944</c:v>
                </c:pt>
                <c:pt idx="433">
                  <c:v>301696.9185310255</c:v>
                </c:pt>
                <c:pt idx="434">
                  <c:v>135898.0112187658</c:v>
                </c:pt>
                <c:pt idx="435">
                  <c:v>256958.1280788176</c:v>
                </c:pt>
                <c:pt idx="436">
                  <c:v>122475.3694581279</c:v>
                </c:pt>
                <c:pt idx="437">
                  <c:v>565579.7396257114</c:v>
                </c:pt>
                <c:pt idx="438">
                  <c:v>364247.8978511364</c:v>
                </c:pt>
                <c:pt idx="439">
                  <c:v>303723.0899113548</c:v>
                </c:pt>
                <c:pt idx="440">
                  <c:v>179989.8011218765</c:v>
                </c:pt>
                <c:pt idx="441">
                  <c:v>249127.6683087025</c:v>
                </c:pt>
                <c:pt idx="442">
                  <c:v>119817.3234811165</c:v>
                </c:pt>
                <c:pt idx="443">
                  <c:v>518714.4019528069</c:v>
                </c:pt>
                <c:pt idx="444">
                  <c:v>484157.5833073804</c:v>
                </c:pt>
                <c:pt idx="445">
                  <c:v>198254.5377796538</c:v>
                </c:pt>
                <c:pt idx="446">
                  <c:v>107987.7613462517</c:v>
                </c:pt>
                <c:pt idx="447">
                  <c:v>220511.0837438421</c:v>
                </c:pt>
                <c:pt idx="448">
                  <c:v>141200.738916256</c:v>
                </c:pt>
                <c:pt idx="449">
                  <c:v>911158.462164361</c:v>
                </c:pt>
                <c:pt idx="450">
                  <c:v>377053.8772967921</c:v>
                </c:pt>
                <c:pt idx="451">
                  <c:v>475874.6948738809</c:v>
                </c:pt>
                <c:pt idx="452">
                  <c:v>369847.0168281486</c:v>
                </c:pt>
                <c:pt idx="458">
                  <c:v>167889.2</c:v>
                </c:pt>
                <c:pt idx="459">
                  <c:v>154918.0</c:v>
                </c:pt>
                <c:pt idx="460">
                  <c:v>174898</c:v>
                </c:pt>
                <c:pt idx="461">
                  <c:v>216386.8</c:v>
                </c:pt>
                <c:pt idx="462">
                  <c:v>113025.0</c:v>
                </c:pt>
                <c:pt idx="463">
                  <c:v>99049.5</c:v>
                </c:pt>
                <c:pt idx="464">
                  <c:v>213831.8</c:v>
                </c:pt>
                <c:pt idx="465">
                  <c:v>165425.1</c:v>
                </c:pt>
                <c:pt idx="466">
                  <c:v>190350.4</c:v>
                </c:pt>
                <c:pt idx="467">
                  <c:v>184717.0</c:v>
                </c:pt>
                <c:pt idx="468">
                  <c:v>144701.7</c:v>
                </c:pt>
                <c:pt idx="469">
                  <c:v>113252.5</c:v>
                </c:pt>
                <c:pt idx="470">
                  <c:v>203233.8</c:v>
                </c:pt>
                <c:pt idx="471">
                  <c:v>41493.2</c:v>
                </c:pt>
                <c:pt idx="472">
                  <c:v>32364.6</c:v>
                </c:pt>
                <c:pt idx="473">
                  <c:v>37272.3</c:v>
                </c:pt>
                <c:pt idx="474">
                  <c:v>43868.2</c:v>
                </c:pt>
                <c:pt idx="475">
                  <c:v>27825.6</c:v>
                </c:pt>
                <c:pt idx="476">
                  <c:v>175754.4</c:v>
                </c:pt>
                <c:pt idx="477">
                  <c:v>27786.6</c:v>
                </c:pt>
                <c:pt idx="478">
                  <c:v>22204.0</c:v>
                </c:pt>
                <c:pt idx="479">
                  <c:v>23747.5</c:v>
                </c:pt>
                <c:pt idx="480">
                  <c:v>39743.5</c:v>
                </c:pt>
                <c:pt idx="481">
                  <c:v>31147.2</c:v>
                </c:pt>
                <c:pt idx="482">
                  <c:v>44694.60000000001</c:v>
                </c:pt>
                <c:pt idx="483">
                  <c:v>41258.0</c:v>
                </c:pt>
                <c:pt idx="484">
                  <c:v>14851.2</c:v>
                </c:pt>
                <c:pt idx="485">
                  <c:v>15376.5</c:v>
                </c:pt>
                <c:pt idx="486">
                  <c:v>7570.8</c:v>
                </c:pt>
                <c:pt idx="487">
                  <c:v>19325.6</c:v>
                </c:pt>
                <c:pt idx="488">
                  <c:v>9764.299999999999</c:v>
                </c:pt>
                <c:pt idx="489">
                  <c:v>148488.0</c:v>
                </c:pt>
                <c:pt idx="490">
                  <c:v>8533.7</c:v>
                </c:pt>
                <c:pt idx="491">
                  <c:v>23774.4</c:v>
                </c:pt>
                <c:pt idx="492">
                  <c:v>12450.0</c:v>
                </c:pt>
                <c:pt idx="493">
                  <c:v>26982.5</c:v>
                </c:pt>
                <c:pt idx="494">
                  <c:v>15604.6</c:v>
                </c:pt>
                <c:pt idx="495">
                  <c:v>8019.6</c:v>
                </c:pt>
                <c:pt idx="496">
                  <c:v>15386.3</c:v>
                </c:pt>
                <c:pt idx="515">
                  <c:v>165000.0</c:v>
                </c:pt>
                <c:pt idx="535">
                  <c:v>63750.0</c:v>
                </c:pt>
                <c:pt idx="554">
                  <c:v>25530.0</c:v>
                </c:pt>
                <c:pt idx="559">
                  <c:v>16940.0</c:v>
                </c:pt>
                <c:pt idx="570">
                  <c:v>17000.0</c:v>
                </c:pt>
                <c:pt idx="585">
                  <c:v>515454.5454545454</c:v>
                </c:pt>
                <c:pt idx="586">
                  <c:v>268181.8181818182</c:v>
                </c:pt>
                <c:pt idx="587">
                  <c:v>259090.9090909091</c:v>
                </c:pt>
                <c:pt idx="588">
                  <c:v>161818.1818181818</c:v>
                </c:pt>
                <c:pt idx="589">
                  <c:v>221818.1818181818</c:v>
                </c:pt>
                <c:pt idx="590">
                  <c:v>197272.7272727273</c:v>
                </c:pt>
                <c:pt idx="591">
                  <c:v>236363.6363636364</c:v>
                </c:pt>
                <c:pt idx="592">
                  <c:v>237272.7272727273</c:v>
                </c:pt>
                <c:pt idx="593">
                  <c:v>215454.5454545454</c:v>
                </c:pt>
                <c:pt idx="594">
                  <c:v>211818.1818181818</c:v>
                </c:pt>
                <c:pt idx="595">
                  <c:v>250909.0909090909</c:v>
                </c:pt>
                <c:pt idx="596">
                  <c:v>173636.3636363636</c:v>
                </c:pt>
                <c:pt idx="597">
                  <c:v>138181.8181818182</c:v>
                </c:pt>
                <c:pt idx="598">
                  <c:v>190909.090909091</c:v>
                </c:pt>
                <c:pt idx="599">
                  <c:v>181818.1818181818</c:v>
                </c:pt>
                <c:pt idx="600">
                  <c:v>81420.0</c:v>
                </c:pt>
                <c:pt idx="601">
                  <c:v>394610.0</c:v>
                </c:pt>
                <c:pt idx="602">
                  <c:v>22852</c:v>
                </c:pt>
                <c:pt idx="603">
                  <c:v>328760.0</c:v>
                </c:pt>
                <c:pt idx="604">
                  <c:v>324850.0</c:v>
                </c:pt>
                <c:pt idx="605">
                  <c:v>331840.0</c:v>
                </c:pt>
                <c:pt idx="606">
                  <c:v>22889</c:v>
                </c:pt>
                <c:pt idx="607">
                  <c:v>164340.0</c:v>
                </c:pt>
                <c:pt idx="608">
                  <c:v>242440.0</c:v>
                </c:pt>
                <c:pt idx="609">
                  <c:v>202270.0</c:v>
                </c:pt>
                <c:pt idx="610">
                  <c:v>62850.0</c:v>
                </c:pt>
                <c:pt idx="611">
                  <c:v>12136</c:v>
                </c:pt>
                <c:pt idx="612">
                  <c:v>12048</c:v>
                </c:pt>
                <c:pt idx="613">
                  <c:v>183750.0</c:v>
                </c:pt>
                <c:pt idx="614">
                  <c:v>172920.0</c:v>
                </c:pt>
                <c:pt idx="615">
                  <c:v>101650.0</c:v>
                </c:pt>
                <c:pt idx="616">
                  <c:v>192150.0</c:v>
                </c:pt>
                <c:pt idx="617">
                  <c:v>127510.0</c:v>
                </c:pt>
                <c:pt idx="618">
                  <c:v>49990.0</c:v>
                </c:pt>
                <c:pt idx="619">
                  <c:v>39450.0</c:v>
                </c:pt>
                <c:pt idx="620">
                  <c:v>61800.0</c:v>
                </c:pt>
                <c:pt idx="621">
                  <c:v>62360.0</c:v>
                </c:pt>
                <c:pt idx="622">
                  <c:v>75970.0</c:v>
                </c:pt>
                <c:pt idx="623">
                  <c:v>97820.0</c:v>
                </c:pt>
                <c:pt idx="624">
                  <c:v>170710.0</c:v>
                </c:pt>
                <c:pt idx="625">
                  <c:v>109600.0</c:v>
                </c:pt>
                <c:pt idx="626">
                  <c:v>107400.0</c:v>
                </c:pt>
                <c:pt idx="627">
                  <c:v>54530.0</c:v>
                </c:pt>
                <c:pt idx="628">
                  <c:v>90700.0</c:v>
                </c:pt>
                <c:pt idx="629">
                  <c:v>1.0777E6</c:v>
                </c:pt>
                <c:pt idx="630">
                  <c:v>1.8921E6</c:v>
                </c:pt>
                <c:pt idx="631">
                  <c:v>1.2903E6</c:v>
                </c:pt>
                <c:pt idx="632">
                  <c:v>455100.0</c:v>
                </c:pt>
                <c:pt idx="633">
                  <c:v>696000.0</c:v>
                </c:pt>
                <c:pt idx="634">
                  <c:v>524940.0</c:v>
                </c:pt>
                <c:pt idx="635">
                  <c:v>550219.9999999999</c:v>
                </c:pt>
                <c:pt idx="636">
                  <c:v>590400.0</c:v>
                </c:pt>
                <c:pt idx="637">
                  <c:v>469200.0</c:v>
                </c:pt>
                <c:pt idx="638">
                  <c:v>488400.0</c:v>
                </c:pt>
                <c:pt idx="639">
                  <c:v>539999.9999999999</c:v>
                </c:pt>
                <c:pt idx="640">
                  <c:v>1.862E6</c:v>
                </c:pt>
                <c:pt idx="641">
                  <c:v>909000.0</c:v>
                </c:pt>
                <c:pt idx="642">
                  <c:v>858000.0</c:v>
                </c:pt>
                <c:pt idx="643">
                  <c:v>643439.9999999999</c:v>
                </c:pt>
                <c:pt idx="644">
                  <c:v>1.092E6</c:v>
                </c:pt>
                <c:pt idx="645">
                  <c:v>1.0439E6</c:v>
                </c:pt>
                <c:pt idx="646">
                  <c:v>976800.0</c:v>
                </c:pt>
                <c:pt idx="647">
                  <c:v>813600.0</c:v>
                </c:pt>
                <c:pt idx="648">
                  <c:v>538630.0</c:v>
                </c:pt>
                <c:pt idx="649">
                  <c:v>727380.0</c:v>
                </c:pt>
                <c:pt idx="650">
                  <c:v>723000.0</c:v>
                </c:pt>
                <c:pt idx="651">
                  <c:v>770040.0</c:v>
                </c:pt>
                <c:pt idx="652">
                  <c:v>869000.0</c:v>
                </c:pt>
                <c:pt idx="653">
                  <c:v>378480.0</c:v>
                </c:pt>
                <c:pt idx="654">
                  <c:v>818730.0</c:v>
                </c:pt>
                <c:pt idx="655">
                  <c:v>789800.0</c:v>
                </c:pt>
                <c:pt idx="656">
                  <c:v>1.2496E6</c:v>
                </c:pt>
                <c:pt idx="657">
                  <c:v>919200.0</c:v>
                </c:pt>
                <c:pt idx="658">
                  <c:v>790860.0</c:v>
                </c:pt>
                <c:pt idx="659">
                  <c:v>936000.0</c:v>
                </c:pt>
                <c:pt idx="660">
                  <c:v>674790.0</c:v>
                </c:pt>
                <c:pt idx="661">
                  <c:v>816000.0</c:v>
                </c:pt>
                <c:pt idx="662">
                  <c:v>568830.0</c:v>
                </c:pt>
                <c:pt idx="663">
                  <c:v>656040.0</c:v>
                </c:pt>
                <c:pt idx="664">
                  <c:v>889200.0</c:v>
                </c:pt>
                <c:pt idx="665">
                  <c:v>665019.9999999999</c:v>
                </c:pt>
                <c:pt idx="666">
                  <c:v>646500.0000000001</c:v>
                </c:pt>
                <c:pt idx="667">
                  <c:v>654480.0</c:v>
                </c:pt>
                <c:pt idx="668">
                  <c:v>515220.0</c:v>
                </c:pt>
                <c:pt idx="669">
                  <c:v>607509.9999999999</c:v>
                </c:pt>
                <c:pt idx="670">
                  <c:v>704880.0</c:v>
                </c:pt>
                <c:pt idx="671">
                  <c:v>627120.0</c:v>
                </c:pt>
                <c:pt idx="672">
                  <c:v>598120.0000000001</c:v>
                </c:pt>
                <c:pt idx="673">
                  <c:v>475440.0</c:v>
                </c:pt>
                <c:pt idx="674">
                  <c:v>640900.0</c:v>
                </c:pt>
                <c:pt idx="675">
                  <c:v>756000.0</c:v>
                </c:pt>
                <c:pt idx="676">
                  <c:v>476180.0</c:v>
                </c:pt>
                <c:pt idx="677">
                  <c:v>520740.0000000001</c:v>
                </c:pt>
                <c:pt idx="678">
                  <c:v>646000.0</c:v>
                </c:pt>
                <c:pt idx="679">
                  <c:v>469300.0</c:v>
                </c:pt>
                <c:pt idx="680">
                  <c:v>649700.0</c:v>
                </c:pt>
                <c:pt idx="681">
                  <c:v>602370.0</c:v>
                </c:pt>
                <c:pt idx="682">
                  <c:v>437940.0</c:v>
                </c:pt>
                <c:pt idx="683">
                  <c:v>4984</c:v>
                </c:pt>
                <c:pt idx="684">
                  <c:v>561330.0000000001</c:v>
                </c:pt>
                <c:pt idx="685">
                  <c:v>430560.0</c:v>
                </c:pt>
                <c:pt idx="686">
                  <c:v>484300.0</c:v>
                </c:pt>
                <c:pt idx="687">
                  <c:v>449460.0000000001</c:v>
                </c:pt>
                <c:pt idx="688">
                  <c:v>485750.0</c:v>
                </c:pt>
                <c:pt idx="689">
                  <c:v>734290.0</c:v>
                </c:pt>
                <c:pt idx="690">
                  <c:v>1.786E6</c:v>
                </c:pt>
                <c:pt idx="691">
                  <c:v>502520.0</c:v>
                </c:pt>
                <c:pt idx="692">
                  <c:v>1.107E6</c:v>
                </c:pt>
                <c:pt idx="693">
                  <c:v>982300.0</c:v>
                </c:pt>
                <c:pt idx="694">
                  <c:v>1.1295E6</c:v>
                </c:pt>
                <c:pt idx="695">
                  <c:v>849420.0</c:v>
                </c:pt>
                <c:pt idx="696">
                  <c:v>1.593E6</c:v>
                </c:pt>
                <c:pt idx="697">
                  <c:v>798600.0</c:v>
                </c:pt>
                <c:pt idx="698">
                  <c:v>1.04E6</c:v>
                </c:pt>
                <c:pt idx="699">
                  <c:v>816300.0</c:v>
                </c:pt>
                <c:pt idx="700">
                  <c:v>497940.0</c:v>
                </c:pt>
                <c:pt idx="701">
                  <c:v>1.0785E6</c:v>
                </c:pt>
                <c:pt idx="702">
                  <c:v>889200.0</c:v>
                </c:pt>
                <c:pt idx="703">
                  <c:v>963600.0</c:v>
                </c:pt>
                <c:pt idx="704">
                  <c:v>866800.0</c:v>
                </c:pt>
                <c:pt idx="705">
                  <c:v>859100.0</c:v>
                </c:pt>
                <c:pt idx="706">
                  <c:v>825000.0</c:v>
                </c:pt>
                <c:pt idx="707">
                  <c:v>774000.0</c:v>
                </c:pt>
                <c:pt idx="708">
                  <c:v>817200.0</c:v>
                </c:pt>
                <c:pt idx="709">
                  <c:v>1.0822E6</c:v>
                </c:pt>
                <c:pt idx="710">
                  <c:v>372060.0</c:v>
                </c:pt>
                <c:pt idx="711">
                  <c:v>520800.0</c:v>
                </c:pt>
                <c:pt idx="712">
                  <c:v>740880.0</c:v>
                </c:pt>
                <c:pt idx="713">
                  <c:v>955500.0</c:v>
                </c:pt>
                <c:pt idx="714">
                  <c:v>1.0472E6</c:v>
                </c:pt>
                <c:pt idx="715">
                  <c:v>988000.0</c:v>
                </c:pt>
                <c:pt idx="716">
                  <c:v>854370.0</c:v>
                </c:pt>
                <c:pt idx="717">
                  <c:v>969600.0</c:v>
                </c:pt>
                <c:pt idx="718">
                  <c:v>850300.0</c:v>
                </c:pt>
                <c:pt idx="719">
                  <c:v>1.136E6</c:v>
                </c:pt>
                <c:pt idx="720">
                  <c:v>704940.0</c:v>
                </c:pt>
                <c:pt idx="721">
                  <c:v>737810.0</c:v>
                </c:pt>
                <c:pt idx="722">
                  <c:v>1.128E6</c:v>
                </c:pt>
                <c:pt idx="723">
                  <c:v>677160.0</c:v>
                </c:pt>
                <c:pt idx="724">
                  <c:v>545309.9999999999</c:v>
                </c:pt>
                <c:pt idx="725">
                  <c:v>568400.0</c:v>
                </c:pt>
                <c:pt idx="726">
                  <c:v>885600.0</c:v>
                </c:pt>
                <c:pt idx="727">
                  <c:v>1.0595E6</c:v>
                </c:pt>
                <c:pt idx="728">
                  <c:v>1.2135E6</c:v>
                </c:pt>
                <c:pt idx="729">
                  <c:v>847200.0</c:v>
                </c:pt>
                <c:pt idx="730">
                  <c:v>531440.0</c:v>
                </c:pt>
                <c:pt idx="731">
                  <c:v>622080.0</c:v>
                </c:pt>
                <c:pt idx="732">
                  <c:v>868800.0</c:v>
                </c:pt>
                <c:pt idx="733">
                  <c:v>1.2716E6</c:v>
                </c:pt>
                <c:pt idx="734">
                  <c:v>619710.0000000001</c:v>
                </c:pt>
                <c:pt idx="735">
                  <c:v>956400.0</c:v>
                </c:pt>
                <c:pt idx="736">
                  <c:v>987600.0</c:v>
                </c:pt>
                <c:pt idx="737">
                  <c:v>629200.0</c:v>
                </c:pt>
                <c:pt idx="738">
                  <c:v>1.0472E6</c:v>
                </c:pt>
                <c:pt idx="739">
                  <c:v>491640.0</c:v>
                </c:pt>
                <c:pt idx="740">
                  <c:v>493580.0</c:v>
                </c:pt>
                <c:pt idx="741">
                  <c:v>1.1696E6</c:v>
                </c:pt>
                <c:pt idx="742">
                  <c:v>690580.0</c:v>
                </c:pt>
                <c:pt idx="743">
                  <c:v>872300.0</c:v>
                </c:pt>
                <c:pt idx="744">
                  <c:v>438840.0</c:v>
                </c:pt>
                <c:pt idx="745">
                  <c:v>432300.0</c:v>
                </c:pt>
                <c:pt idx="746">
                  <c:v>801900.0</c:v>
                </c:pt>
                <c:pt idx="747">
                  <c:v>798600.0</c:v>
                </c:pt>
                <c:pt idx="748">
                  <c:v>985400.0</c:v>
                </c:pt>
                <c:pt idx="749">
                  <c:v>703800.0</c:v>
                </c:pt>
                <c:pt idx="750">
                  <c:v>751660.0</c:v>
                </c:pt>
                <c:pt idx="751">
                  <c:v>938400.0</c:v>
                </c:pt>
                <c:pt idx="752">
                  <c:v>730400.0</c:v>
                </c:pt>
                <c:pt idx="753">
                  <c:v>764500.0</c:v>
                </c:pt>
                <c:pt idx="754">
                  <c:v>765000.0</c:v>
                </c:pt>
                <c:pt idx="755">
                  <c:v>559420.0</c:v>
                </c:pt>
                <c:pt idx="756">
                  <c:v>294690.0</c:v>
                </c:pt>
                <c:pt idx="757">
                  <c:v>560820.0000000001</c:v>
                </c:pt>
                <c:pt idx="758">
                  <c:v>411800.0</c:v>
                </c:pt>
                <c:pt idx="759">
                  <c:v>346320.0</c:v>
                </c:pt>
                <c:pt idx="760">
                  <c:v>450360.0</c:v>
                </c:pt>
                <c:pt idx="761">
                  <c:v>509020.0</c:v>
                </c:pt>
                <c:pt idx="762">
                  <c:v>838200.0</c:v>
                </c:pt>
                <c:pt idx="763">
                  <c:v>736960.0</c:v>
                </c:pt>
                <c:pt idx="764">
                  <c:v>355100.0</c:v>
                </c:pt>
                <c:pt idx="765">
                  <c:v>1.1237E6</c:v>
                </c:pt>
                <c:pt idx="766">
                  <c:v>435240.0</c:v>
                </c:pt>
                <c:pt idx="767">
                  <c:v>485640.0</c:v>
                </c:pt>
                <c:pt idx="768">
                  <c:v>490440.0000000001</c:v>
                </c:pt>
                <c:pt idx="769">
                  <c:v>560320.0</c:v>
                </c:pt>
                <c:pt idx="770">
                  <c:v>357510.0</c:v>
                </c:pt>
                <c:pt idx="771">
                  <c:v>315000.0</c:v>
                </c:pt>
                <c:pt idx="772">
                  <c:v>486910.0</c:v>
                </c:pt>
                <c:pt idx="773">
                  <c:v>681500.0</c:v>
                </c:pt>
                <c:pt idx="774">
                  <c:v>342000.0</c:v>
                </c:pt>
                <c:pt idx="775">
                  <c:v>424600.0</c:v>
                </c:pt>
                <c:pt idx="776">
                  <c:v>351330.0</c:v>
                </c:pt>
                <c:pt idx="777">
                  <c:v>255150.0</c:v>
                </c:pt>
                <c:pt idx="778">
                  <c:v>427770.0</c:v>
                </c:pt>
                <c:pt idx="779">
                  <c:v>424110.0</c:v>
                </c:pt>
                <c:pt idx="780">
                  <c:v>694980.0</c:v>
                </c:pt>
                <c:pt idx="781">
                  <c:v>504680.0</c:v>
                </c:pt>
                <c:pt idx="782">
                  <c:v>339700.0</c:v>
                </c:pt>
                <c:pt idx="783">
                  <c:v>510400.0</c:v>
                </c:pt>
                <c:pt idx="784">
                  <c:v>419740.0</c:v>
                </c:pt>
                <c:pt idx="785">
                  <c:v>978000.0</c:v>
                </c:pt>
                <c:pt idx="786">
                  <c:v>448500.0</c:v>
                </c:pt>
                <c:pt idx="787">
                  <c:v>266370.0</c:v>
                </c:pt>
                <c:pt idx="788">
                  <c:v>48816</c:v>
                </c:pt>
                <c:pt idx="789">
                  <c:v>401940.0</c:v>
                </c:pt>
                <c:pt idx="790">
                  <c:v>45158</c:v>
                </c:pt>
                <c:pt idx="791">
                  <c:v>367880.0</c:v>
                </c:pt>
                <c:pt idx="792">
                  <c:v>441600.0</c:v>
                </c:pt>
                <c:pt idx="793">
                  <c:v>572880.0000000001</c:v>
                </c:pt>
                <c:pt idx="794">
                  <c:v>430050.0</c:v>
                </c:pt>
                <c:pt idx="795">
                  <c:v>631209.9999999999</c:v>
                </c:pt>
                <c:pt idx="796">
                  <c:v>550500.0000000001</c:v>
                </c:pt>
                <c:pt idx="797">
                  <c:v>506350.0</c:v>
                </c:pt>
                <c:pt idx="798">
                  <c:v>414700.0</c:v>
                </c:pt>
                <c:pt idx="799">
                  <c:v>380190.0</c:v>
                </c:pt>
                <c:pt idx="800">
                  <c:v>256220.0</c:v>
                </c:pt>
                <c:pt idx="801">
                  <c:v>452350.0</c:v>
                </c:pt>
                <c:pt idx="802">
                  <c:v>204540.0</c:v>
                </c:pt>
                <c:pt idx="803">
                  <c:v>4816</c:v>
                </c:pt>
                <c:pt idx="804">
                  <c:v>394400.0</c:v>
                </c:pt>
                <c:pt idx="805">
                  <c:v>300300.0</c:v>
                </c:pt>
                <c:pt idx="806">
                  <c:v>377850.0</c:v>
                </c:pt>
                <c:pt idx="807">
                  <c:v>422280.0</c:v>
                </c:pt>
                <c:pt idx="808">
                  <c:v>422100.0</c:v>
                </c:pt>
                <c:pt idx="809">
                  <c:v>325440.0</c:v>
                </c:pt>
                <c:pt idx="810">
                  <c:v>238040.0</c:v>
                </c:pt>
                <c:pt idx="811">
                  <c:v>448800.0</c:v>
                </c:pt>
                <c:pt idx="812">
                  <c:v>535860.0</c:v>
                </c:pt>
                <c:pt idx="813">
                  <c:v>465060.0</c:v>
                </c:pt>
                <c:pt idx="814">
                  <c:v>297880.0</c:v>
                </c:pt>
                <c:pt idx="815">
                  <c:v>178560.0</c:v>
                </c:pt>
                <c:pt idx="816">
                  <c:v>366000.0</c:v>
                </c:pt>
                <c:pt idx="817">
                  <c:v>34408</c:v>
                </c:pt>
                <c:pt idx="818">
                  <c:v>223510.0</c:v>
                </c:pt>
                <c:pt idx="819">
                  <c:v>246000.0</c:v>
                </c:pt>
                <c:pt idx="820">
                  <c:v>469980.0</c:v>
                </c:pt>
                <c:pt idx="821">
                  <c:v>306270.0</c:v>
                </c:pt>
                <c:pt idx="822">
                  <c:v>418380.0</c:v>
                </c:pt>
                <c:pt idx="823">
                  <c:v>526020.0</c:v>
                </c:pt>
                <c:pt idx="824">
                  <c:v>211820.0</c:v>
                </c:pt>
                <c:pt idx="825">
                  <c:v>284950.0</c:v>
                </c:pt>
                <c:pt idx="826">
                  <c:v>399160.0</c:v>
                </c:pt>
                <c:pt idx="827">
                  <c:v>223450.0</c:v>
                </c:pt>
                <c:pt idx="828">
                  <c:v>376340.0</c:v>
                </c:pt>
                <c:pt idx="829">
                  <c:v>227550.0</c:v>
                </c:pt>
                <c:pt idx="830">
                  <c:v>382250.0</c:v>
                </c:pt>
                <c:pt idx="831">
                  <c:v>358600.0</c:v>
                </c:pt>
                <c:pt idx="832">
                  <c:v>413540.0</c:v>
                </c:pt>
                <c:pt idx="833">
                  <c:v>212850.0</c:v>
                </c:pt>
                <c:pt idx="834">
                  <c:v>252120.0</c:v>
                </c:pt>
                <c:pt idx="835">
                  <c:v>265950.0</c:v>
                </c:pt>
                <c:pt idx="836">
                  <c:v>253800.0</c:v>
                </c:pt>
                <c:pt idx="837">
                  <c:v>184140.0</c:v>
                </c:pt>
                <c:pt idx="838">
                  <c:v>308880.0</c:v>
                </c:pt>
                <c:pt idx="839">
                  <c:v>264040.0</c:v>
                </c:pt>
                <c:pt idx="840">
                  <c:v>292040.0</c:v>
                </c:pt>
                <c:pt idx="841">
                  <c:v>365190.0</c:v>
                </c:pt>
                <c:pt idx="842">
                  <c:v>384480.0</c:v>
                </c:pt>
                <c:pt idx="843">
                  <c:v>331560.0</c:v>
                </c:pt>
                <c:pt idx="844">
                  <c:v>196350.0</c:v>
                </c:pt>
                <c:pt idx="845">
                  <c:v>327010.0</c:v>
                </c:pt>
                <c:pt idx="846">
                  <c:v>333700.0</c:v>
                </c:pt>
                <c:pt idx="847">
                  <c:v>322460.0000000001</c:v>
                </c:pt>
                <c:pt idx="848">
                  <c:v>203970.0</c:v>
                </c:pt>
                <c:pt idx="849">
                  <c:v>186550.0</c:v>
                </c:pt>
                <c:pt idx="850">
                  <c:v>215000.0</c:v>
                </c:pt>
                <c:pt idx="851">
                  <c:v>255020.0</c:v>
                </c:pt>
                <c:pt idx="852">
                  <c:v>312620.0</c:v>
                </c:pt>
                <c:pt idx="853">
                  <c:v>259760.0</c:v>
                </c:pt>
                <c:pt idx="854">
                  <c:v>348960.0</c:v>
                </c:pt>
                <c:pt idx="855">
                  <c:v>182700.0</c:v>
                </c:pt>
                <c:pt idx="856">
                  <c:v>251160.0</c:v>
                </c:pt>
                <c:pt idx="857">
                  <c:v>358530.0</c:v>
                </c:pt>
                <c:pt idx="858">
                  <c:v>266000.0</c:v>
                </c:pt>
                <c:pt idx="859">
                  <c:v>319060.0</c:v>
                </c:pt>
                <c:pt idx="860">
                  <c:v>213850.0</c:v>
                </c:pt>
                <c:pt idx="861">
                  <c:v>226320.0</c:v>
                </c:pt>
                <c:pt idx="862">
                  <c:v>239020.0</c:v>
                </c:pt>
                <c:pt idx="863">
                  <c:v>224890.0</c:v>
                </c:pt>
                <c:pt idx="864">
                  <c:v>211050.0</c:v>
                </c:pt>
                <c:pt idx="865">
                  <c:v>167310.0</c:v>
                </c:pt>
                <c:pt idx="866">
                  <c:v>240800.0</c:v>
                </c:pt>
                <c:pt idx="867">
                  <c:v>190400.0</c:v>
                </c:pt>
                <c:pt idx="868">
                  <c:v>232400.0</c:v>
                </c:pt>
                <c:pt idx="869">
                  <c:v>212760.0</c:v>
                </c:pt>
                <c:pt idx="870">
                  <c:v>240250.0</c:v>
                </c:pt>
                <c:pt idx="871">
                  <c:v>227850.0</c:v>
                </c:pt>
                <c:pt idx="872">
                  <c:v>32428</c:v>
                </c:pt>
                <c:pt idx="873">
                  <c:v>252000.0</c:v>
                </c:pt>
                <c:pt idx="874">
                  <c:v>252840.0</c:v>
                </c:pt>
                <c:pt idx="875">
                  <c:v>202200.0</c:v>
                </c:pt>
                <c:pt idx="876">
                  <c:v>207740.0</c:v>
                </c:pt>
                <c:pt idx="877">
                  <c:v>679830.0</c:v>
                </c:pt>
                <c:pt idx="878">
                  <c:v>173420.0</c:v>
                </c:pt>
                <c:pt idx="879">
                  <c:v>159000.0</c:v>
                </c:pt>
                <c:pt idx="880">
                  <c:v>253800.0</c:v>
                </c:pt>
                <c:pt idx="881">
                  <c:v>171180.0</c:v>
                </c:pt>
                <c:pt idx="882">
                  <c:v>116600.0</c:v>
                </c:pt>
                <c:pt idx="883">
                  <c:v>350840.0</c:v>
                </c:pt>
                <c:pt idx="884">
                  <c:v>127260.0</c:v>
                </c:pt>
                <c:pt idx="885">
                  <c:v>113050.0</c:v>
                </c:pt>
                <c:pt idx="886">
                  <c:v>127890.0</c:v>
                </c:pt>
                <c:pt idx="887">
                  <c:v>242550.0</c:v>
                </c:pt>
                <c:pt idx="888">
                  <c:v>179010.0</c:v>
                </c:pt>
                <c:pt idx="889">
                  <c:v>199680.0</c:v>
                </c:pt>
                <c:pt idx="890">
                  <c:v>154790.0</c:v>
                </c:pt>
                <c:pt idx="891">
                  <c:v>133000.0</c:v>
                </c:pt>
                <c:pt idx="892">
                  <c:v>186310.0</c:v>
                </c:pt>
                <c:pt idx="893">
                  <c:v>142800.0</c:v>
                </c:pt>
                <c:pt idx="894">
                  <c:v>227880.0</c:v>
                </c:pt>
                <c:pt idx="895">
                  <c:v>221430.0</c:v>
                </c:pt>
                <c:pt idx="896">
                  <c:v>152260.0</c:v>
                </c:pt>
                <c:pt idx="897">
                  <c:v>135080.0</c:v>
                </c:pt>
                <c:pt idx="898">
                  <c:v>122760.0</c:v>
                </c:pt>
                <c:pt idx="899">
                  <c:v>163750.0</c:v>
                </c:pt>
                <c:pt idx="900">
                  <c:v>190680.0</c:v>
                </c:pt>
                <c:pt idx="901">
                  <c:v>103870.0</c:v>
                </c:pt>
                <c:pt idx="902">
                  <c:v>144670.0</c:v>
                </c:pt>
                <c:pt idx="903">
                  <c:v>163280.0</c:v>
                </c:pt>
                <c:pt idx="904">
                  <c:v>117600.0</c:v>
                </c:pt>
                <c:pt idx="905">
                  <c:v>131120.0</c:v>
                </c:pt>
                <c:pt idx="906">
                  <c:v>103190.0</c:v>
                </c:pt>
                <c:pt idx="907">
                  <c:v>174900.0</c:v>
                </c:pt>
                <c:pt idx="908">
                  <c:v>121170.0</c:v>
                </c:pt>
                <c:pt idx="909">
                  <c:v>104720.0</c:v>
                </c:pt>
                <c:pt idx="910">
                  <c:v>141960.0</c:v>
                </c:pt>
                <c:pt idx="911">
                  <c:v>149730.0</c:v>
                </c:pt>
                <c:pt idx="912">
                  <c:v>204390.0</c:v>
                </c:pt>
                <c:pt idx="913">
                  <c:v>208170.0</c:v>
                </c:pt>
                <c:pt idx="914">
                  <c:v>188750.0</c:v>
                </c:pt>
                <c:pt idx="915">
                  <c:v>10621</c:v>
                </c:pt>
                <c:pt idx="916">
                  <c:v>90880.0</c:v>
                </c:pt>
                <c:pt idx="917">
                  <c:v>126200.0</c:v>
                </c:pt>
                <c:pt idx="918">
                  <c:v>106920.0</c:v>
                </c:pt>
                <c:pt idx="919">
                  <c:v>111060.0</c:v>
                </c:pt>
                <c:pt idx="920">
                  <c:v>117800.0</c:v>
                </c:pt>
                <c:pt idx="921">
                  <c:v>166880.0</c:v>
                </c:pt>
                <c:pt idx="922">
                  <c:v>270480.0</c:v>
                </c:pt>
                <c:pt idx="923">
                  <c:v>214700.0</c:v>
                </c:pt>
                <c:pt idx="924">
                  <c:v>161190.0</c:v>
                </c:pt>
                <c:pt idx="925">
                  <c:v>182790.0</c:v>
                </c:pt>
                <c:pt idx="926">
                  <c:v>201300.0</c:v>
                </c:pt>
                <c:pt idx="927">
                  <c:v>137940.0</c:v>
                </c:pt>
                <c:pt idx="928">
                  <c:v>232400.0</c:v>
                </c:pt>
                <c:pt idx="929">
                  <c:v>232960.0</c:v>
                </c:pt>
                <c:pt idx="930">
                  <c:v>232870.0</c:v>
                </c:pt>
                <c:pt idx="931">
                  <c:v>134900.0</c:v>
                </c:pt>
                <c:pt idx="932">
                  <c:v>120060.0</c:v>
                </c:pt>
                <c:pt idx="933">
                  <c:v>1.527E6</c:v>
                </c:pt>
                <c:pt idx="934">
                  <c:v>856900.0</c:v>
                </c:pt>
                <c:pt idx="935">
                  <c:v>323000.0</c:v>
                </c:pt>
                <c:pt idx="936">
                  <c:v>99960.0</c:v>
                </c:pt>
                <c:pt idx="937">
                  <c:v>129960.0</c:v>
                </c:pt>
                <c:pt idx="938">
                  <c:v>141450.0</c:v>
                </c:pt>
                <c:pt idx="939">
                  <c:v>202250.0</c:v>
                </c:pt>
                <c:pt idx="940">
                  <c:v>134140.0</c:v>
                </c:pt>
                <c:pt idx="941">
                  <c:v>112980.0</c:v>
                </c:pt>
                <c:pt idx="942">
                  <c:v>92540.0</c:v>
                </c:pt>
                <c:pt idx="943">
                  <c:v>129000.0</c:v>
                </c:pt>
                <c:pt idx="944">
                  <c:v>88800.0</c:v>
                </c:pt>
                <c:pt idx="945">
                  <c:v>75600.0</c:v>
                </c:pt>
                <c:pt idx="946">
                  <c:v>113560.0</c:v>
                </c:pt>
                <c:pt idx="947">
                  <c:v>79950.0</c:v>
                </c:pt>
                <c:pt idx="948">
                  <c:v>91140.0</c:v>
                </c:pt>
                <c:pt idx="949">
                  <c:v>143910.0</c:v>
                </c:pt>
                <c:pt idx="950">
                  <c:v>91460.0</c:v>
                </c:pt>
                <c:pt idx="951">
                  <c:v>88320.0</c:v>
                </c:pt>
                <c:pt idx="952">
                  <c:v>83020.0</c:v>
                </c:pt>
                <c:pt idx="953">
                  <c:v>89040.0</c:v>
                </c:pt>
                <c:pt idx="954">
                  <c:v>88660.0</c:v>
                </c:pt>
                <c:pt idx="955">
                  <c:v>76440.0</c:v>
                </c:pt>
                <c:pt idx="956">
                  <c:v>74060.0</c:v>
                </c:pt>
                <c:pt idx="957">
                  <c:v>118320.0</c:v>
                </c:pt>
                <c:pt idx="958">
                  <c:v>140030.0</c:v>
                </c:pt>
                <c:pt idx="959">
                  <c:v>190680.0</c:v>
                </c:pt>
                <c:pt idx="960">
                  <c:v>131940.0</c:v>
                </c:pt>
                <c:pt idx="961">
                  <c:v>168000.0</c:v>
                </c:pt>
                <c:pt idx="962">
                  <c:v>122940.0</c:v>
                </c:pt>
                <c:pt idx="963">
                  <c:v>138600.0</c:v>
                </c:pt>
                <c:pt idx="964">
                  <c:v>151200.0</c:v>
                </c:pt>
                <c:pt idx="965">
                  <c:v>175120.0</c:v>
                </c:pt>
                <c:pt idx="966">
                  <c:v>168520.0</c:v>
                </c:pt>
                <c:pt idx="967">
                  <c:v>113730.0</c:v>
                </c:pt>
                <c:pt idx="968">
                  <c:v>83550.0</c:v>
                </c:pt>
                <c:pt idx="969">
                  <c:v>97070.0</c:v>
                </c:pt>
                <c:pt idx="970">
                  <c:v>94080.0</c:v>
                </c:pt>
                <c:pt idx="971">
                  <c:v>93450.0</c:v>
                </c:pt>
                <c:pt idx="972">
                  <c:v>84000.0</c:v>
                </c:pt>
                <c:pt idx="973">
                  <c:v>89850.0</c:v>
                </c:pt>
                <c:pt idx="974">
                  <c:v>89460.0</c:v>
                </c:pt>
                <c:pt idx="975">
                  <c:v>155400.0</c:v>
                </c:pt>
                <c:pt idx="976">
                  <c:v>128400.0</c:v>
                </c:pt>
                <c:pt idx="977">
                  <c:v>239020.0</c:v>
                </c:pt>
                <c:pt idx="978">
                  <c:v>146880.0</c:v>
                </c:pt>
                <c:pt idx="979">
                  <c:v>154980.0</c:v>
                </c:pt>
                <c:pt idx="980">
                  <c:v>128200.0</c:v>
                </c:pt>
                <c:pt idx="981">
                  <c:v>188190.0</c:v>
                </c:pt>
                <c:pt idx="982">
                  <c:v>220980.0</c:v>
                </c:pt>
                <c:pt idx="983">
                  <c:v>201040.0</c:v>
                </c:pt>
                <c:pt idx="984">
                  <c:v>143370.0</c:v>
                </c:pt>
                <c:pt idx="985">
                  <c:v>227100.0</c:v>
                </c:pt>
                <c:pt idx="986">
                  <c:v>248320.0</c:v>
                </c:pt>
                <c:pt idx="987">
                  <c:v>236040.0</c:v>
                </c:pt>
                <c:pt idx="988">
                  <c:v>221400.0</c:v>
                </c:pt>
                <c:pt idx="989">
                  <c:v>123930.0</c:v>
                </c:pt>
                <c:pt idx="990">
                  <c:v>135000.0</c:v>
                </c:pt>
                <c:pt idx="991">
                  <c:v>112640.0</c:v>
                </c:pt>
                <c:pt idx="992">
                  <c:v>49544.0</c:v>
                </c:pt>
                <c:pt idx="993">
                  <c:v>276920.0</c:v>
                </c:pt>
                <c:pt idx="994">
                  <c:v>64300.0</c:v>
                </c:pt>
                <c:pt idx="995">
                  <c:v>111300.0</c:v>
                </c:pt>
                <c:pt idx="996">
                  <c:v>119200.0</c:v>
                </c:pt>
                <c:pt idx="997">
                  <c:v>52900.0</c:v>
                </c:pt>
                <c:pt idx="998">
                  <c:v>122220.0</c:v>
                </c:pt>
                <c:pt idx="999">
                  <c:v>59945.0</c:v>
                </c:pt>
                <c:pt idx="1000">
                  <c:v>50130.0</c:v>
                </c:pt>
                <c:pt idx="1001">
                  <c:v>71640.0</c:v>
                </c:pt>
                <c:pt idx="1002">
                  <c:v>56070.0</c:v>
                </c:pt>
                <c:pt idx="1003">
                  <c:v>59280.0</c:v>
                </c:pt>
                <c:pt idx="1004">
                  <c:v>33571.0</c:v>
                </c:pt>
                <c:pt idx="1005">
                  <c:v>72254.0</c:v>
                </c:pt>
                <c:pt idx="1006">
                  <c:v>20823.0</c:v>
                </c:pt>
                <c:pt idx="1007">
                  <c:v>36285.0</c:v>
                </c:pt>
                <c:pt idx="1008">
                  <c:v>52800.0</c:v>
                </c:pt>
                <c:pt idx="1009">
                  <c:v>37260.0</c:v>
                </c:pt>
                <c:pt idx="1010">
                  <c:v>43615.0</c:v>
                </c:pt>
                <c:pt idx="1011">
                  <c:v>66048.0</c:v>
                </c:pt>
                <c:pt idx="1012">
                  <c:v>59580.0</c:v>
                </c:pt>
                <c:pt idx="1013">
                  <c:v>25232.0</c:v>
                </c:pt>
                <c:pt idx="1014">
                  <c:v>13915.0</c:v>
                </c:pt>
                <c:pt idx="1015">
                  <c:v>16126.0</c:v>
                </c:pt>
                <c:pt idx="1016">
                  <c:v>18607.0</c:v>
                </c:pt>
                <c:pt idx="1017">
                  <c:v>13756.0</c:v>
                </c:pt>
                <c:pt idx="1018">
                  <c:v>7.12822176946473E6</c:v>
                </c:pt>
                <c:pt idx="1019">
                  <c:v>9.5498285138491E6</c:v>
                </c:pt>
                <c:pt idx="1020">
                  <c:v>3.13474964724063E6</c:v>
                </c:pt>
                <c:pt idx="1021">
                  <c:v>2.31046550617775E6</c:v>
                </c:pt>
                <c:pt idx="1022">
                  <c:v>2.18776925027786E6</c:v>
                </c:pt>
                <c:pt idx="1023">
                  <c:v>967573.202884704</c:v>
                </c:pt>
                <c:pt idx="1024">
                  <c:v>3.09450546457852E6</c:v>
                </c:pt>
                <c:pt idx="1025">
                  <c:v>1.1826002576973E7</c:v>
                </c:pt>
                <c:pt idx="1026">
                  <c:v>311223.2817201624</c:v>
                </c:pt>
                <c:pt idx="1027">
                  <c:v>272495.2649047161</c:v>
                </c:pt>
                <c:pt idx="1028">
                  <c:v>225926.1064803714</c:v>
                </c:pt>
                <c:pt idx="1029">
                  <c:v>346015.3701467705</c:v>
                </c:pt>
                <c:pt idx="1030">
                  <c:v>389005.82801177</c:v>
                </c:pt>
                <c:pt idx="1031">
                  <c:v>387619.8675256259</c:v>
                </c:pt>
                <c:pt idx="1032">
                  <c:v>287276.595591937</c:v>
                </c:pt>
                <c:pt idx="1033">
                  <c:v>262294.5385229368</c:v>
                </c:pt>
                <c:pt idx="1034">
                  <c:v>224140.2003752666</c:v>
                </c:pt>
                <c:pt idx="1035">
                  <c:v>222392.7881606607</c:v>
                </c:pt>
                <c:pt idx="1036">
                  <c:v>203931.4010074766</c:v>
                </c:pt>
                <c:pt idx="1037">
                  <c:v>203952.6792147518</c:v>
                </c:pt>
                <c:pt idx="1038">
                  <c:v>153587.0965693453</c:v>
                </c:pt>
                <c:pt idx="1039">
                  <c:v>105806.0473188737</c:v>
                </c:pt>
                <c:pt idx="1040">
                  <c:v>118958.4404744741</c:v>
                </c:pt>
                <c:pt idx="1041">
                  <c:v>156170.2959105494</c:v>
                </c:pt>
                <c:pt idx="1042">
                  <c:v>49784.25751866311</c:v>
                </c:pt>
                <c:pt idx="1043">
                  <c:v>65509.07226019118</c:v>
                </c:pt>
                <c:pt idx="1044">
                  <c:v>37764.77916362647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Plots!$C$14:$C$15</c:f>
              <c:numCache>
                <c:formatCode>0.00E+00</c:formatCode>
                <c:ptCount val="2"/>
                <c:pt idx="0" formatCode="General">
                  <c:v>1000.0</c:v>
                </c:pt>
                <c:pt idx="1">
                  <c:v>1.0E10</c:v>
                </c:pt>
              </c:numCache>
            </c:numRef>
          </c:xVal>
          <c:yVal>
            <c:numRef>
              <c:f>Plots!$C$14:$C$15</c:f>
              <c:numCache>
                <c:formatCode>0.00E+00</c:formatCode>
                <c:ptCount val="2"/>
                <c:pt idx="0" formatCode="General">
                  <c:v>1000.0</c:v>
                </c:pt>
                <c:pt idx="1">
                  <c:v>1.0E10</c:v>
                </c:pt>
              </c:numCache>
            </c:numRef>
          </c:yVal>
          <c:smooth val="0"/>
        </c:ser>
        <c:ser>
          <c:idx val="2"/>
          <c:order val="2"/>
          <c:spPr>
            <a:ln w="47625">
              <a:noFill/>
            </a:ln>
            <a:effectLst/>
          </c:spPr>
          <c:marker>
            <c:symbol val="square"/>
            <c:size val="3"/>
            <c:spPr>
              <a:effectLst/>
            </c:spPr>
          </c:marker>
          <c:xVal>
            <c:numRef>
              <c:f>Plots!$D$50:$D$131</c:f>
              <c:numCache>
                <c:formatCode>0.00E+00</c:formatCode>
                <c:ptCount val="82"/>
                <c:pt idx="0">
                  <c:v>1.04838803003316E8</c:v>
                </c:pt>
                <c:pt idx="1">
                  <c:v>7.76280493205146E6</c:v>
                </c:pt>
                <c:pt idx="2">
                  <c:v>3.46007222916522E6</c:v>
                </c:pt>
                <c:pt idx="3">
                  <c:v>8.14067958394425E6</c:v>
                </c:pt>
                <c:pt idx="4">
                  <c:v>6.08126273112837E6</c:v>
                </c:pt>
                <c:pt idx="5">
                  <c:v>1.94615384615385E8</c:v>
                </c:pt>
                <c:pt idx="6">
                  <c:v>1.36923076923077E8</c:v>
                </c:pt>
                <c:pt idx="7">
                  <c:v>1.7E8</c:v>
                </c:pt>
                <c:pt idx="8">
                  <c:v>2.14615384615385E8</c:v>
                </c:pt>
                <c:pt idx="9">
                  <c:v>1.82E8</c:v>
                </c:pt>
                <c:pt idx="10">
                  <c:v>1.82E8</c:v>
                </c:pt>
                <c:pt idx="11">
                  <c:v>1.001E8</c:v>
                </c:pt>
                <c:pt idx="12">
                  <c:v>1.144E8</c:v>
                </c:pt>
                <c:pt idx="13">
                  <c:v>2.47E8</c:v>
                </c:pt>
                <c:pt idx="14">
                  <c:v>1.3E8</c:v>
                </c:pt>
                <c:pt idx="15">
                  <c:v>5.356E8</c:v>
                </c:pt>
                <c:pt idx="16">
                  <c:v>5.421E8</c:v>
                </c:pt>
                <c:pt idx="17">
                  <c:v>3.679E8</c:v>
                </c:pt>
                <c:pt idx="18">
                  <c:v>1.98739726027397E9</c:v>
                </c:pt>
                <c:pt idx="19">
                  <c:v>2.03013698630137E9</c:v>
                </c:pt>
                <c:pt idx="20">
                  <c:v>1.92328767123288E9</c:v>
                </c:pt>
                <c:pt idx="21">
                  <c:v>1.98739726027397E9</c:v>
                </c:pt>
                <c:pt idx="22">
                  <c:v>1.5386301369863E9</c:v>
                </c:pt>
                <c:pt idx="23">
                  <c:v>1.06849315068493E9</c:v>
                </c:pt>
                <c:pt idx="24">
                  <c:v>1.13260273972603E9</c:v>
                </c:pt>
                <c:pt idx="25">
                  <c:v>6.3041095890411E8</c:v>
                </c:pt>
                <c:pt idx="26">
                  <c:v>1.6027397260274E8</c:v>
                </c:pt>
                <c:pt idx="27">
                  <c:v>1.81643835616438E8</c:v>
                </c:pt>
                <c:pt idx="28">
                  <c:v>2.13698630136986E8</c:v>
                </c:pt>
                <c:pt idx="29">
                  <c:v>2.45753424657534E8</c:v>
                </c:pt>
                <c:pt idx="30">
                  <c:v>2.45753424657534E8</c:v>
                </c:pt>
                <c:pt idx="31">
                  <c:v>1.92328767123288E8</c:v>
                </c:pt>
                <c:pt idx="32">
                  <c:v>1.81643835616438E8</c:v>
                </c:pt>
                <c:pt idx="33">
                  <c:v>2.13698630136986E8</c:v>
                </c:pt>
                <c:pt idx="34">
                  <c:v>2.13698630136986E7</c:v>
                </c:pt>
                <c:pt idx="35">
                  <c:v>2.56438356164384E8</c:v>
                </c:pt>
                <c:pt idx="36">
                  <c:v>2.13698630136986E7</c:v>
                </c:pt>
                <c:pt idx="37">
                  <c:v>3.71428571428571E8</c:v>
                </c:pt>
                <c:pt idx="38">
                  <c:v>4.64285714285714E8</c:v>
                </c:pt>
                <c:pt idx="39">
                  <c:v>4.92142857142857E8</c:v>
                </c:pt>
                <c:pt idx="40">
                  <c:v>4.17857142857143E8</c:v>
                </c:pt>
                <c:pt idx="41">
                  <c:v>6.03571428571429E8</c:v>
                </c:pt>
                <c:pt idx="42">
                  <c:v>7.22222222222222E8</c:v>
                </c:pt>
                <c:pt idx="43">
                  <c:v>9.05185185185185E8</c:v>
                </c:pt>
                <c:pt idx="44">
                  <c:v>8.66666666666667E8</c:v>
                </c:pt>
                <c:pt idx="45">
                  <c:v>9.14814814814815E8</c:v>
                </c:pt>
                <c:pt idx="46">
                  <c:v>3.46666666666667E8</c:v>
                </c:pt>
                <c:pt idx="47">
                  <c:v>4.42962962962963E8</c:v>
                </c:pt>
                <c:pt idx="48">
                  <c:v>2.31111111111111E8</c:v>
                </c:pt>
                <c:pt idx="49">
                  <c:v>2.6962962962963E8</c:v>
                </c:pt>
                <c:pt idx="50">
                  <c:v>9.53333333333333E8</c:v>
                </c:pt>
                <c:pt idx="51">
                  <c:v>3.27407407407407E8</c:v>
                </c:pt>
                <c:pt idx="52">
                  <c:v>3.778125E8</c:v>
                </c:pt>
                <c:pt idx="53">
                  <c:v>6.3375E8</c:v>
                </c:pt>
                <c:pt idx="54">
                  <c:v>3.9E8</c:v>
                </c:pt>
                <c:pt idx="55">
                  <c:v>6.2765625E8</c:v>
                </c:pt>
                <c:pt idx="56">
                  <c:v>3.534375E8</c:v>
                </c:pt>
                <c:pt idx="57">
                  <c:v>3.44E9</c:v>
                </c:pt>
                <c:pt idx="58">
                  <c:v>1.98E9</c:v>
                </c:pt>
                <c:pt idx="59">
                  <c:v>0.0</c:v>
                </c:pt>
                <c:pt idx="60">
                  <c:v>0.0</c:v>
                </c:pt>
                <c:pt idx="61">
                  <c:v>1.09E9</c:v>
                </c:pt>
                <c:pt idx="62">
                  <c:v>1.75E9</c:v>
                </c:pt>
                <c:pt idx="63">
                  <c:v>1.22E9</c:v>
                </c:pt>
                <c:pt idx="64">
                  <c:v>1.27E9</c:v>
                </c:pt>
                <c:pt idx="65">
                  <c:v>1.05E9</c:v>
                </c:pt>
                <c:pt idx="66">
                  <c:v>0.0</c:v>
                </c:pt>
                <c:pt idx="67">
                  <c:v>1.02E9</c:v>
                </c:pt>
                <c:pt idx="68">
                  <c:v>1.46E9</c:v>
                </c:pt>
                <c:pt idx="69">
                  <c:v>1.58E9</c:v>
                </c:pt>
                <c:pt idx="70">
                  <c:v>1.32E9</c:v>
                </c:pt>
                <c:pt idx="71">
                  <c:v>8.72E8</c:v>
                </c:pt>
                <c:pt idx="72">
                  <c:v>1.14E9</c:v>
                </c:pt>
                <c:pt idx="73">
                  <c:v>9.39E8</c:v>
                </c:pt>
                <c:pt idx="74">
                  <c:v>1.07E9</c:v>
                </c:pt>
                <c:pt idx="75">
                  <c:v>5.87E8</c:v>
                </c:pt>
                <c:pt idx="76">
                  <c:v>0.0</c:v>
                </c:pt>
                <c:pt idx="77">
                  <c:v>6.2E8</c:v>
                </c:pt>
                <c:pt idx="78">
                  <c:v>5.45E8</c:v>
                </c:pt>
                <c:pt idx="79">
                  <c:v>4.36E8</c:v>
                </c:pt>
                <c:pt idx="80">
                  <c:v>1.59E8</c:v>
                </c:pt>
                <c:pt idx="81">
                  <c:v>1.76E8</c:v>
                </c:pt>
              </c:numCache>
            </c:numRef>
          </c:xVal>
          <c:yVal>
            <c:numRef>
              <c:f>Plots!$E$50:$E$131</c:f>
              <c:numCache>
                <c:formatCode>0.00E+00</c:formatCode>
                <c:ptCount val="82"/>
                <c:pt idx="0">
                  <c:v>7.89903684412323E7</c:v>
                </c:pt>
                <c:pt idx="1">
                  <c:v>6.50243805005932E6</c:v>
                </c:pt>
                <c:pt idx="2">
                  <c:v>3.29389610612295E6</c:v>
                </c:pt>
                <c:pt idx="3">
                  <c:v>6.8876371216812E6</c:v>
                </c:pt>
                <c:pt idx="4">
                  <c:v>4.9012288933058E6</c:v>
                </c:pt>
                <c:pt idx="5">
                  <c:v>1.38461538461538E8</c:v>
                </c:pt>
                <c:pt idx="6">
                  <c:v>1.17230769230769E8</c:v>
                </c:pt>
                <c:pt idx="7">
                  <c:v>1.27923076923077E8</c:v>
                </c:pt>
                <c:pt idx="8">
                  <c:v>1.73153846153846E8</c:v>
                </c:pt>
                <c:pt idx="9">
                  <c:v>1.94071428571429E8</c:v>
                </c:pt>
                <c:pt idx="10">
                  <c:v>1.97785714285714E8</c:v>
                </c:pt>
                <c:pt idx="11">
                  <c:v>1.1169387755102E8</c:v>
                </c:pt>
                <c:pt idx="12">
                  <c:v>1.248E8</c:v>
                </c:pt>
                <c:pt idx="13">
                  <c:v>2.64642857142857E8</c:v>
                </c:pt>
                <c:pt idx="14">
                  <c:v>1.4359693877551E8</c:v>
                </c:pt>
                <c:pt idx="15">
                  <c:v>5.63616326530612E8</c:v>
                </c:pt>
                <c:pt idx="16">
                  <c:v>5.71827551020408E8</c:v>
                </c:pt>
                <c:pt idx="17">
                  <c:v>3.89588775510204E8</c:v>
                </c:pt>
                <c:pt idx="19">
                  <c:v>1.26082191780822E9</c:v>
                </c:pt>
                <c:pt idx="20">
                  <c:v>1.29287671232877E9</c:v>
                </c:pt>
                <c:pt idx="21">
                  <c:v>1.45315068493151E9</c:v>
                </c:pt>
                <c:pt idx="22">
                  <c:v>1.6027397260274E9</c:v>
                </c:pt>
                <c:pt idx="23">
                  <c:v>1.30356164383562E9</c:v>
                </c:pt>
                <c:pt idx="24">
                  <c:v>1.00438356164384E9</c:v>
                </c:pt>
                <c:pt idx="25">
                  <c:v>5.66301369863014E8</c:v>
                </c:pt>
                <c:pt idx="26">
                  <c:v>1.4958904109589E8</c:v>
                </c:pt>
                <c:pt idx="27">
                  <c:v>1.6027397260274E8</c:v>
                </c:pt>
                <c:pt idx="28">
                  <c:v>1.81643835616438E8</c:v>
                </c:pt>
                <c:pt idx="29">
                  <c:v>1.92328767123288E8</c:v>
                </c:pt>
                <c:pt idx="30">
                  <c:v>1.92328767123288E8</c:v>
                </c:pt>
                <c:pt idx="31">
                  <c:v>1.4958904109589E8</c:v>
                </c:pt>
                <c:pt idx="32">
                  <c:v>1.4958904109589E8</c:v>
                </c:pt>
                <c:pt idx="33">
                  <c:v>1.70958904109589E8</c:v>
                </c:pt>
                <c:pt idx="35">
                  <c:v>1.06849315068493E8</c:v>
                </c:pt>
                <c:pt idx="37">
                  <c:v>3.15714285714286E8</c:v>
                </c:pt>
                <c:pt idx="38">
                  <c:v>3.9E8</c:v>
                </c:pt>
                <c:pt idx="39">
                  <c:v>4.17857142857143E8</c:v>
                </c:pt>
                <c:pt idx="40">
                  <c:v>3.62142857142857E8</c:v>
                </c:pt>
                <c:pt idx="41">
                  <c:v>5.10714285714286E8</c:v>
                </c:pt>
                <c:pt idx="42">
                  <c:v>5.58518518518518E8</c:v>
                </c:pt>
                <c:pt idx="43">
                  <c:v>7.02962962962963E8</c:v>
                </c:pt>
                <c:pt idx="44">
                  <c:v>6.93333333333333E8</c:v>
                </c:pt>
                <c:pt idx="45">
                  <c:v>7.31851851851852E8</c:v>
                </c:pt>
                <c:pt idx="46">
                  <c:v>2.88888888888889E8</c:v>
                </c:pt>
                <c:pt idx="47">
                  <c:v>3.08148148148148E8</c:v>
                </c:pt>
                <c:pt idx="48">
                  <c:v>1.92592592592593E8</c:v>
                </c:pt>
                <c:pt idx="49">
                  <c:v>2.11851851851852E8</c:v>
                </c:pt>
                <c:pt idx="50">
                  <c:v>7.7037037037037E8</c:v>
                </c:pt>
                <c:pt idx="52">
                  <c:v>3.2296875E8</c:v>
                </c:pt>
                <c:pt idx="53">
                  <c:v>5.60625E8</c:v>
                </c:pt>
                <c:pt idx="54">
                  <c:v>3.290625E8</c:v>
                </c:pt>
                <c:pt idx="55">
                  <c:v>5.3015625E8</c:v>
                </c:pt>
                <c:pt idx="56">
                  <c:v>2.559375E8</c:v>
                </c:pt>
                <c:pt idx="57">
                  <c:v>3.2E9</c:v>
                </c:pt>
                <c:pt idx="58">
                  <c:v>1.054E9</c:v>
                </c:pt>
                <c:pt idx="59">
                  <c:v>0.0</c:v>
                </c:pt>
                <c:pt idx="60">
                  <c:v>0.0</c:v>
                </c:pt>
                <c:pt idx="61">
                  <c:v>5.12E8</c:v>
                </c:pt>
                <c:pt idx="62">
                  <c:v>9.16E8</c:v>
                </c:pt>
                <c:pt idx="63">
                  <c:v>5.93E8</c:v>
                </c:pt>
                <c:pt idx="64">
                  <c:v>6.19E8</c:v>
                </c:pt>
                <c:pt idx="65">
                  <c:v>4.86E8</c:v>
                </c:pt>
                <c:pt idx="66">
                  <c:v>0.0</c:v>
                </c:pt>
                <c:pt idx="67">
                  <c:v>4.7E8</c:v>
                </c:pt>
                <c:pt idx="68">
                  <c:v>7.37E8</c:v>
                </c:pt>
                <c:pt idx="69">
                  <c:v>8.14E8</c:v>
                </c:pt>
                <c:pt idx="70">
                  <c:v>6.54E8</c:v>
                </c:pt>
                <c:pt idx="71">
                  <c:v>3.79E8</c:v>
                </c:pt>
                <c:pt idx="72">
                  <c:v>5.42E8</c:v>
                </c:pt>
                <c:pt idx="73">
                  <c:v>4.2E8</c:v>
                </c:pt>
                <c:pt idx="74">
                  <c:v>5.01E8</c:v>
                </c:pt>
                <c:pt idx="75">
                  <c:v>2.051E8</c:v>
                </c:pt>
                <c:pt idx="76">
                  <c:v>0.0</c:v>
                </c:pt>
                <c:pt idx="77">
                  <c:v>2.247E8</c:v>
                </c:pt>
                <c:pt idx="78">
                  <c:v>1.786E8</c:v>
                </c:pt>
                <c:pt idx="79">
                  <c:v>1.125E8</c:v>
                </c:pt>
                <c:pt idx="80">
                  <c:v>5.621E7</c:v>
                </c:pt>
                <c:pt idx="81">
                  <c:v>5.621E7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963768"/>
        <c:axId val="518968904"/>
      </c:scatterChart>
      <c:valAx>
        <c:axId val="518963768"/>
        <c:scaling>
          <c:logBase val="10.0"/>
          <c:orientation val="minMax"/>
          <c:max val="1.0E10"/>
          <c:min val="1000.0"/>
        </c:scaling>
        <c:delete val="0"/>
        <c:axPos val="b"/>
        <c:numFmt formatCode="0.00E+00" sourceLinked="1"/>
        <c:majorTickMark val="out"/>
        <c:minorTickMark val="none"/>
        <c:tickLblPos val="nextTo"/>
        <c:crossAx val="518968904"/>
        <c:crosses val="autoZero"/>
        <c:crossBetween val="midCat"/>
      </c:valAx>
      <c:valAx>
        <c:axId val="518968904"/>
        <c:scaling>
          <c:logBase val="10.0"/>
          <c:orientation val="minMax"/>
          <c:min val="1000.0"/>
        </c:scaling>
        <c:delete val="0"/>
        <c:axPos val="l"/>
        <c:numFmt formatCode="0.00E+00" sourceLinked="1"/>
        <c:majorTickMark val="out"/>
        <c:minorTickMark val="none"/>
        <c:tickLblPos val="nextTo"/>
        <c:crossAx val="518963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0"/>
            <c:dispEq val="1"/>
            <c:trendlineLbl>
              <c:layout>
                <c:manualLayout>
                  <c:x val="-0.0444265091863517"/>
                  <c:y val="0.0046296296296296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</a:t>
                    </a:r>
                    <a:r>
                      <a:rPr lang="en-US" sz="2000" baseline="0"/>
                      <a:t>= 0.4787e</a:t>
                    </a:r>
                    <a:r>
                      <a:rPr lang="en-US" sz="2000" baseline="30000"/>
                      <a:t>0.7412x</a:t>
                    </a:r>
                    <a:endParaRPr lang="en-US" sz="2000"/>
                  </a:p>
                </c:rich>
              </c:tx>
              <c:numFmt formatCode="General" sourceLinked="0"/>
            </c:trendlineLbl>
          </c:trendline>
          <c:xVal>
            <c:numRef>
              <c:f>'EXD Church 2003'!$G$115:$G$119</c:f>
              <c:numCache>
                <c:formatCode>General</c:formatCode>
                <c:ptCount val="5"/>
                <c:pt idx="0">
                  <c:v>1.0</c:v>
                </c:pt>
                <c:pt idx="1">
                  <c:v>4.1</c:v>
                </c:pt>
                <c:pt idx="2">
                  <c:v>7.2</c:v>
                </c:pt>
                <c:pt idx="3">
                  <c:v>10.3</c:v>
                </c:pt>
                <c:pt idx="4">
                  <c:v>12.5</c:v>
                </c:pt>
              </c:numCache>
            </c:numRef>
          </c:xVal>
          <c:yVal>
            <c:numRef>
              <c:f>'EXD Church 2003'!$H$115:$H$119</c:f>
              <c:numCache>
                <c:formatCode>General</c:formatCode>
                <c:ptCount val="5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5000.0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85096"/>
        <c:axId val="587292856"/>
      </c:scatterChart>
      <c:valAx>
        <c:axId val="587385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7292856"/>
        <c:crosses val="autoZero"/>
        <c:crossBetween val="midCat"/>
      </c:valAx>
      <c:valAx>
        <c:axId val="587292856"/>
        <c:scaling>
          <c:logBase val="10.0"/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87385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0"/>
            <c:dispEq val="1"/>
            <c:trendlineLbl>
              <c:layout>
                <c:manualLayout>
                  <c:x val="0.0634033245844269"/>
                  <c:y val="0.543506488772237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</a:t>
                    </a:r>
                    <a:r>
                      <a:rPr lang="en-US" sz="2000" baseline="0"/>
                      <a:t>= 11.006e</a:t>
                    </a:r>
                    <a:r>
                      <a:rPr lang="en-US" sz="2000" baseline="30000"/>
                      <a:t>1.8713x</a:t>
                    </a:r>
                    <a:endParaRPr lang="en-US" sz="2000"/>
                  </a:p>
                </c:rich>
              </c:tx>
              <c:numFmt formatCode="General" sourceLinked="0"/>
            </c:trendlineLbl>
          </c:trendline>
          <c:xVal>
            <c:numRef>
              <c:f>'EXD Church 2003'!$J$115:$J$118</c:f>
              <c:numCache>
                <c:formatCode>General</c:formatCode>
                <c:ptCount val="4"/>
                <c:pt idx="0">
                  <c:v>1.2</c:v>
                </c:pt>
                <c:pt idx="1">
                  <c:v>2.4</c:v>
                </c:pt>
                <c:pt idx="2">
                  <c:v>3.6</c:v>
                </c:pt>
                <c:pt idx="3">
                  <c:v>4.9</c:v>
                </c:pt>
              </c:numCache>
            </c:numRef>
          </c:xVal>
          <c:yVal>
            <c:numRef>
              <c:f>'EXD Church 2003'!$K$115:$K$118</c:f>
              <c:numCache>
                <c:formatCode>0.00E+00</c:formatCode>
                <c:ptCount val="4"/>
                <c:pt idx="0">
                  <c:v>100.0</c:v>
                </c:pt>
                <c:pt idx="1">
                  <c:v>1000.0</c:v>
                </c:pt>
                <c:pt idx="2">
                  <c:v>10000.0</c:v>
                </c:pt>
                <c:pt idx="3">
                  <c:v>100000.0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978008"/>
        <c:axId val="475981240"/>
      </c:scatterChart>
      <c:valAx>
        <c:axId val="475978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5981240"/>
        <c:crosses val="autoZero"/>
        <c:crossBetween val="midCat"/>
      </c:valAx>
      <c:valAx>
        <c:axId val="475981240"/>
        <c:scaling>
          <c:logBase val="10.0"/>
          <c:orientation val="minMax"/>
        </c:scaling>
        <c:delete val="0"/>
        <c:axPos val="l"/>
        <c:numFmt formatCode="0.00E+00" sourceLinked="1"/>
        <c:majorTickMark val="out"/>
        <c:minorTickMark val="none"/>
        <c:tickLblPos val="nextTo"/>
        <c:crossAx val="475978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0"/>
            <c:dispEq val="1"/>
            <c:trendlineLbl>
              <c:layout>
                <c:manualLayout>
                  <c:x val="-0.150538276465442"/>
                  <c:y val="-0.0185185185185185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2000" baseline="0"/>
                      <a:t>y = 0.4632e</a:t>
                    </a:r>
                    <a:r>
                      <a:rPr lang="en-US" sz="2000" baseline="30000"/>
                      <a:t>0.7513x</a:t>
                    </a:r>
                    <a:endParaRPr lang="en-US" sz="2000"/>
                  </a:p>
                </c:rich>
              </c:tx>
              <c:numFmt formatCode="General" sourceLinked="0"/>
            </c:trendlineLbl>
          </c:trendline>
          <c:xVal>
            <c:numRef>
              <c:f>'EXD Church 2003'!$O$115:$O$119</c:f>
              <c:numCache>
                <c:formatCode>General</c:formatCode>
                <c:ptCount val="5"/>
                <c:pt idx="0">
                  <c:v>1.0</c:v>
                </c:pt>
                <c:pt idx="1">
                  <c:v>4.1</c:v>
                </c:pt>
                <c:pt idx="2">
                  <c:v>7.2</c:v>
                </c:pt>
                <c:pt idx="3">
                  <c:v>10.2</c:v>
                </c:pt>
                <c:pt idx="4">
                  <c:v>12.35</c:v>
                </c:pt>
              </c:numCache>
            </c:numRef>
          </c:xVal>
          <c:yVal>
            <c:numRef>
              <c:f>'EXD Church 2003'!$P$115:$P$119</c:f>
              <c:numCache>
                <c:formatCode>General</c:formatCode>
                <c:ptCount val="5"/>
                <c:pt idx="0" formatCode="0.00E+0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5000.0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100760"/>
        <c:axId val="606103752"/>
      </c:scatterChart>
      <c:valAx>
        <c:axId val="606100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6103752"/>
        <c:crosses val="autoZero"/>
        <c:crossBetween val="midCat"/>
      </c:valAx>
      <c:valAx>
        <c:axId val="606103752"/>
        <c:scaling>
          <c:logBase val="10.0"/>
          <c:orientation val="minMax"/>
        </c:scaling>
        <c:delete val="0"/>
        <c:axPos val="l"/>
        <c:numFmt formatCode="0.00E+00" sourceLinked="1"/>
        <c:majorTickMark val="out"/>
        <c:minorTickMark val="none"/>
        <c:tickLblPos val="nextTo"/>
        <c:crossAx val="6061007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35027439752"/>
          <c:y val="0.0562030882503324"/>
          <c:w val="0.515573848723455"/>
          <c:h val="0.84415584415584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0"/>
            <c:dispEq val="1"/>
            <c:trendlineLbl>
              <c:layout>
                <c:manualLayout>
                  <c:x val="0.0137597232164161"/>
                  <c:y val="-0.0649350649350649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2000" baseline="0"/>
                      <a:t>y = 0.4867e</a:t>
                    </a:r>
                    <a:r>
                      <a:rPr lang="en-US" sz="2000" baseline="30000"/>
                      <a:t>0.6934x</a:t>
                    </a:r>
                    <a:endParaRPr lang="en-US" sz="2000"/>
                  </a:p>
                </c:rich>
              </c:tx>
              <c:numFmt formatCode="General" sourceLinked="0"/>
            </c:trendlineLbl>
          </c:trendline>
          <c:xVal>
            <c:numRef>
              <c:f>'EXD Church 2003'!$AB$8:$AB$12</c:f>
              <c:numCache>
                <c:formatCode>General</c:formatCode>
                <c:ptCount val="5"/>
                <c:pt idx="0">
                  <c:v>1.0</c:v>
                </c:pt>
                <c:pt idx="1">
                  <c:v>4.4</c:v>
                </c:pt>
                <c:pt idx="2">
                  <c:v>7.7</c:v>
                </c:pt>
                <c:pt idx="3">
                  <c:v>11.0</c:v>
                </c:pt>
                <c:pt idx="4">
                  <c:v>13.3</c:v>
                </c:pt>
              </c:numCache>
            </c:numRef>
          </c:xVal>
          <c:yVal>
            <c:numRef>
              <c:f>'EXD Church 2003'!$AC$8:$AC$12</c:f>
              <c:numCache>
                <c:formatCode>General</c:formatCode>
                <c:ptCount val="5"/>
                <c:pt idx="0">
                  <c:v>1.0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  <c:pt idx="4">
                  <c:v>5000.0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132824"/>
        <c:axId val="606135816"/>
      </c:scatterChart>
      <c:valAx>
        <c:axId val="606132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6135816"/>
        <c:crosses val="autoZero"/>
        <c:crossBetween val="midCat"/>
      </c:valAx>
      <c:valAx>
        <c:axId val="606135816"/>
        <c:scaling>
          <c:logBase val="10.0"/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06132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0"/>
            <c:dispEq val="1"/>
            <c:trendlineLbl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2000" baseline="0"/>
                      <a:t>y = 1085.6e</a:t>
                    </a:r>
                    <a:r>
                      <a:rPr lang="en-US" sz="2000" baseline="30000"/>
                      <a:t>1.228x</a:t>
                    </a:r>
                    <a:endParaRPr lang="en-US" sz="2000"/>
                  </a:p>
                </c:rich>
              </c:tx>
              <c:numFmt formatCode="General" sourceLinked="0"/>
            </c:trendlineLbl>
          </c:trendline>
          <c:xVal>
            <c:numRef>
              <c:f>'EXD Church 2003'!$AB$24:$AB$26</c:f>
              <c:numCache>
                <c:formatCode>General</c:formatCode>
                <c:ptCount val="3"/>
                <c:pt idx="0">
                  <c:v>1.8</c:v>
                </c:pt>
                <c:pt idx="1">
                  <c:v>3.7</c:v>
                </c:pt>
                <c:pt idx="2">
                  <c:v>5.55</c:v>
                </c:pt>
              </c:numCache>
            </c:numRef>
          </c:xVal>
          <c:yVal>
            <c:numRef>
              <c:f>'EXD Church 2003'!$AC$24:$AC$26</c:f>
              <c:numCache>
                <c:formatCode>0.00E+00</c:formatCode>
                <c:ptCount val="3"/>
                <c:pt idx="0">
                  <c:v>10000.0</c:v>
                </c:pt>
                <c:pt idx="1">
                  <c:v>100000.0</c:v>
                </c:pt>
                <c:pt idx="2">
                  <c:v>1.0E6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164904"/>
        <c:axId val="606167896"/>
      </c:scatterChart>
      <c:valAx>
        <c:axId val="606164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6167896"/>
        <c:crosses val="autoZero"/>
        <c:crossBetween val="midCat"/>
      </c:valAx>
      <c:valAx>
        <c:axId val="606167896"/>
        <c:scaling>
          <c:logBase val="10.0"/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606164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0"/>
            <c:dispEq val="1"/>
            <c:trendlineLbl>
              <c:layout>
                <c:manualLayout>
                  <c:x val="-0.227024059492563"/>
                  <c:y val="0.61111111111111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2000" baseline="0"/>
                      <a:t>y = 0.514e</a:t>
                    </a:r>
                    <a:r>
                      <a:rPr lang="en-US" sz="2000" baseline="30000"/>
                      <a:t>0.8743x</a:t>
                    </a:r>
                    <a:endParaRPr lang="en-US" sz="2000"/>
                  </a:p>
                </c:rich>
              </c:tx>
              <c:numFmt formatCode="General" sourceLinked="0"/>
            </c:trendlineLbl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196568"/>
        <c:axId val="606199560"/>
      </c:scatterChart>
      <c:valAx>
        <c:axId val="606196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6199560"/>
        <c:crosses val="autoZero"/>
        <c:crossBetween val="midCat"/>
      </c:valAx>
      <c:valAx>
        <c:axId val="606199560"/>
        <c:scaling>
          <c:logBase val="10.0"/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06196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61</xdr:row>
      <xdr:rowOff>0</xdr:rowOff>
    </xdr:from>
    <xdr:to>
      <xdr:col>16</xdr:col>
      <xdr:colOff>38100</xdr:colOff>
      <xdr:row>103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120</xdr:row>
      <xdr:rowOff>38100</xdr:rowOff>
    </xdr:from>
    <xdr:to>
      <xdr:col>10</xdr:col>
      <xdr:colOff>762000</xdr:colOff>
      <xdr:row>136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128</xdr:row>
      <xdr:rowOff>88900</xdr:rowOff>
    </xdr:from>
    <xdr:to>
      <xdr:col>11</xdr:col>
      <xdr:colOff>762000</xdr:colOff>
      <xdr:row>145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88900</xdr:colOff>
      <xdr:row>120</xdr:row>
      <xdr:rowOff>76200</xdr:rowOff>
    </xdr:from>
    <xdr:to>
      <xdr:col>17</xdr:col>
      <xdr:colOff>850900</xdr:colOff>
      <xdr:row>137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177800</xdr:colOff>
      <xdr:row>15</xdr:row>
      <xdr:rowOff>0</xdr:rowOff>
    </xdr:from>
    <xdr:to>
      <xdr:col>35</xdr:col>
      <xdr:colOff>558800</xdr:colOff>
      <xdr:row>25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292100</xdr:colOff>
      <xdr:row>13</xdr:row>
      <xdr:rowOff>0</xdr:rowOff>
    </xdr:from>
    <xdr:to>
      <xdr:col>35</xdr:col>
      <xdr:colOff>101600</xdr:colOff>
      <xdr:row>23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215900</xdr:colOff>
      <xdr:row>108</xdr:row>
      <xdr:rowOff>50800</xdr:rowOff>
    </xdr:from>
    <xdr:to>
      <xdr:col>5</xdr:col>
      <xdr:colOff>25400</xdr:colOff>
      <xdr:row>124</xdr:row>
      <xdr:rowOff>152400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selection activeCell="E24" sqref="E24"/>
    </sheetView>
  </sheetViews>
  <sheetFormatPr baseColWidth="10" defaultRowHeight="13" x14ac:dyDescent="0"/>
  <sheetData>
    <row r="1" spans="1:16">
      <c r="A1" t="s">
        <v>862</v>
      </c>
    </row>
    <row r="2" spans="1:16" ht="19">
      <c r="A2" t="s">
        <v>642</v>
      </c>
      <c r="G2" s="27" t="s">
        <v>574</v>
      </c>
      <c r="H2" s="27"/>
      <c r="I2" s="27"/>
      <c r="J2" s="27"/>
      <c r="K2" s="27"/>
      <c r="L2" s="27"/>
      <c r="M2" s="27"/>
      <c r="N2" s="27"/>
      <c r="O2" s="9"/>
      <c r="P2" s="9"/>
    </row>
    <row r="3" spans="1:16">
      <c r="D3" t="s">
        <v>572</v>
      </c>
    </row>
    <row r="4" spans="1:16">
      <c r="A4" t="s">
        <v>488</v>
      </c>
      <c r="D4" t="s">
        <v>575</v>
      </c>
      <c r="K4" t="s">
        <v>576</v>
      </c>
    </row>
    <row r="5" spans="1:16">
      <c r="A5" t="s">
        <v>770</v>
      </c>
      <c r="C5" t="s">
        <v>684</v>
      </c>
      <c r="D5" t="s">
        <v>840</v>
      </c>
      <c r="F5" t="s">
        <v>564</v>
      </c>
      <c r="G5" t="s">
        <v>841</v>
      </c>
      <c r="H5" t="s">
        <v>844</v>
      </c>
      <c r="I5" t="s">
        <v>842</v>
      </c>
      <c r="J5" t="s">
        <v>690</v>
      </c>
      <c r="K5" t="s">
        <v>843</v>
      </c>
    </row>
    <row r="6" spans="1:16">
      <c r="A6">
        <v>0.1</v>
      </c>
      <c r="B6">
        <f t="shared" ref="B6:B15" si="0">(2500*A6)/7.4</f>
        <v>33.783783783783782</v>
      </c>
      <c r="C6">
        <v>3.85</v>
      </c>
      <c r="D6">
        <f>(100*C6)/4.35</f>
        <v>88.505747126436788</v>
      </c>
      <c r="F6" t="s">
        <v>704</v>
      </c>
      <c r="G6">
        <v>3.9</v>
      </c>
      <c r="H6">
        <f>(100*G6)/4.35</f>
        <v>89.65517241379311</v>
      </c>
      <c r="I6">
        <v>4.3499999999999996</v>
      </c>
      <c r="J6">
        <f>(100*I6)/4.35</f>
        <v>100</v>
      </c>
      <c r="K6">
        <f>J6-H6</f>
        <v>10.34482758620689</v>
      </c>
    </row>
    <row r="7" spans="1:16">
      <c r="A7">
        <v>0.3</v>
      </c>
      <c r="B7">
        <f t="shared" si="0"/>
        <v>101.35135135135134</v>
      </c>
      <c r="C7">
        <v>2.1</v>
      </c>
      <c r="D7">
        <f t="shared" ref="D7:D15" si="1">(100*C7)/4.35</f>
        <v>48.275862068965523</v>
      </c>
      <c r="F7" t="s">
        <v>703</v>
      </c>
      <c r="G7">
        <v>2.1</v>
      </c>
      <c r="H7">
        <f t="shared" ref="H7:H15" si="2">(100*G7)/4.35</f>
        <v>48.275862068965523</v>
      </c>
      <c r="I7">
        <v>2.4</v>
      </c>
      <c r="J7">
        <f t="shared" ref="J7:J15" si="3">(100*I7)/4.35</f>
        <v>55.172413793103452</v>
      </c>
      <c r="K7">
        <f t="shared" ref="K7:K54" si="4">J7-H7</f>
        <v>6.8965517241379288</v>
      </c>
    </row>
    <row r="8" spans="1:16">
      <c r="A8">
        <v>0.6</v>
      </c>
      <c r="B8">
        <f t="shared" si="0"/>
        <v>202.70270270270268</v>
      </c>
      <c r="C8">
        <v>2.35</v>
      </c>
      <c r="D8">
        <f t="shared" si="1"/>
        <v>54.022988505747129</v>
      </c>
      <c r="F8" t="s">
        <v>702</v>
      </c>
      <c r="G8">
        <v>2.35</v>
      </c>
      <c r="H8">
        <f t="shared" si="2"/>
        <v>54.022988505747129</v>
      </c>
      <c r="I8">
        <v>2.75</v>
      </c>
      <c r="J8">
        <f t="shared" si="3"/>
        <v>63.218390804597703</v>
      </c>
      <c r="K8">
        <f t="shared" si="4"/>
        <v>9.1954022988505741</v>
      </c>
    </row>
    <row r="9" spans="1:16">
      <c r="A9">
        <v>1.1499999999999999</v>
      </c>
      <c r="B9">
        <f t="shared" si="0"/>
        <v>388.51351351351349</v>
      </c>
      <c r="C9">
        <v>3.1</v>
      </c>
      <c r="D9">
        <f t="shared" si="1"/>
        <v>71.264367816091962</v>
      </c>
      <c r="F9" t="s">
        <v>760</v>
      </c>
      <c r="G9">
        <v>3.1</v>
      </c>
      <c r="H9">
        <f t="shared" si="2"/>
        <v>71.264367816091962</v>
      </c>
      <c r="I9">
        <v>3.4</v>
      </c>
      <c r="J9">
        <f t="shared" si="3"/>
        <v>78.160919540229898</v>
      </c>
      <c r="K9">
        <f t="shared" si="4"/>
        <v>6.8965517241379359</v>
      </c>
    </row>
    <row r="10" spans="1:16">
      <c r="A10">
        <v>1.7</v>
      </c>
      <c r="B10">
        <f t="shared" si="0"/>
        <v>574.32432432432427</v>
      </c>
      <c r="C10">
        <v>1.7</v>
      </c>
      <c r="D10">
        <f t="shared" si="1"/>
        <v>39.080459770114949</v>
      </c>
      <c r="F10" t="s">
        <v>868</v>
      </c>
      <c r="G10">
        <v>1.7</v>
      </c>
      <c r="H10">
        <f t="shared" si="2"/>
        <v>39.080459770114949</v>
      </c>
      <c r="I10">
        <v>1.9</v>
      </c>
      <c r="J10">
        <f t="shared" si="3"/>
        <v>43.678160919540232</v>
      </c>
      <c r="K10">
        <f t="shared" si="4"/>
        <v>4.5977011494252835</v>
      </c>
    </row>
    <row r="11" spans="1:16">
      <c r="A11">
        <v>2.4</v>
      </c>
      <c r="B11">
        <f t="shared" si="0"/>
        <v>810.81081081081072</v>
      </c>
      <c r="C11">
        <v>2.5499999999999998</v>
      </c>
      <c r="D11">
        <f t="shared" si="1"/>
        <v>58.620689655172413</v>
      </c>
      <c r="F11" t="s">
        <v>867</v>
      </c>
      <c r="H11">
        <f t="shared" si="2"/>
        <v>0</v>
      </c>
      <c r="J11">
        <f t="shared" si="3"/>
        <v>0</v>
      </c>
      <c r="K11">
        <f t="shared" si="4"/>
        <v>0</v>
      </c>
    </row>
    <row r="12" spans="1:16">
      <c r="A12">
        <v>3.5</v>
      </c>
      <c r="B12">
        <f t="shared" si="0"/>
        <v>1182.4324324324323</v>
      </c>
      <c r="C12">
        <v>2</v>
      </c>
      <c r="D12">
        <f t="shared" si="1"/>
        <v>45.977011494252878</v>
      </c>
      <c r="F12" t="s">
        <v>866</v>
      </c>
      <c r="G12">
        <v>2</v>
      </c>
      <c r="H12">
        <f t="shared" si="2"/>
        <v>45.977011494252878</v>
      </c>
      <c r="I12">
        <v>2.2000000000000002</v>
      </c>
      <c r="J12">
        <f t="shared" si="3"/>
        <v>50.574712643678168</v>
      </c>
      <c r="K12">
        <f t="shared" si="4"/>
        <v>4.5977011494252906</v>
      </c>
    </row>
    <row r="13" spans="1:16">
      <c r="A13">
        <v>4.4000000000000004</v>
      </c>
      <c r="B13">
        <f t="shared" si="0"/>
        <v>1486.4864864864865</v>
      </c>
      <c r="C13">
        <v>1.9</v>
      </c>
      <c r="D13">
        <f t="shared" si="1"/>
        <v>43.678160919540232</v>
      </c>
      <c r="F13" t="s">
        <v>865</v>
      </c>
      <c r="G13">
        <v>1.9</v>
      </c>
      <c r="H13">
        <f t="shared" si="2"/>
        <v>43.678160919540232</v>
      </c>
      <c r="I13">
        <v>2.0499999999999998</v>
      </c>
      <c r="J13">
        <f t="shared" si="3"/>
        <v>47.126436781609193</v>
      </c>
      <c r="K13">
        <f t="shared" si="4"/>
        <v>3.4482758620689609</v>
      </c>
    </row>
    <row r="14" spans="1:16">
      <c r="A14">
        <v>5.9</v>
      </c>
      <c r="B14">
        <f t="shared" si="0"/>
        <v>1993.2432432432431</v>
      </c>
      <c r="C14">
        <v>2.65</v>
      </c>
      <c r="D14">
        <f t="shared" si="1"/>
        <v>60.919540229885065</v>
      </c>
      <c r="F14" t="s">
        <v>864</v>
      </c>
      <c r="G14">
        <v>2.65</v>
      </c>
      <c r="H14">
        <f t="shared" si="2"/>
        <v>60.919540229885065</v>
      </c>
      <c r="I14">
        <v>2.95</v>
      </c>
      <c r="J14">
        <f t="shared" si="3"/>
        <v>67.816091954022994</v>
      </c>
      <c r="K14">
        <f t="shared" si="4"/>
        <v>6.8965517241379288</v>
      </c>
    </row>
    <row r="15" spans="1:16">
      <c r="A15">
        <v>7.45</v>
      </c>
      <c r="B15">
        <f t="shared" si="0"/>
        <v>2516.8918918918916</v>
      </c>
      <c r="C15">
        <v>2.5499999999999998</v>
      </c>
      <c r="D15">
        <f t="shared" si="1"/>
        <v>58.620689655172413</v>
      </c>
      <c r="F15" t="s">
        <v>863</v>
      </c>
      <c r="G15">
        <v>2.6</v>
      </c>
      <c r="H15">
        <f t="shared" si="2"/>
        <v>59.770114942528743</v>
      </c>
      <c r="I15">
        <v>3.2</v>
      </c>
      <c r="J15">
        <f t="shared" si="3"/>
        <v>73.563218390804607</v>
      </c>
      <c r="K15">
        <f t="shared" si="4"/>
        <v>13.793103448275865</v>
      </c>
    </row>
    <row r="18" spans="1:11">
      <c r="A18" t="s">
        <v>705</v>
      </c>
      <c r="D18" t="s">
        <v>573</v>
      </c>
    </row>
    <row r="19" spans="1:11">
      <c r="A19" t="s">
        <v>770</v>
      </c>
      <c r="C19" t="s">
        <v>684</v>
      </c>
      <c r="D19" t="s">
        <v>491</v>
      </c>
      <c r="F19" t="s">
        <v>564</v>
      </c>
    </row>
    <row r="20" spans="1:11">
      <c r="A20">
        <v>0.2</v>
      </c>
      <c r="B20">
        <f t="shared" ref="B20:B27" si="5">(800*A20)/7.25</f>
        <v>22.068965517241381</v>
      </c>
      <c r="C20">
        <v>2.8</v>
      </c>
      <c r="D20">
        <f>(100*C20)/4.5</f>
        <v>62.222222222222221</v>
      </c>
      <c r="F20" t="s">
        <v>821</v>
      </c>
      <c r="G20">
        <v>2.8</v>
      </c>
      <c r="H20">
        <f t="array" ref="H20">(100*G20)/4.5</f>
        <v>62.222222222222221</v>
      </c>
      <c r="I20">
        <v>4.3</v>
      </c>
      <c r="J20">
        <f>(100*I20)/4.5</f>
        <v>95.555555555555557</v>
      </c>
      <c r="K20">
        <f t="shared" si="4"/>
        <v>33.333333333333336</v>
      </c>
    </row>
    <row r="21" spans="1:11">
      <c r="A21">
        <v>0.5</v>
      </c>
      <c r="B21">
        <f t="shared" si="5"/>
        <v>55.172413793103445</v>
      </c>
      <c r="C21">
        <v>3</v>
      </c>
      <c r="D21">
        <f t="shared" ref="D21:D27" si="6">(100*C21)/4.5</f>
        <v>66.666666666666671</v>
      </c>
      <c r="F21" t="s">
        <v>820</v>
      </c>
      <c r="G21">
        <v>3</v>
      </c>
      <c r="H21">
        <f t="shared" ref="H21:H27" si="7">(100*G21)/4.5</f>
        <v>66.666666666666671</v>
      </c>
      <c r="I21">
        <v>4.5</v>
      </c>
      <c r="J21">
        <f t="shared" ref="J21:J27" si="8">(100*I21)/4.5</f>
        <v>100</v>
      </c>
      <c r="K21">
        <f t="shared" si="4"/>
        <v>33.333333333333329</v>
      </c>
    </row>
    <row r="22" spans="1:11">
      <c r="A22">
        <v>0.7</v>
      </c>
      <c r="B22">
        <f t="shared" si="5"/>
        <v>77.241379310344826</v>
      </c>
      <c r="C22">
        <v>2</v>
      </c>
      <c r="D22">
        <f t="shared" si="6"/>
        <v>44.444444444444443</v>
      </c>
      <c r="F22" t="s">
        <v>819</v>
      </c>
      <c r="G22">
        <v>2</v>
      </c>
      <c r="H22">
        <f t="shared" si="7"/>
        <v>44.444444444444443</v>
      </c>
      <c r="I22">
        <v>3.2</v>
      </c>
      <c r="J22">
        <f t="shared" si="8"/>
        <v>71.111111111111114</v>
      </c>
      <c r="K22">
        <f t="shared" si="4"/>
        <v>26.666666666666671</v>
      </c>
    </row>
    <row r="23" spans="1:11">
      <c r="A23">
        <v>1</v>
      </c>
      <c r="B23">
        <f t="shared" si="5"/>
        <v>110.34482758620689</v>
      </c>
      <c r="C23">
        <v>3.3</v>
      </c>
      <c r="D23">
        <f t="shared" si="6"/>
        <v>73.333333333333329</v>
      </c>
      <c r="F23" t="s">
        <v>818</v>
      </c>
      <c r="G23">
        <v>3.3</v>
      </c>
      <c r="H23">
        <f t="shared" si="7"/>
        <v>73.333333333333329</v>
      </c>
      <c r="I23">
        <v>3.95</v>
      </c>
      <c r="J23">
        <f t="shared" si="8"/>
        <v>87.777777777777771</v>
      </c>
      <c r="K23">
        <f t="shared" si="4"/>
        <v>14.444444444444443</v>
      </c>
    </row>
    <row r="24" spans="1:11">
      <c r="A24">
        <v>1.8</v>
      </c>
      <c r="B24">
        <f t="shared" si="5"/>
        <v>198.62068965517241</v>
      </c>
      <c r="C24">
        <v>2.2000000000000002</v>
      </c>
      <c r="D24">
        <f t="shared" si="6"/>
        <v>48.888888888888893</v>
      </c>
      <c r="F24" t="s">
        <v>817</v>
      </c>
      <c r="G24">
        <v>2.2000000000000002</v>
      </c>
      <c r="H24">
        <f t="shared" si="7"/>
        <v>48.888888888888893</v>
      </c>
      <c r="I24">
        <v>3.2</v>
      </c>
      <c r="J24">
        <f t="shared" si="8"/>
        <v>71.111111111111114</v>
      </c>
      <c r="K24">
        <f t="shared" si="4"/>
        <v>22.222222222222221</v>
      </c>
    </row>
    <row r="25" spans="1:11">
      <c r="A25">
        <v>3.6</v>
      </c>
      <c r="B25">
        <f t="shared" si="5"/>
        <v>397.24137931034483</v>
      </c>
      <c r="C25">
        <v>2.4</v>
      </c>
      <c r="D25">
        <f t="shared" si="6"/>
        <v>53.333333333333336</v>
      </c>
      <c r="F25" t="s">
        <v>816</v>
      </c>
      <c r="G25">
        <v>2.4</v>
      </c>
      <c r="H25">
        <f t="shared" si="7"/>
        <v>53.333333333333336</v>
      </c>
      <c r="I25">
        <v>3.9</v>
      </c>
      <c r="J25">
        <f t="shared" si="8"/>
        <v>86.666666666666671</v>
      </c>
      <c r="K25">
        <f t="shared" si="4"/>
        <v>33.333333333333336</v>
      </c>
    </row>
    <row r="26" spans="1:11">
      <c r="A26">
        <v>5.4</v>
      </c>
      <c r="B26">
        <f t="shared" si="5"/>
        <v>595.86206896551721</v>
      </c>
      <c r="C26">
        <v>2.1</v>
      </c>
      <c r="D26">
        <f t="shared" si="6"/>
        <v>46.666666666666664</v>
      </c>
      <c r="F26" t="s">
        <v>815</v>
      </c>
      <c r="G26">
        <v>2.1</v>
      </c>
      <c r="H26">
        <f t="shared" si="7"/>
        <v>46.666666666666664</v>
      </c>
      <c r="I26">
        <v>4.45</v>
      </c>
      <c r="J26">
        <f t="shared" si="8"/>
        <v>98.888888888888886</v>
      </c>
      <c r="K26">
        <f t="shared" si="4"/>
        <v>52.222222222222221</v>
      </c>
    </row>
    <row r="27" spans="1:11">
      <c r="A27">
        <v>7.2</v>
      </c>
      <c r="B27">
        <f t="shared" si="5"/>
        <v>794.48275862068965</v>
      </c>
      <c r="C27">
        <v>2.6</v>
      </c>
      <c r="D27">
        <f t="shared" si="6"/>
        <v>57.777777777777779</v>
      </c>
      <c r="F27" t="s">
        <v>706</v>
      </c>
      <c r="G27">
        <v>2.6</v>
      </c>
      <c r="H27">
        <f t="shared" si="7"/>
        <v>57.777777777777779</v>
      </c>
      <c r="I27">
        <v>4</v>
      </c>
      <c r="J27">
        <f t="shared" si="8"/>
        <v>88.888888888888886</v>
      </c>
      <c r="K27">
        <f t="shared" si="4"/>
        <v>31.111111111111107</v>
      </c>
    </row>
    <row r="29" spans="1:11">
      <c r="A29" t="s">
        <v>823</v>
      </c>
      <c r="D29" t="s">
        <v>492</v>
      </c>
    </row>
    <row r="30" spans="1:11">
      <c r="A30" t="s">
        <v>770</v>
      </c>
      <c r="C30" t="s">
        <v>684</v>
      </c>
      <c r="D30" t="s">
        <v>491</v>
      </c>
      <c r="F30" t="s">
        <v>564</v>
      </c>
    </row>
    <row r="31" spans="1:11">
      <c r="A31">
        <v>0</v>
      </c>
      <c r="B31">
        <v>0</v>
      </c>
      <c r="C31">
        <v>3.15</v>
      </c>
      <c r="D31">
        <f>(100*C31)/4.5</f>
        <v>70</v>
      </c>
      <c r="F31" t="s">
        <v>745</v>
      </c>
      <c r="G31">
        <v>3.15</v>
      </c>
      <c r="H31">
        <f>(100*G31)/4.5</f>
        <v>70</v>
      </c>
      <c r="I31">
        <v>4.8</v>
      </c>
      <c r="J31">
        <f>(100*I31)/4.5</f>
        <v>106.66666666666667</v>
      </c>
      <c r="K31">
        <f t="shared" si="4"/>
        <v>36.666666666666671</v>
      </c>
    </row>
    <row r="32" spans="1:11">
      <c r="A32">
        <v>0.2</v>
      </c>
      <c r="B32">
        <f t="shared" ref="B32:B40" si="9">(1400*A32)/7.15</f>
        <v>39.16083916083916</v>
      </c>
      <c r="C32">
        <v>2.2000000000000002</v>
      </c>
      <c r="D32">
        <f t="shared" ref="D32:D40" si="10">(100*C32)/4.5</f>
        <v>48.888888888888893</v>
      </c>
      <c r="F32" t="s">
        <v>744</v>
      </c>
      <c r="G32">
        <v>2.2000000000000002</v>
      </c>
      <c r="H32">
        <f t="shared" ref="H32:H40" si="11">(100*G32)/4.5</f>
        <v>48.888888888888893</v>
      </c>
      <c r="I32">
        <v>4.3</v>
      </c>
      <c r="J32">
        <f t="shared" ref="J32:J40" si="12">(100*I32)/4.5</f>
        <v>95.555555555555557</v>
      </c>
      <c r="K32">
        <f t="shared" si="4"/>
        <v>46.666666666666664</v>
      </c>
    </row>
    <row r="33" spans="1:11">
      <c r="A33">
        <v>0.7</v>
      </c>
      <c r="B33">
        <f t="shared" si="9"/>
        <v>137.06293706293704</v>
      </c>
      <c r="C33">
        <v>1.9</v>
      </c>
      <c r="D33">
        <f t="shared" si="10"/>
        <v>42.222222222222221</v>
      </c>
      <c r="F33" t="s">
        <v>743</v>
      </c>
      <c r="G33">
        <v>1.9</v>
      </c>
      <c r="H33">
        <f t="shared" si="11"/>
        <v>42.222222222222221</v>
      </c>
      <c r="I33">
        <v>2.2999999999999998</v>
      </c>
      <c r="J33">
        <f t="shared" si="12"/>
        <v>51.111111111111107</v>
      </c>
      <c r="K33">
        <f t="shared" si="4"/>
        <v>8.8888888888888857</v>
      </c>
    </row>
    <row r="34" spans="1:11">
      <c r="A34">
        <v>1.2</v>
      </c>
      <c r="B34">
        <f t="shared" si="9"/>
        <v>234.96503496503496</v>
      </c>
      <c r="C34">
        <v>1.75</v>
      </c>
      <c r="D34">
        <f t="shared" si="10"/>
        <v>38.888888888888886</v>
      </c>
      <c r="F34" t="s">
        <v>742</v>
      </c>
      <c r="G34">
        <v>1.75</v>
      </c>
      <c r="H34">
        <f t="shared" si="11"/>
        <v>38.888888888888886</v>
      </c>
      <c r="I34">
        <v>2.25</v>
      </c>
      <c r="J34">
        <f t="shared" si="12"/>
        <v>50</v>
      </c>
      <c r="K34">
        <f t="shared" si="4"/>
        <v>11.111111111111114</v>
      </c>
    </row>
    <row r="35" spans="1:11">
      <c r="A35">
        <v>2</v>
      </c>
      <c r="B35">
        <f t="shared" si="9"/>
        <v>391.60839160839157</v>
      </c>
      <c r="C35">
        <v>2.2000000000000002</v>
      </c>
      <c r="D35">
        <f t="shared" si="10"/>
        <v>48.888888888888893</v>
      </c>
      <c r="F35" t="s">
        <v>741</v>
      </c>
      <c r="G35">
        <v>2.2000000000000002</v>
      </c>
      <c r="H35">
        <f t="shared" si="11"/>
        <v>48.888888888888893</v>
      </c>
      <c r="I35">
        <v>2.8</v>
      </c>
      <c r="J35">
        <f t="shared" si="12"/>
        <v>62.222222222222221</v>
      </c>
      <c r="K35">
        <f t="shared" si="4"/>
        <v>13.333333333333329</v>
      </c>
    </row>
    <row r="36" spans="1:11">
      <c r="A36">
        <v>3</v>
      </c>
      <c r="B36">
        <f t="shared" si="9"/>
        <v>587.41258741258741</v>
      </c>
      <c r="C36">
        <v>2.65</v>
      </c>
      <c r="D36">
        <f t="shared" si="10"/>
        <v>58.888888888888886</v>
      </c>
      <c r="F36" t="s">
        <v>827</v>
      </c>
      <c r="G36">
        <v>2.65</v>
      </c>
      <c r="H36">
        <f t="shared" si="11"/>
        <v>58.888888888888886</v>
      </c>
      <c r="I36">
        <v>3.45</v>
      </c>
      <c r="J36">
        <f t="shared" si="12"/>
        <v>76.666666666666671</v>
      </c>
      <c r="K36">
        <f t="shared" si="4"/>
        <v>17.777777777777786</v>
      </c>
    </row>
    <row r="37" spans="1:11">
      <c r="A37">
        <v>3.8</v>
      </c>
      <c r="B37">
        <f t="shared" si="9"/>
        <v>744.055944055944</v>
      </c>
      <c r="C37">
        <v>1.6</v>
      </c>
      <c r="D37">
        <f t="shared" si="10"/>
        <v>35.555555555555557</v>
      </c>
      <c r="F37" t="s">
        <v>826</v>
      </c>
      <c r="G37">
        <v>1.6</v>
      </c>
      <c r="H37">
        <f t="shared" si="11"/>
        <v>35.555555555555557</v>
      </c>
      <c r="I37">
        <v>3.3</v>
      </c>
      <c r="J37">
        <f t="shared" si="12"/>
        <v>73.333333333333329</v>
      </c>
      <c r="K37">
        <f t="shared" si="4"/>
        <v>37.777777777777771</v>
      </c>
    </row>
    <row r="38" spans="1:11">
      <c r="A38">
        <v>5.0999999999999996</v>
      </c>
      <c r="B38">
        <f t="shared" si="9"/>
        <v>998.60139860139839</v>
      </c>
      <c r="C38">
        <v>2.1</v>
      </c>
      <c r="D38">
        <f t="shared" si="10"/>
        <v>46.666666666666664</v>
      </c>
      <c r="F38" t="s">
        <v>825</v>
      </c>
      <c r="G38">
        <v>2.1</v>
      </c>
      <c r="H38">
        <f t="shared" si="11"/>
        <v>46.666666666666664</v>
      </c>
      <c r="I38">
        <v>3.8</v>
      </c>
      <c r="J38">
        <f t="shared" si="12"/>
        <v>84.444444444444443</v>
      </c>
      <c r="K38">
        <f t="shared" si="4"/>
        <v>37.777777777777779</v>
      </c>
    </row>
    <row r="39" spans="1:11">
      <c r="A39">
        <v>6.1</v>
      </c>
      <c r="B39">
        <f t="shared" si="9"/>
        <v>1194.4055944055945</v>
      </c>
      <c r="C39">
        <v>2.2999999999999998</v>
      </c>
      <c r="D39">
        <f t="shared" si="10"/>
        <v>51.111111111111107</v>
      </c>
      <c r="F39" t="s">
        <v>824</v>
      </c>
      <c r="G39">
        <v>2.2999999999999998</v>
      </c>
      <c r="H39">
        <f t="shared" si="11"/>
        <v>51.111111111111107</v>
      </c>
      <c r="I39">
        <v>3.5</v>
      </c>
      <c r="J39">
        <f t="shared" si="12"/>
        <v>77.777777777777771</v>
      </c>
      <c r="K39">
        <f t="shared" si="4"/>
        <v>26.666666666666664</v>
      </c>
    </row>
    <row r="40" spans="1:11">
      <c r="A40">
        <v>7.1</v>
      </c>
      <c r="B40">
        <f t="shared" si="9"/>
        <v>1390.2097902097901</v>
      </c>
      <c r="C40">
        <v>2.4</v>
      </c>
      <c r="D40">
        <f t="shared" si="10"/>
        <v>53.333333333333336</v>
      </c>
      <c r="F40" t="s">
        <v>822</v>
      </c>
      <c r="G40">
        <v>2.4</v>
      </c>
      <c r="H40">
        <f t="shared" si="11"/>
        <v>53.333333333333336</v>
      </c>
      <c r="I40">
        <v>3.3</v>
      </c>
      <c r="J40">
        <f t="shared" si="12"/>
        <v>73.333333333333329</v>
      </c>
      <c r="K40">
        <f t="shared" si="4"/>
        <v>19.999999999999993</v>
      </c>
    </row>
    <row r="42" spans="1:11">
      <c r="A42" t="s">
        <v>774</v>
      </c>
      <c r="D42" t="s">
        <v>493</v>
      </c>
    </row>
    <row r="43" spans="1:11">
      <c r="A43" t="s">
        <v>770</v>
      </c>
      <c r="C43" t="s">
        <v>684</v>
      </c>
      <c r="D43" t="s">
        <v>491</v>
      </c>
      <c r="F43" t="s">
        <v>564</v>
      </c>
    </row>
    <row r="44" spans="1:11">
      <c r="A44">
        <v>0.4</v>
      </c>
      <c r="B44">
        <f t="shared" ref="B44:B54" si="13">(1400*A44)/7.15</f>
        <v>78.32167832167832</v>
      </c>
      <c r="C44">
        <v>3.8</v>
      </c>
      <c r="D44">
        <f>(100*C44)/4.35</f>
        <v>87.356321839080465</v>
      </c>
      <c r="F44" t="s">
        <v>719</v>
      </c>
      <c r="G44">
        <v>3.8</v>
      </c>
      <c r="H44">
        <f>(100*G44)/4.35</f>
        <v>87.356321839080465</v>
      </c>
      <c r="I44">
        <v>4.1500000000000004</v>
      </c>
      <c r="J44">
        <f>(100*I44)/4.35</f>
        <v>95.402298850574738</v>
      </c>
      <c r="K44">
        <f t="shared" si="4"/>
        <v>8.0459770114942728</v>
      </c>
    </row>
    <row r="45" spans="1:11">
      <c r="A45">
        <v>0.6</v>
      </c>
      <c r="B45">
        <f t="shared" si="13"/>
        <v>117.48251748251748</v>
      </c>
      <c r="C45">
        <v>3.1</v>
      </c>
      <c r="D45">
        <f t="shared" ref="D45:D54" si="14">(100*C45)/4.35</f>
        <v>71.264367816091962</v>
      </c>
      <c r="F45" t="s">
        <v>718</v>
      </c>
      <c r="G45">
        <v>3.1</v>
      </c>
      <c r="H45">
        <f t="shared" ref="H45:H54" si="15">(100*G45)/4.35</f>
        <v>71.264367816091962</v>
      </c>
      <c r="I45">
        <v>3.85</v>
      </c>
      <c r="J45">
        <f t="shared" ref="J45:J54" si="16">(100*I45)/4.35</f>
        <v>88.505747126436788</v>
      </c>
      <c r="K45">
        <f t="shared" si="4"/>
        <v>17.241379310344826</v>
      </c>
    </row>
    <row r="46" spans="1:11">
      <c r="A46">
        <v>1</v>
      </c>
      <c r="B46">
        <f t="shared" si="13"/>
        <v>195.80419580419579</v>
      </c>
      <c r="C46">
        <v>3.6</v>
      </c>
      <c r="D46">
        <f t="shared" si="14"/>
        <v>82.758620689655174</v>
      </c>
      <c r="F46" t="s">
        <v>717</v>
      </c>
      <c r="G46">
        <v>3.6</v>
      </c>
      <c r="H46">
        <f t="shared" si="15"/>
        <v>82.758620689655174</v>
      </c>
      <c r="I46">
        <v>4.3</v>
      </c>
      <c r="J46">
        <f t="shared" si="16"/>
        <v>98.850574712643692</v>
      </c>
      <c r="K46">
        <f t="shared" si="4"/>
        <v>16.091954022988517</v>
      </c>
    </row>
    <row r="47" spans="1:11">
      <c r="A47">
        <v>1.45</v>
      </c>
      <c r="B47">
        <f t="shared" si="13"/>
        <v>283.91608391608389</v>
      </c>
      <c r="C47">
        <v>3.1</v>
      </c>
      <c r="D47">
        <f t="shared" si="14"/>
        <v>71.264367816091962</v>
      </c>
      <c r="F47" t="s">
        <v>716</v>
      </c>
      <c r="G47">
        <v>3.1</v>
      </c>
      <c r="H47">
        <f t="shared" si="15"/>
        <v>71.264367816091962</v>
      </c>
      <c r="I47">
        <v>3.8</v>
      </c>
      <c r="J47">
        <f t="shared" si="16"/>
        <v>87.356321839080465</v>
      </c>
      <c r="K47">
        <f t="shared" si="4"/>
        <v>16.091954022988503</v>
      </c>
    </row>
    <row r="48" spans="1:11">
      <c r="A48">
        <v>1.8</v>
      </c>
      <c r="B48">
        <f t="shared" si="13"/>
        <v>352.44755244755243</v>
      </c>
      <c r="C48">
        <v>1.45</v>
      </c>
      <c r="D48">
        <f t="shared" si="14"/>
        <v>33.333333333333336</v>
      </c>
      <c r="F48" t="s">
        <v>715</v>
      </c>
      <c r="G48">
        <v>1.45</v>
      </c>
      <c r="I48">
        <v>1.5</v>
      </c>
      <c r="J48">
        <f t="shared" si="16"/>
        <v>34.482758620689658</v>
      </c>
      <c r="K48">
        <f t="shared" si="4"/>
        <v>34.482758620689658</v>
      </c>
    </row>
    <row r="49" spans="1:11">
      <c r="A49">
        <v>2.2999999999999998</v>
      </c>
      <c r="B49">
        <f t="shared" si="13"/>
        <v>450.34965034965029</v>
      </c>
      <c r="C49">
        <v>1.1000000000000001</v>
      </c>
      <c r="D49">
        <f t="shared" si="14"/>
        <v>25.287356321839084</v>
      </c>
      <c r="F49">
        <v>0</v>
      </c>
      <c r="G49">
        <v>0</v>
      </c>
      <c r="H49">
        <f t="shared" si="15"/>
        <v>0</v>
      </c>
      <c r="I49">
        <v>0</v>
      </c>
      <c r="J49">
        <f t="shared" si="16"/>
        <v>0</v>
      </c>
      <c r="K49">
        <f t="shared" si="4"/>
        <v>0</v>
      </c>
    </row>
    <row r="50" spans="1:11">
      <c r="A50">
        <v>3.2</v>
      </c>
      <c r="B50">
        <f t="shared" si="13"/>
        <v>626.57342657342656</v>
      </c>
      <c r="C50">
        <v>1.85</v>
      </c>
      <c r="D50">
        <f t="shared" si="14"/>
        <v>42.52873563218391</v>
      </c>
      <c r="F50" t="s">
        <v>714</v>
      </c>
      <c r="G50">
        <v>1.85</v>
      </c>
      <c r="H50">
        <f t="shared" si="15"/>
        <v>42.52873563218391</v>
      </c>
      <c r="I50">
        <v>2</v>
      </c>
      <c r="J50">
        <f t="shared" si="16"/>
        <v>45.977011494252878</v>
      </c>
      <c r="K50">
        <f t="shared" si="4"/>
        <v>3.448275862068968</v>
      </c>
    </row>
    <row r="51" spans="1:11">
      <c r="A51">
        <v>3.8</v>
      </c>
      <c r="B51">
        <f t="shared" si="13"/>
        <v>744.055944055944</v>
      </c>
      <c r="C51">
        <v>0.25</v>
      </c>
      <c r="D51">
        <f t="shared" si="14"/>
        <v>5.7471264367816097</v>
      </c>
      <c r="F51" t="s">
        <v>713</v>
      </c>
      <c r="G51">
        <v>0.25</v>
      </c>
      <c r="H51">
        <f t="shared" si="15"/>
        <v>5.7471264367816097</v>
      </c>
      <c r="I51">
        <v>0.3</v>
      </c>
      <c r="J51">
        <f t="shared" si="16"/>
        <v>6.8965517241379315</v>
      </c>
      <c r="K51">
        <f t="shared" si="4"/>
        <v>1.1494252873563218</v>
      </c>
    </row>
    <row r="52" spans="1:11">
      <c r="A52">
        <v>5.0999999999999996</v>
      </c>
      <c r="B52">
        <f t="shared" si="13"/>
        <v>998.60139860139839</v>
      </c>
      <c r="C52">
        <v>0.5</v>
      </c>
      <c r="D52">
        <f t="shared" si="14"/>
        <v>11.494252873563219</v>
      </c>
      <c r="F52" t="s">
        <v>712</v>
      </c>
      <c r="G52">
        <v>0.5</v>
      </c>
      <c r="H52">
        <f t="shared" si="15"/>
        <v>11.494252873563219</v>
      </c>
      <c r="I52">
        <v>1.7</v>
      </c>
      <c r="J52">
        <f t="shared" si="16"/>
        <v>39.080459770114949</v>
      </c>
      <c r="K52">
        <f t="shared" si="4"/>
        <v>27.58620689655173</v>
      </c>
    </row>
    <row r="53" spans="1:11">
      <c r="A53">
        <v>6.1</v>
      </c>
      <c r="B53">
        <f t="shared" si="13"/>
        <v>1194.4055944055945</v>
      </c>
      <c r="C53">
        <v>0.15</v>
      </c>
      <c r="D53">
        <f t="shared" si="14"/>
        <v>3.4482758620689657</v>
      </c>
      <c r="F53" t="s">
        <v>711</v>
      </c>
      <c r="G53">
        <v>0.15</v>
      </c>
      <c r="H53">
        <f t="shared" si="15"/>
        <v>3.4482758620689657</v>
      </c>
      <c r="I53">
        <v>0.7</v>
      </c>
      <c r="J53">
        <f t="shared" si="16"/>
        <v>16.091954022988507</v>
      </c>
      <c r="K53">
        <f t="shared" si="4"/>
        <v>12.64367816091954</v>
      </c>
    </row>
    <row r="54" spans="1:11">
      <c r="A54">
        <v>7.1</v>
      </c>
      <c r="B54">
        <f t="shared" si="13"/>
        <v>1390.2097902097901</v>
      </c>
      <c r="C54">
        <v>1.3</v>
      </c>
      <c r="D54">
        <f t="shared" si="14"/>
        <v>29.885057471264371</v>
      </c>
      <c r="F54" t="s">
        <v>746</v>
      </c>
      <c r="G54">
        <v>1.3</v>
      </c>
      <c r="H54">
        <f t="shared" si="15"/>
        <v>29.885057471264371</v>
      </c>
      <c r="I54">
        <v>2.1</v>
      </c>
      <c r="J54">
        <f t="shared" si="16"/>
        <v>48.275862068965523</v>
      </c>
      <c r="K54">
        <f t="shared" si="4"/>
        <v>18.390804597701152</v>
      </c>
    </row>
  </sheetData>
  <sortState ref="A44:XFD54">
    <sortCondition ref="A44:A54"/>
  </sortState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>
      <selection activeCell="E24" sqref="E24"/>
    </sheetView>
  </sheetViews>
  <sheetFormatPr baseColWidth="10" defaultRowHeight="13" x14ac:dyDescent="0"/>
  <cols>
    <col min="4" max="4" width="17.28515625" customWidth="1"/>
    <col min="5" max="5" width="15" customWidth="1"/>
    <col min="13" max="13" width="14.7109375" customWidth="1"/>
    <col min="16" max="18" width="10.7109375" style="52"/>
  </cols>
  <sheetData>
    <row r="1" spans="1:18" ht="25">
      <c r="A1" t="s">
        <v>368</v>
      </c>
      <c r="D1" s="28"/>
      <c r="E1" s="28"/>
      <c r="F1" s="28"/>
      <c r="G1" s="20"/>
      <c r="H1" s="20"/>
      <c r="I1" s="20"/>
      <c r="J1" s="20"/>
      <c r="K1" s="20"/>
    </row>
    <row r="2" spans="1:18">
      <c r="A2" t="s">
        <v>213</v>
      </c>
    </row>
    <row r="3" spans="1:18">
      <c r="N3" t="s">
        <v>874</v>
      </c>
    </row>
    <row r="4" spans="1:18">
      <c r="A4" t="s">
        <v>761</v>
      </c>
      <c r="G4" t="s">
        <v>733</v>
      </c>
    </row>
    <row r="5" spans="1:18">
      <c r="A5" t="s">
        <v>488</v>
      </c>
      <c r="G5" s="20"/>
      <c r="H5" s="20"/>
      <c r="I5" s="20"/>
      <c r="J5" s="20"/>
      <c r="K5" s="20"/>
      <c r="L5" s="20"/>
      <c r="M5" s="20"/>
      <c r="N5" s="4"/>
      <c r="O5" s="4" t="s">
        <v>857</v>
      </c>
      <c r="P5" s="54" t="s">
        <v>859</v>
      </c>
      <c r="Q5" s="54"/>
      <c r="R5" s="54" t="s">
        <v>722</v>
      </c>
    </row>
    <row r="6" spans="1:18">
      <c r="A6" t="s">
        <v>770</v>
      </c>
      <c r="B6" s="10" t="s">
        <v>771</v>
      </c>
      <c r="C6" t="s">
        <v>489</v>
      </c>
      <c r="D6" t="s">
        <v>772</v>
      </c>
      <c r="E6" s="10" t="s">
        <v>773</v>
      </c>
      <c r="G6" s="20" t="s">
        <v>494</v>
      </c>
      <c r="H6" s="4" t="s">
        <v>792</v>
      </c>
      <c r="I6" s="20" t="s">
        <v>495</v>
      </c>
      <c r="J6" s="4" t="s">
        <v>848</v>
      </c>
      <c r="K6" s="20" t="s">
        <v>732</v>
      </c>
      <c r="L6" s="4" t="s">
        <v>849</v>
      </c>
      <c r="M6" s="20"/>
      <c r="N6" s="4" t="s">
        <v>856</v>
      </c>
      <c r="O6" s="4" t="s">
        <v>858</v>
      </c>
      <c r="P6" s="54" t="s">
        <v>905</v>
      </c>
      <c r="Q6" s="54"/>
      <c r="R6" s="54" t="s">
        <v>906</v>
      </c>
    </row>
    <row r="7" spans="1:18">
      <c r="A7">
        <v>0.05</v>
      </c>
      <c r="B7" s="10">
        <f>(500*A7)/2</f>
        <v>12.5</v>
      </c>
      <c r="C7">
        <v>4.55</v>
      </c>
      <c r="D7" s="11">
        <f>(400000000*C7)/2.3</f>
        <v>791304347.826087</v>
      </c>
      <c r="E7" s="12">
        <f>D7/1000</f>
        <v>791304.34782608703</v>
      </c>
      <c r="G7" s="20">
        <f>'EXD Podlaska 2012 Figure 4'!B6</f>
        <v>33.783783783783782</v>
      </c>
      <c r="H7" s="4">
        <f>AVERAGE(G7,B8)</f>
        <v>29.391891891891891</v>
      </c>
      <c r="I7" s="20">
        <f>'EXD Podlaska 2012 Figure 4'!D6</f>
        <v>88.505747126436788</v>
      </c>
      <c r="J7" s="4">
        <f>(I7*E8)/100</f>
        <v>723438.28085957037</v>
      </c>
      <c r="K7" s="20">
        <f>'EXD Podlaska 2012 Figure 4'!K6</f>
        <v>10.34482758620689</v>
      </c>
      <c r="L7" s="23">
        <f>(K7*E8)/100</f>
        <v>84557.721139430243</v>
      </c>
      <c r="M7" s="7"/>
      <c r="N7" s="4">
        <f>H7</f>
        <v>29.391891891891891</v>
      </c>
      <c r="O7" s="4">
        <f>J7</f>
        <v>723438.28085957037</v>
      </c>
      <c r="P7" s="54">
        <f>L7</f>
        <v>84557.721139430243</v>
      </c>
      <c r="Q7" s="54">
        <f>O7+P7</f>
        <v>807996.00199900055</v>
      </c>
      <c r="R7" s="54">
        <f>E8</f>
        <v>817391.30434782617</v>
      </c>
    </row>
    <row r="8" spans="1:18">
      <c r="A8">
        <v>0.1</v>
      </c>
      <c r="B8" s="30">
        <f t="shared" ref="B8:B20" si="0">(500*A8)/2</f>
        <v>25</v>
      </c>
      <c r="C8" s="30">
        <v>4.7</v>
      </c>
      <c r="D8" s="29">
        <f t="shared" ref="D8:D20" si="1">(400000000*C8)/2.3</f>
        <v>817391304.34782612</v>
      </c>
      <c r="E8" s="29">
        <f>D8/1000</f>
        <v>817391.30434782617</v>
      </c>
      <c r="G8" s="20">
        <f>'EXD Podlaska 2012 Figure 4'!B7</f>
        <v>101.35135135135134</v>
      </c>
      <c r="H8" s="4">
        <f>AVERAGE(G8+B11)</f>
        <v>201.35135135135135</v>
      </c>
      <c r="I8" s="20">
        <f>'EXD Podlaska 2012 Figure 4'!D7</f>
        <v>48.275862068965523</v>
      </c>
      <c r="J8" s="4">
        <f>(I8*E11)/100</f>
        <v>33583.208395802103</v>
      </c>
      <c r="K8" s="20">
        <f>'EXD Podlaska 2012 Figure 4'!K7</f>
        <v>6.8965517241379288</v>
      </c>
      <c r="L8" s="23">
        <f>(K8*E11)/100</f>
        <v>4797.6011994002984</v>
      </c>
      <c r="M8" s="7"/>
      <c r="N8" s="4">
        <f t="shared" ref="N8:N12" si="2">H8</f>
        <v>201.35135135135135</v>
      </c>
      <c r="O8" s="4">
        <f t="shared" ref="O8:O12" si="3">J8</f>
        <v>33583.208395802103</v>
      </c>
      <c r="P8" s="54">
        <f t="shared" ref="P8:P12" si="4">L8</f>
        <v>4797.6011994002984</v>
      </c>
      <c r="Q8" s="54">
        <f t="shared" ref="Q8:Q59" si="5">O8+P8</f>
        <v>38380.809595202401</v>
      </c>
      <c r="R8" s="54">
        <f>E11</f>
        <v>69565.217391304352</v>
      </c>
    </row>
    <row r="9" spans="1:18">
      <c r="A9">
        <v>0.2</v>
      </c>
      <c r="B9" s="10">
        <f t="shared" si="0"/>
        <v>50</v>
      </c>
      <c r="C9">
        <v>2.25</v>
      </c>
      <c r="D9" s="11">
        <f t="shared" si="1"/>
        <v>391304347.826087</v>
      </c>
      <c r="E9" s="14">
        <f t="shared" ref="E9:E20" si="6">D9/1000</f>
        <v>391304.34782608697</v>
      </c>
      <c r="G9" s="20">
        <f>'EXD Podlaska 2012 Figure 4'!B8</f>
        <v>202.70270270270268</v>
      </c>
      <c r="H9" s="23">
        <f>AVERAGE(G9,B13)</f>
        <v>201.35135135135135</v>
      </c>
      <c r="I9" s="20">
        <f>'EXD Podlaska 2012 Figure 4'!D8</f>
        <v>54.022988505747129</v>
      </c>
      <c r="J9" s="4">
        <f>(I9*E13)/100</f>
        <v>28185.907046476765</v>
      </c>
      <c r="K9" s="20">
        <f>'EXD Podlaska 2012 Figure 4'!K8</f>
        <v>9.1954022988505741</v>
      </c>
      <c r="L9" s="23">
        <f>(K9*E13)/100</f>
        <v>4797.6011994003002</v>
      </c>
      <c r="M9" s="7"/>
      <c r="N9" s="23">
        <f>H9</f>
        <v>201.35135135135135</v>
      </c>
      <c r="O9" s="4">
        <f t="shared" si="3"/>
        <v>28185.907046476765</v>
      </c>
      <c r="P9" s="54">
        <f t="shared" si="4"/>
        <v>4797.6011994003002</v>
      </c>
      <c r="Q9" s="54">
        <f t="shared" si="5"/>
        <v>32983.508245877063</v>
      </c>
      <c r="R9" s="54">
        <f>E13</f>
        <v>52173.913043478264</v>
      </c>
    </row>
    <row r="10" spans="1:18">
      <c r="A10">
        <v>0.3</v>
      </c>
      <c r="B10" s="10">
        <f t="shared" si="0"/>
        <v>75</v>
      </c>
      <c r="C10">
        <v>2.35</v>
      </c>
      <c r="D10" s="11">
        <f t="shared" si="1"/>
        <v>408695652.17391306</v>
      </c>
      <c r="E10" s="14">
        <f t="shared" si="6"/>
        <v>408695.65217391308</v>
      </c>
      <c r="G10" s="20">
        <f>'EXD Podlaska 2012 Figure 4'!B9</f>
        <v>388.51351351351349</v>
      </c>
      <c r="H10" s="4">
        <f>AVERAGE(G10,B14)</f>
        <v>381.75675675675677</v>
      </c>
      <c r="I10" s="20">
        <f>'EXD Podlaska 2012 Figure 4'!D9</f>
        <v>71.264367816091962</v>
      </c>
      <c r="J10" s="4">
        <f>(I10*E14)/100</f>
        <v>30984.507746126939</v>
      </c>
      <c r="K10" s="20">
        <f>'EXD Podlaska 2012 Figure 4'!K9</f>
        <v>6.8965517241379359</v>
      </c>
      <c r="L10" s="23">
        <f>(K10*E14)/100</f>
        <v>2998.5007496251892</v>
      </c>
      <c r="M10" s="7"/>
      <c r="N10" s="4">
        <f t="shared" si="2"/>
        <v>381.75675675675677</v>
      </c>
      <c r="O10" s="4">
        <f t="shared" si="3"/>
        <v>30984.507746126939</v>
      </c>
      <c r="P10" s="54">
        <f t="shared" si="4"/>
        <v>2998.5007496251892</v>
      </c>
      <c r="Q10" s="54">
        <f t="shared" si="5"/>
        <v>33983.008495752132</v>
      </c>
      <c r="R10" s="54">
        <f>E14</f>
        <v>43478.260869565216</v>
      </c>
    </row>
    <row r="11" spans="1:18">
      <c r="A11">
        <v>0.4</v>
      </c>
      <c r="B11" s="30">
        <f t="shared" si="0"/>
        <v>100</v>
      </c>
      <c r="C11" s="30">
        <v>0.4</v>
      </c>
      <c r="D11" s="29">
        <f t="shared" si="1"/>
        <v>69565217.391304359</v>
      </c>
      <c r="E11" s="29">
        <f t="shared" si="6"/>
        <v>69565.217391304352</v>
      </c>
      <c r="G11" s="20">
        <f>'EXD Podlaska 2012 Figure 4'!B10</f>
        <v>574.32432432432427</v>
      </c>
      <c r="H11" s="4">
        <f>AVERAGE(G11,A15)</f>
        <v>288.36216216216212</v>
      </c>
      <c r="I11" s="20">
        <f>'EXD Podlaska 2012 Figure 4'!D10</f>
        <v>39.080459770114949</v>
      </c>
      <c r="J11" s="4">
        <f>(I11*E15)/100</f>
        <v>40779.610194902561</v>
      </c>
      <c r="K11" s="20">
        <f>'EXD Podlaska 2012 Figure 4'!K10</f>
        <v>4.5977011494252835</v>
      </c>
      <c r="L11" s="23">
        <f>(K11*E15)/100</f>
        <v>4797.6011994002965</v>
      </c>
      <c r="M11" s="7"/>
      <c r="N11" s="4">
        <f t="shared" si="2"/>
        <v>288.36216216216212</v>
      </c>
      <c r="O11" s="4">
        <f t="shared" si="3"/>
        <v>40779.610194902561</v>
      </c>
      <c r="P11" s="54">
        <f t="shared" si="4"/>
        <v>4797.6011994002965</v>
      </c>
      <c r="Q11" s="54">
        <f t="shared" si="5"/>
        <v>45577.21139430286</v>
      </c>
      <c r="R11" s="54">
        <f>E15</f>
        <v>104347.82608695653</v>
      </c>
    </row>
    <row r="12" spans="1:18">
      <c r="A12">
        <v>0.5</v>
      </c>
      <c r="B12" s="10">
        <f t="shared" si="0"/>
        <v>125</v>
      </c>
      <c r="C12">
        <v>0.25</v>
      </c>
      <c r="D12" s="11">
        <f t="shared" si="1"/>
        <v>43478260.869565219</v>
      </c>
      <c r="E12" s="14">
        <f t="shared" si="6"/>
        <v>43478.260869565216</v>
      </c>
      <c r="G12" s="20">
        <f>'EXD Podlaska 2012 Figure 4'!B11</f>
        <v>810.81081081081072</v>
      </c>
      <c r="H12" s="4">
        <f>AVERAGE(G12,B17)</f>
        <v>817.90540540540542</v>
      </c>
      <c r="I12" s="20">
        <f>'EXD Podlaska 2012 Figure 4'!D11</f>
        <v>58.620689655172413</v>
      </c>
      <c r="J12" s="4">
        <f>(I12*E17)/100</f>
        <v>71364.317841079464</v>
      </c>
      <c r="K12" s="20">
        <f>'EXD Podlaska 2012 Figure 4'!K11</f>
        <v>0</v>
      </c>
      <c r="L12" s="23">
        <f>(K12*E17)/100</f>
        <v>0</v>
      </c>
      <c r="M12" s="7"/>
      <c r="N12" s="4">
        <f t="shared" si="2"/>
        <v>817.90540540540542</v>
      </c>
      <c r="O12" s="4">
        <f t="shared" si="3"/>
        <v>71364.317841079464</v>
      </c>
      <c r="P12" s="54">
        <f t="shared" si="4"/>
        <v>0</v>
      </c>
      <c r="Q12" s="54">
        <f t="shared" si="5"/>
        <v>71364.317841079464</v>
      </c>
      <c r="R12" s="54">
        <f>E17</f>
        <v>121739.13043478262</v>
      </c>
    </row>
    <row r="13" spans="1:18">
      <c r="A13">
        <v>0.8</v>
      </c>
      <c r="B13" s="30">
        <f t="shared" si="0"/>
        <v>200</v>
      </c>
      <c r="C13" s="30">
        <v>0.3</v>
      </c>
      <c r="D13" s="29">
        <f t="shared" si="1"/>
        <v>52173913.043478265</v>
      </c>
      <c r="E13" s="29">
        <f t="shared" si="6"/>
        <v>52173.913043478264</v>
      </c>
      <c r="G13" s="20">
        <f>'EXD Podlaska 2012 Figure 4'!B12</f>
        <v>1182.4324324324323</v>
      </c>
      <c r="H13" s="4"/>
      <c r="I13" s="20">
        <f>'EXD Podlaska 2012 Figure 4'!D12</f>
        <v>45.977011494252878</v>
      </c>
      <c r="J13" s="4"/>
      <c r="K13" s="20">
        <f>'EXD Podlaska 2012 Figure 4'!K12</f>
        <v>4.5977011494252906</v>
      </c>
      <c r="L13" s="23"/>
      <c r="M13" s="7"/>
      <c r="N13" s="4">
        <f>H14</f>
        <v>1493.2432432432433</v>
      </c>
      <c r="O13" s="4">
        <f>J14</f>
        <v>37981.009495252372</v>
      </c>
      <c r="P13" s="54">
        <f>L14</f>
        <v>2998.5007496251837</v>
      </c>
      <c r="Q13" s="54">
        <f t="shared" si="5"/>
        <v>40979.510244877558</v>
      </c>
      <c r="R13" s="54">
        <f>E19</f>
        <v>86956.521739130432</v>
      </c>
    </row>
    <row r="14" spans="1:18">
      <c r="A14">
        <v>1.5</v>
      </c>
      <c r="B14" s="30">
        <f t="shared" si="0"/>
        <v>375</v>
      </c>
      <c r="C14" s="30">
        <v>0.25</v>
      </c>
      <c r="D14" s="29">
        <f t="shared" si="1"/>
        <v>43478260.869565219</v>
      </c>
      <c r="E14" s="29">
        <f t="shared" si="6"/>
        <v>43478.260869565216</v>
      </c>
      <c r="G14" s="20">
        <f>'EXD Podlaska 2012 Figure 4'!B13</f>
        <v>1486.4864864864865</v>
      </c>
      <c r="H14" s="4">
        <f>AVERAGE(B19,G14)</f>
        <v>1493.2432432432433</v>
      </c>
      <c r="I14" s="20">
        <f>'EXD Podlaska 2012 Figure 4'!D13</f>
        <v>43.678160919540232</v>
      </c>
      <c r="J14" s="4">
        <f>(I14*E19)/100</f>
        <v>37981.009495252372</v>
      </c>
      <c r="K14" s="20">
        <f>'EXD Podlaska 2012 Figure 4'!K13</f>
        <v>3.4482758620689609</v>
      </c>
      <c r="L14" s="23">
        <f>(K14*E19)/100</f>
        <v>2998.5007496251837</v>
      </c>
      <c r="M14" s="7"/>
      <c r="N14" s="4">
        <f>H15</f>
        <v>2009.1216216216217</v>
      </c>
      <c r="O14" s="4">
        <f>J15</f>
        <v>15892.053973013495</v>
      </c>
      <c r="P14" s="54">
        <f>L15</f>
        <v>1799.1004497751119</v>
      </c>
      <c r="Q14" s="54">
        <f t="shared" si="5"/>
        <v>17691.154422788608</v>
      </c>
      <c r="R14" s="54">
        <f>E20</f>
        <v>26086.956521739132</v>
      </c>
    </row>
    <row r="15" spans="1:18">
      <c r="A15">
        <v>2.4</v>
      </c>
      <c r="B15" s="30">
        <f t="shared" si="0"/>
        <v>600</v>
      </c>
      <c r="C15" s="30">
        <v>0.6</v>
      </c>
      <c r="D15" s="29">
        <f t="shared" si="1"/>
        <v>104347826.08695653</v>
      </c>
      <c r="E15" s="29">
        <f t="shared" si="6"/>
        <v>104347.82608695653</v>
      </c>
      <c r="G15" s="20">
        <f>'EXD Podlaska 2012 Figure 4'!B14</f>
        <v>1993.2432432432431</v>
      </c>
      <c r="H15" s="4">
        <f>AVERAGE(G15,B20)</f>
        <v>2009.1216216216217</v>
      </c>
      <c r="I15" s="20">
        <f>'EXD Podlaska 2012 Figure 4'!D14</f>
        <v>60.919540229885065</v>
      </c>
      <c r="J15" s="4">
        <f>(I15*E20)/100</f>
        <v>15892.053973013495</v>
      </c>
      <c r="K15" s="20">
        <f>'EXD Podlaska 2012 Figure 4'!K14</f>
        <v>6.8965517241379288</v>
      </c>
      <c r="L15" s="23">
        <f>(K15*E20)/100</f>
        <v>1799.1004497751119</v>
      </c>
      <c r="M15" s="7"/>
      <c r="Q15" s="54"/>
    </row>
    <row r="16" spans="1:18">
      <c r="A16">
        <v>3</v>
      </c>
      <c r="B16" s="10">
        <f t="shared" si="0"/>
        <v>750</v>
      </c>
      <c r="C16">
        <v>0.85</v>
      </c>
      <c r="D16" s="11">
        <f t="shared" si="1"/>
        <v>147826086.95652175</v>
      </c>
      <c r="E16" s="14">
        <f t="shared" si="6"/>
        <v>147826.08695652176</v>
      </c>
      <c r="G16" s="20">
        <f>'EXD Podlaska 2012 Figure 4'!B15</f>
        <v>2516.8918918918916</v>
      </c>
      <c r="H16" s="20"/>
      <c r="I16" s="20">
        <f>'EXD Podlaska 2012 Figure 4'!D15</f>
        <v>58.620689655172413</v>
      </c>
      <c r="J16" s="20"/>
      <c r="K16" s="20">
        <f>'EXD Podlaska 2012 Figure 4'!K15</f>
        <v>13.793103448275865</v>
      </c>
      <c r="L16" s="7"/>
      <c r="M16" s="7"/>
      <c r="Q16" s="54"/>
    </row>
    <row r="17" spans="1:18">
      <c r="A17">
        <v>3.3</v>
      </c>
      <c r="B17" s="30">
        <f t="shared" si="0"/>
        <v>825</v>
      </c>
      <c r="C17" s="30">
        <v>0.7</v>
      </c>
      <c r="D17" s="29">
        <f t="shared" si="1"/>
        <v>121739130.43478262</v>
      </c>
      <c r="E17" s="29">
        <f t="shared" si="6"/>
        <v>121739.13043478262</v>
      </c>
      <c r="G17" s="20"/>
      <c r="H17" s="20"/>
      <c r="I17" s="20"/>
      <c r="J17" s="20"/>
      <c r="K17" s="20"/>
      <c r="L17" s="20"/>
      <c r="M17" s="20"/>
      <c r="Q17" s="54"/>
    </row>
    <row r="18" spans="1:18">
      <c r="A18">
        <v>3.6</v>
      </c>
      <c r="B18" s="10">
        <f t="shared" si="0"/>
        <v>900</v>
      </c>
      <c r="C18">
        <v>0.2</v>
      </c>
      <c r="D18" s="11">
        <f t="shared" si="1"/>
        <v>34782608.695652179</v>
      </c>
      <c r="E18" s="14">
        <f t="shared" si="6"/>
        <v>34782.608695652176</v>
      </c>
      <c r="G18" s="20"/>
      <c r="H18" s="20"/>
      <c r="I18" s="20"/>
      <c r="J18" s="20"/>
      <c r="K18" s="20"/>
      <c r="L18" s="20"/>
      <c r="M18" s="20"/>
      <c r="Q18" s="54"/>
    </row>
    <row r="19" spans="1:18">
      <c r="A19">
        <v>6</v>
      </c>
      <c r="B19" s="30">
        <f t="shared" si="0"/>
        <v>1500</v>
      </c>
      <c r="C19" s="30">
        <v>0.5</v>
      </c>
      <c r="D19" s="29">
        <f t="shared" si="1"/>
        <v>86956521.739130437</v>
      </c>
      <c r="E19" s="29">
        <f t="shared" si="6"/>
        <v>86956.521739130432</v>
      </c>
      <c r="G19" s="20"/>
      <c r="H19" s="20"/>
      <c r="I19" s="20"/>
      <c r="J19" s="20"/>
      <c r="K19" s="20"/>
      <c r="L19" s="20"/>
      <c r="M19" s="20"/>
      <c r="N19" t="s">
        <v>875</v>
      </c>
      <c r="Q19" s="54"/>
    </row>
    <row r="20" spans="1:18">
      <c r="A20">
        <v>8.1</v>
      </c>
      <c r="B20" s="30">
        <f t="shared" si="0"/>
        <v>2025</v>
      </c>
      <c r="C20" s="30">
        <v>0.15</v>
      </c>
      <c r="D20" s="29">
        <f t="shared" si="1"/>
        <v>26086956.521739133</v>
      </c>
      <c r="E20" s="29">
        <f t="shared" si="6"/>
        <v>26086.956521739132</v>
      </c>
      <c r="G20" s="20"/>
      <c r="H20" s="20"/>
      <c r="I20" s="20"/>
      <c r="J20" s="20"/>
      <c r="K20" s="20"/>
      <c r="L20" s="20"/>
      <c r="M20" s="20"/>
      <c r="Q20" s="54"/>
    </row>
    <row r="21" spans="1:18">
      <c r="A21" t="s">
        <v>678</v>
      </c>
      <c r="G21" s="20"/>
      <c r="H21" s="20"/>
      <c r="I21" s="20"/>
      <c r="J21" s="20"/>
      <c r="K21" s="20"/>
      <c r="L21" s="20"/>
      <c r="M21" s="20"/>
      <c r="N21" s="4"/>
      <c r="O21" s="4" t="s">
        <v>859</v>
      </c>
      <c r="P21" s="54" t="s">
        <v>859</v>
      </c>
      <c r="Q21" s="54"/>
      <c r="R21" s="54" t="s">
        <v>872</v>
      </c>
    </row>
    <row r="22" spans="1:18">
      <c r="A22" t="s">
        <v>770</v>
      </c>
      <c r="B22" s="10" t="s">
        <v>771</v>
      </c>
      <c r="C22" t="s">
        <v>489</v>
      </c>
      <c r="D22" t="s">
        <v>490</v>
      </c>
      <c r="E22" s="10" t="s">
        <v>773</v>
      </c>
      <c r="G22" s="20" t="s">
        <v>496</v>
      </c>
      <c r="H22" s="20" t="s">
        <v>869</v>
      </c>
      <c r="I22" s="20" t="s">
        <v>491</v>
      </c>
      <c r="J22" s="20" t="s">
        <v>848</v>
      </c>
      <c r="K22" s="20" t="s">
        <v>732</v>
      </c>
      <c r="L22" s="7" t="s">
        <v>849</v>
      </c>
      <c r="M22" s="7"/>
      <c r="N22" s="4" t="s">
        <v>870</v>
      </c>
      <c r="O22" s="4" t="s">
        <v>871</v>
      </c>
      <c r="P22" s="54" t="s">
        <v>849</v>
      </c>
      <c r="Q22" s="54"/>
      <c r="R22" s="54" t="s">
        <v>873</v>
      </c>
    </row>
    <row r="23" spans="1:18">
      <c r="A23">
        <v>0.1</v>
      </c>
      <c r="B23" s="10">
        <f>(400*A23)/3.65</f>
        <v>10.95890410958904</v>
      </c>
      <c r="C23">
        <v>1.5</v>
      </c>
      <c r="D23" s="21">
        <f>(400000000*C23)/2.3</f>
        <v>260869565.21739131</v>
      </c>
      <c r="E23" s="14">
        <f>D23/1000</f>
        <v>260869.56521739133</v>
      </c>
      <c r="G23" s="20">
        <f>'EXD Podlaska 2012 Figure 4'!B20</f>
        <v>22.068965517241381</v>
      </c>
      <c r="H23" s="7">
        <f>AVERAGE(G23,B24)</f>
        <v>27.472838923004254</v>
      </c>
      <c r="I23" s="20">
        <f>'EXD Podlaska 2012 Figure 4'!D20</f>
        <v>62.222222222222221</v>
      </c>
      <c r="J23" s="20">
        <f>(I23*E24)/100</f>
        <v>162318.84057971014</v>
      </c>
      <c r="K23" s="20">
        <f>'EXD Podlaska 2012 Figure 4'!K20</f>
        <v>33.333333333333336</v>
      </c>
      <c r="L23" s="7">
        <f>(K23*E24)/100</f>
        <v>86956.521739130447</v>
      </c>
      <c r="M23" s="7"/>
      <c r="N23" s="23">
        <f>H23</f>
        <v>27.472838923004254</v>
      </c>
      <c r="O23" s="4">
        <f>J23</f>
        <v>162318.84057971014</v>
      </c>
      <c r="P23" s="54">
        <f>L23</f>
        <v>86956.521739130447</v>
      </c>
      <c r="Q23" s="54">
        <f t="shared" si="5"/>
        <v>249275.36231884058</v>
      </c>
      <c r="R23" s="54">
        <f>E24</f>
        <v>260869.56521739133</v>
      </c>
    </row>
    <row r="24" spans="1:18">
      <c r="A24">
        <v>0.3</v>
      </c>
      <c r="B24" s="30">
        <f t="shared" ref="B24:B32" si="7">(400*A24)/3.65</f>
        <v>32.876712328767127</v>
      </c>
      <c r="C24" s="30">
        <v>1.5</v>
      </c>
      <c r="D24" s="29">
        <f t="shared" ref="D24:D32" si="8">(400000000*C24)/2.3</f>
        <v>260869565.21739131</v>
      </c>
      <c r="E24" s="29">
        <f t="shared" ref="E24:E32" si="9">D24/1000</f>
        <v>260869.56521739133</v>
      </c>
      <c r="G24" s="20">
        <f>'EXD Podlaska 2012 Figure 4'!B21</f>
        <v>55.172413793103445</v>
      </c>
      <c r="H24" s="20">
        <f>AVERAGE(G24,B25)</f>
        <v>49.5040151157298</v>
      </c>
      <c r="I24" s="20">
        <f>'EXD Podlaska 2012 Figure 4'!D21</f>
        <v>66.666666666666671</v>
      </c>
      <c r="J24" s="20">
        <f>(I24*E25)/100</f>
        <v>40579.710144927543</v>
      </c>
      <c r="K24" s="20">
        <f>'EXD Podlaska 2012 Figure 4'!K21</f>
        <v>33.333333333333329</v>
      </c>
      <c r="L24" s="7">
        <f>(K24*E25)/100</f>
        <v>20289.855072463768</v>
      </c>
      <c r="M24" s="7"/>
      <c r="N24" s="23">
        <f t="shared" ref="N24:N30" si="10">H24</f>
        <v>49.5040151157298</v>
      </c>
      <c r="O24" s="4">
        <f t="shared" ref="O24:O30" si="11">J24</f>
        <v>40579.710144927543</v>
      </c>
      <c r="P24" s="54">
        <f t="shared" ref="P24:P30" si="12">L24</f>
        <v>20289.855072463768</v>
      </c>
      <c r="Q24" s="54">
        <f t="shared" si="5"/>
        <v>60869.565217391311</v>
      </c>
      <c r="R24" s="54">
        <f t="shared" ref="R24:R25" si="13">E25</f>
        <v>60869.565217391311</v>
      </c>
    </row>
    <row r="25" spans="1:18">
      <c r="A25">
        <v>0.4</v>
      </c>
      <c r="B25" s="30">
        <f t="shared" si="7"/>
        <v>43.835616438356162</v>
      </c>
      <c r="C25" s="30">
        <v>0.35</v>
      </c>
      <c r="D25" s="29">
        <f t="shared" si="8"/>
        <v>60869565.217391312</v>
      </c>
      <c r="E25" s="29">
        <f t="shared" si="9"/>
        <v>60869.565217391311</v>
      </c>
      <c r="G25" s="20">
        <f>'EXD Podlaska 2012 Figure 4'!B22</f>
        <v>77.241379310344826</v>
      </c>
      <c r="H25" s="20">
        <f>AVERAGE(B27,G25)</f>
        <v>82.456306093528582</v>
      </c>
      <c r="I25" s="20">
        <f>'EXD Podlaska 2012 Figure 4'!D22</f>
        <v>44.444444444444443</v>
      </c>
      <c r="J25" s="20">
        <f>(I25*E26)/100</f>
        <v>27053.140096618361</v>
      </c>
      <c r="K25" s="20">
        <f>'EXD Podlaska 2012 Figure 4'!K22</f>
        <v>26.666666666666671</v>
      </c>
      <c r="L25" s="7">
        <f>(K25*E26)/100</f>
        <v>16231.88405797102</v>
      </c>
      <c r="M25" s="7"/>
      <c r="N25" s="23">
        <f t="shared" si="10"/>
        <v>82.456306093528582</v>
      </c>
      <c r="O25" s="4">
        <f t="shared" si="11"/>
        <v>27053.140096618361</v>
      </c>
      <c r="P25" s="54">
        <f t="shared" si="12"/>
        <v>16231.88405797102</v>
      </c>
      <c r="Q25" s="54">
        <f t="shared" si="5"/>
        <v>43285.02415458938</v>
      </c>
      <c r="R25" s="54">
        <f t="shared" si="13"/>
        <v>60869.565217391311</v>
      </c>
    </row>
    <row r="26" spans="1:18">
      <c r="A26">
        <v>0.6</v>
      </c>
      <c r="B26" s="30">
        <f t="shared" si="7"/>
        <v>65.753424657534254</v>
      </c>
      <c r="C26" s="30">
        <v>0.35</v>
      </c>
      <c r="D26" s="29">
        <f t="shared" si="8"/>
        <v>60869565.217391312</v>
      </c>
      <c r="E26" s="29">
        <f t="shared" si="9"/>
        <v>60869.565217391311</v>
      </c>
      <c r="G26" s="20">
        <f>'EXD Podlaska 2012 Figure 4'!B23</f>
        <v>110.34482758620689</v>
      </c>
      <c r="H26" s="20">
        <f>AVERAGE(G26,B28)</f>
        <v>115.44638639584318</v>
      </c>
      <c r="I26" s="20">
        <f>'EXD Podlaska 2012 Figure 4'!D23</f>
        <v>73.333333333333329</v>
      </c>
      <c r="J26" s="20">
        <f>(I26*E28)/100</f>
        <v>165797.10144927536</v>
      </c>
      <c r="K26" s="20">
        <f>'EXD Podlaska 2012 Figure 4'!K23</f>
        <v>14.444444444444443</v>
      </c>
      <c r="L26" s="7">
        <f>(K26*E29)/100</f>
        <v>7536.231884057971</v>
      </c>
      <c r="M26" s="7"/>
      <c r="N26" s="23">
        <f t="shared" si="10"/>
        <v>115.44638639584318</v>
      </c>
      <c r="O26" s="4">
        <f t="shared" si="11"/>
        <v>165797.10144927536</v>
      </c>
      <c r="P26" s="54">
        <f t="shared" si="12"/>
        <v>7536.231884057971</v>
      </c>
      <c r="Q26" s="54">
        <f t="shared" si="5"/>
        <v>173333.33333333334</v>
      </c>
      <c r="R26" s="54">
        <f>E28</f>
        <v>226086.95652173916</v>
      </c>
    </row>
    <row r="27" spans="1:18">
      <c r="A27">
        <v>0.8</v>
      </c>
      <c r="B27" s="10">
        <f t="shared" si="7"/>
        <v>87.671232876712324</v>
      </c>
      <c r="C27">
        <v>0.7</v>
      </c>
      <c r="D27" s="21">
        <f t="shared" si="8"/>
        <v>121739130.43478262</v>
      </c>
      <c r="E27" s="14">
        <f t="shared" si="9"/>
        <v>121739.13043478262</v>
      </c>
      <c r="G27" s="20">
        <f>'EXD Podlaska 2012 Figure 4'!B24</f>
        <v>198.62068965517241</v>
      </c>
      <c r="H27" s="20">
        <f>AVERAGE(G27,B29)</f>
        <v>197.94048181388757</v>
      </c>
      <c r="I27" s="20">
        <f>'EXD Podlaska 2012 Figure 4'!D24</f>
        <v>48.888888888888893</v>
      </c>
      <c r="J27" s="20">
        <f>(I27*E29)/100</f>
        <v>25507.246376811596</v>
      </c>
      <c r="K27" s="20">
        <f>'EXD Podlaska 2012 Figure 4'!K24</f>
        <v>22.222222222222221</v>
      </c>
      <c r="L27" s="7">
        <f>(K27*E29)/100</f>
        <v>11594.202898550726</v>
      </c>
      <c r="M27" s="7"/>
      <c r="N27" s="23">
        <f t="shared" si="10"/>
        <v>197.94048181388757</v>
      </c>
      <c r="O27" s="4">
        <f t="shared" si="11"/>
        <v>25507.246376811596</v>
      </c>
      <c r="P27" s="54">
        <f t="shared" si="12"/>
        <v>11594.202898550726</v>
      </c>
      <c r="Q27" s="54">
        <f t="shared" si="5"/>
        <v>37101.44927536232</v>
      </c>
      <c r="R27" s="54">
        <f t="shared" ref="R27:R30" si="14">E29</f>
        <v>52173.913043478264</v>
      </c>
    </row>
    <row r="28" spans="1:18">
      <c r="A28">
        <v>1.1000000000000001</v>
      </c>
      <c r="B28" s="30">
        <f t="shared" si="7"/>
        <v>120.54794520547946</v>
      </c>
      <c r="C28" s="30">
        <v>1.3</v>
      </c>
      <c r="D28" s="29">
        <f t="shared" si="8"/>
        <v>226086956.52173916</v>
      </c>
      <c r="E28" s="29">
        <f t="shared" si="9"/>
        <v>226086.95652173916</v>
      </c>
      <c r="G28" s="20">
        <f>'EXD Podlaska 2012 Figure 4'!B25</f>
        <v>397.24137931034483</v>
      </c>
      <c r="H28" s="20">
        <f>AVERAGE(G28,B30)</f>
        <v>395.88096362777515</v>
      </c>
      <c r="I28" s="20">
        <f>'EXD Podlaska 2012 Figure 4'!D25</f>
        <v>53.333333333333336</v>
      </c>
      <c r="J28" s="20">
        <f>(I28*E30)/100</f>
        <v>64927.536231884071</v>
      </c>
      <c r="K28" s="20">
        <f>'EXD Podlaska 2012 Figure 4'!K25</f>
        <v>33.333333333333336</v>
      </c>
      <c r="L28" s="7">
        <f>(K28*E30)/100</f>
        <v>40579.710144927543</v>
      </c>
      <c r="M28" s="7"/>
      <c r="N28" s="23">
        <f t="shared" si="10"/>
        <v>395.88096362777515</v>
      </c>
      <c r="O28" s="4">
        <f t="shared" si="11"/>
        <v>64927.536231884071</v>
      </c>
      <c r="P28" s="54">
        <f t="shared" si="12"/>
        <v>40579.710144927543</v>
      </c>
      <c r="Q28" s="54">
        <f t="shared" si="5"/>
        <v>105507.24637681161</v>
      </c>
      <c r="R28" s="54">
        <f t="shared" si="14"/>
        <v>121739.13043478262</v>
      </c>
    </row>
    <row r="29" spans="1:18">
      <c r="A29">
        <v>1.8</v>
      </c>
      <c r="B29" s="30">
        <f t="shared" si="7"/>
        <v>197.26027397260273</v>
      </c>
      <c r="C29" s="30">
        <v>0.3</v>
      </c>
      <c r="D29" s="29">
        <f t="shared" si="8"/>
        <v>52173913.043478265</v>
      </c>
      <c r="E29" s="29">
        <f t="shared" si="9"/>
        <v>52173.913043478264</v>
      </c>
      <c r="G29" s="20">
        <f>'EXD Podlaska 2012 Figure 4'!B26</f>
        <v>595.86206896551721</v>
      </c>
      <c r="H29" s="20">
        <f>AVERAGE(G29,B31)</f>
        <v>593.82144544166272</v>
      </c>
      <c r="I29" s="20">
        <f>'EXD Podlaska 2012 Figure 4'!D26</f>
        <v>46.666666666666664</v>
      </c>
      <c r="J29" s="20">
        <f>(I29*E31)/100</f>
        <v>16231.884057971016</v>
      </c>
      <c r="K29" s="20">
        <f>'EXD Podlaska 2012 Figure 4'!K26</f>
        <v>52.222222222222221</v>
      </c>
      <c r="L29" s="7">
        <f>(K29*E31)/100</f>
        <v>18164.251207729467</v>
      </c>
      <c r="M29" s="7"/>
      <c r="N29" s="23">
        <f t="shared" si="10"/>
        <v>593.82144544166272</v>
      </c>
      <c r="O29" s="4">
        <f t="shared" si="11"/>
        <v>16231.884057971016</v>
      </c>
      <c r="P29" s="54">
        <f t="shared" si="12"/>
        <v>18164.251207729467</v>
      </c>
      <c r="Q29" s="54">
        <f t="shared" si="5"/>
        <v>34396.135265700483</v>
      </c>
      <c r="R29" s="54">
        <f t="shared" si="14"/>
        <v>34782.608695652176</v>
      </c>
    </row>
    <row r="30" spans="1:18">
      <c r="A30">
        <v>3.6</v>
      </c>
      <c r="B30" s="30">
        <f t="shared" si="7"/>
        <v>394.52054794520546</v>
      </c>
      <c r="C30" s="30">
        <v>0.7</v>
      </c>
      <c r="D30" s="29">
        <f t="shared" si="8"/>
        <v>121739130.43478262</v>
      </c>
      <c r="E30" s="29">
        <f t="shared" si="9"/>
        <v>121739.13043478262</v>
      </c>
      <c r="G30" s="20">
        <f>'EXD Podlaska 2012 Figure 4'!B27</f>
        <v>794.48275862068965</v>
      </c>
      <c r="H30" s="20">
        <f>AVERAGE(G30,B32)</f>
        <v>819.15918752952291</v>
      </c>
      <c r="I30" s="20">
        <f>'EXD Podlaska 2012 Figure 4'!D27</f>
        <v>57.777777777777779</v>
      </c>
      <c r="J30" s="20">
        <f>(I30*E32)/100</f>
        <v>15072.463768115942</v>
      </c>
      <c r="K30" s="20">
        <f>'EXD Podlaska 2012 Figure 4'!K27</f>
        <v>31.111111111111107</v>
      </c>
      <c r="L30" s="7">
        <f>(K30*E32)/100</f>
        <v>8115.942028985507</v>
      </c>
      <c r="M30" s="7"/>
      <c r="N30" s="23">
        <f t="shared" si="10"/>
        <v>819.15918752952291</v>
      </c>
      <c r="O30" s="4">
        <f t="shared" si="11"/>
        <v>15072.463768115942</v>
      </c>
      <c r="P30" s="54">
        <f t="shared" si="12"/>
        <v>8115.942028985507</v>
      </c>
      <c r="Q30" s="54">
        <f t="shared" si="5"/>
        <v>23188.405797101448</v>
      </c>
      <c r="R30" s="54">
        <f t="shared" si="14"/>
        <v>26086.956521739132</v>
      </c>
    </row>
    <row r="31" spans="1:18">
      <c r="A31">
        <v>5.4</v>
      </c>
      <c r="B31" s="30">
        <f t="shared" si="7"/>
        <v>591.78082191780823</v>
      </c>
      <c r="C31" s="30">
        <v>0.2</v>
      </c>
      <c r="D31" s="29">
        <f t="shared" si="8"/>
        <v>34782608.695652179</v>
      </c>
      <c r="E31" s="29">
        <f t="shared" si="9"/>
        <v>34782.608695652176</v>
      </c>
      <c r="G31" s="20"/>
      <c r="H31" s="20"/>
      <c r="I31" s="20"/>
      <c r="J31" s="20"/>
      <c r="K31" s="20"/>
      <c r="L31" s="7"/>
      <c r="M31" s="7"/>
      <c r="N31" s="21"/>
      <c r="Q31" s="54"/>
    </row>
    <row r="32" spans="1:18">
      <c r="A32">
        <v>7.7</v>
      </c>
      <c r="B32" s="30">
        <f t="shared" si="7"/>
        <v>843.83561643835617</v>
      </c>
      <c r="C32" s="30">
        <v>0.15</v>
      </c>
      <c r="D32" s="29">
        <f t="shared" si="8"/>
        <v>26086956.521739133</v>
      </c>
      <c r="E32" s="29">
        <f t="shared" si="9"/>
        <v>26086.956521739132</v>
      </c>
      <c r="G32" s="20"/>
      <c r="H32" s="20"/>
      <c r="I32" s="20"/>
      <c r="J32" s="20"/>
      <c r="K32" s="20"/>
      <c r="L32" s="7"/>
      <c r="M32" s="7"/>
      <c r="N32" s="21"/>
      <c r="Q32" s="54"/>
    </row>
    <row r="33" spans="1:18">
      <c r="B33" s="10"/>
      <c r="D33" s="13"/>
      <c r="E33" s="14"/>
      <c r="G33" s="20"/>
      <c r="H33" s="20"/>
      <c r="I33" s="20"/>
      <c r="J33" s="20"/>
      <c r="K33" s="20"/>
      <c r="L33" s="7"/>
      <c r="M33" s="7"/>
      <c r="Q33" s="54"/>
    </row>
    <row r="34" spans="1:18">
      <c r="A34" t="s">
        <v>679</v>
      </c>
      <c r="N34" s="4" t="s">
        <v>877</v>
      </c>
      <c r="O34" s="4" t="s">
        <v>859</v>
      </c>
      <c r="P34" s="54" t="s">
        <v>859</v>
      </c>
      <c r="Q34" s="54"/>
      <c r="R34" s="54" t="s">
        <v>722</v>
      </c>
    </row>
    <row r="35" spans="1:18">
      <c r="A35" t="s">
        <v>770</v>
      </c>
      <c r="B35" s="10" t="s">
        <v>771</v>
      </c>
      <c r="C35" t="s">
        <v>489</v>
      </c>
      <c r="D35" t="s">
        <v>490</v>
      </c>
      <c r="E35" s="10" t="s">
        <v>773</v>
      </c>
      <c r="G35" t="s">
        <v>497</v>
      </c>
      <c r="I35" t="s">
        <v>498</v>
      </c>
      <c r="K35" t="s">
        <v>732</v>
      </c>
      <c r="N35" s="4" t="s">
        <v>876</v>
      </c>
      <c r="O35" s="4" t="s">
        <v>871</v>
      </c>
      <c r="P35" s="54" t="s">
        <v>878</v>
      </c>
      <c r="Q35" s="54"/>
      <c r="R35" s="54" t="s">
        <v>879</v>
      </c>
    </row>
    <row r="36" spans="1:18">
      <c r="A36">
        <v>0.05</v>
      </c>
      <c r="B36" s="30">
        <f>(400*A36)/2</f>
        <v>10</v>
      </c>
      <c r="C36" s="30">
        <v>0.6</v>
      </c>
      <c r="D36" s="29">
        <f>(400000000*C36)/2.35</f>
        <v>102127659.57446808</v>
      </c>
      <c r="E36" s="29">
        <f>D36/1000</f>
        <v>102127.65957446808</v>
      </c>
      <c r="G36">
        <f>'EXD Podlaska 2012 Figure 4'!B31</f>
        <v>0</v>
      </c>
      <c r="H36">
        <f>AVERAGE(G36,B36)</f>
        <v>5</v>
      </c>
      <c r="I36">
        <f>'EXD Podlaska 2012 Figure 4'!D31</f>
        <v>70</v>
      </c>
      <c r="J36">
        <f>(I36*E36)/100</f>
        <v>71489.361702127659</v>
      </c>
      <c r="K36">
        <f>'EXD Podlaska 2012 Figure 4'!K31</f>
        <v>36.666666666666671</v>
      </c>
      <c r="L36">
        <f>(K36*E36)/100</f>
        <v>37446.808510638301</v>
      </c>
      <c r="N36" s="4">
        <f>H36</f>
        <v>5</v>
      </c>
      <c r="O36" s="4">
        <f>J36</f>
        <v>71489.361702127659</v>
      </c>
      <c r="P36" s="54">
        <f>L36</f>
        <v>37446.808510638301</v>
      </c>
      <c r="Q36" s="54">
        <f>O36+P36</f>
        <v>108936.17021276595</v>
      </c>
      <c r="R36" s="54">
        <f>E36</f>
        <v>102127.65957446808</v>
      </c>
    </row>
    <row r="37" spans="1:18">
      <c r="A37">
        <v>0.1</v>
      </c>
      <c r="B37" s="30">
        <f t="shared" ref="B37:B47" si="15">(400*A37)/2</f>
        <v>20</v>
      </c>
      <c r="C37" s="30">
        <v>1.65</v>
      </c>
      <c r="D37" s="29">
        <f>(400000000*C37)/2.35</f>
        <v>280851063.82978719</v>
      </c>
      <c r="E37" s="29">
        <f>D37/1000</f>
        <v>280851.06382978719</v>
      </c>
      <c r="G37">
        <f>'EXD Podlaska 2012 Figure 4'!B32</f>
        <v>39.16083916083916</v>
      </c>
      <c r="H37">
        <f>AVERAGE(G37,B37)</f>
        <v>29.58041958041958</v>
      </c>
      <c r="I37">
        <f>'EXD Podlaska 2012 Figure 4'!D32</f>
        <v>48.888888888888893</v>
      </c>
      <c r="J37">
        <f>(I37*E37)/100</f>
        <v>137304.96453900708</v>
      </c>
      <c r="K37">
        <f>'EXD Podlaska 2012 Figure 4'!K32</f>
        <v>46.666666666666664</v>
      </c>
      <c r="L37">
        <f>(K37*E37)/100</f>
        <v>131063.82978723402</v>
      </c>
      <c r="N37" s="4">
        <f t="shared" ref="N37:N43" si="16">H37</f>
        <v>29.58041958041958</v>
      </c>
      <c r="O37" s="4">
        <f>J37</f>
        <v>137304.96453900708</v>
      </c>
      <c r="P37" s="54">
        <f t="shared" ref="P37:P43" si="17">L37</f>
        <v>131063.82978723402</v>
      </c>
      <c r="Q37" s="54">
        <f t="shared" si="5"/>
        <v>268368.79432624113</v>
      </c>
      <c r="R37" s="54">
        <f>E37</f>
        <v>280851.06382978719</v>
      </c>
    </row>
    <row r="38" spans="1:18">
      <c r="A38">
        <v>0.3</v>
      </c>
      <c r="B38" s="10">
        <f t="shared" si="15"/>
        <v>60</v>
      </c>
      <c r="C38">
        <v>0.6</v>
      </c>
      <c r="D38" s="21">
        <f t="shared" ref="D38:D47" si="18">(400000000*C38)/2.35</f>
        <v>102127659.57446808</v>
      </c>
      <c r="E38" s="14">
        <f t="shared" ref="E38:E47" si="19">D38/1000</f>
        <v>102127.65957446808</v>
      </c>
      <c r="G38">
        <f>'EXD Podlaska 2012 Figure 4'!B33</f>
        <v>137.06293706293704</v>
      </c>
      <c r="H38">
        <f>AVERAGE(G38,B40)</f>
        <v>148.53146853146853</v>
      </c>
      <c r="I38">
        <f>'EXD Podlaska 2012 Figure 4'!D33</f>
        <v>42.222222222222221</v>
      </c>
      <c r="J38">
        <f>(I38*E40)/100</f>
        <v>53900.709219858152</v>
      </c>
      <c r="K38">
        <f>'EXD Podlaska 2012 Figure 4'!K33</f>
        <v>8.8888888888888857</v>
      </c>
      <c r="L38">
        <f>(K38*E40)/100</f>
        <v>11347.517730496449</v>
      </c>
      <c r="N38" s="4">
        <f t="shared" si="16"/>
        <v>148.53146853146853</v>
      </c>
      <c r="O38" s="4">
        <f t="shared" ref="O38:O43" si="20">J38</f>
        <v>53900.709219858152</v>
      </c>
      <c r="P38" s="54">
        <f t="shared" si="17"/>
        <v>11347.517730496449</v>
      </c>
      <c r="Q38" s="54">
        <f t="shared" si="5"/>
        <v>65248.226950354598</v>
      </c>
      <c r="R38" s="54">
        <f>E40</f>
        <v>127659.57446808509</v>
      </c>
    </row>
    <row r="39" spans="1:18">
      <c r="A39">
        <v>0.4</v>
      </c>
      <c r="B39" s="10">
        <f t="shared" si="15"/>
        <v>80</v>
      </c>
      <c r="C39">
        <v>0.8</v>
      </c>
      <c r="D39" s="21">
        <f t="shared" si="18"/>
        <v>136170212.76595744</v>
      </c>
      <c r="E39" s="14">
        <f t="shared" si="19"/>
        <v>136170.21276595743</v>
      </c>
      <c r="G39">
        <f>'EXD Podlaska 2012 Figure 4'!B34</f>
        <v>234.96503496503496</v>
      </c>
      <c r="H39">
        <f>AVERAGE(G39,B41)</f>
        <v>247.48251748251749</v>
      </c>
      <c r="I39">
        <f>'EXD Podlaska 2012 Figure 4'!D34</f>
        <v>38.888888888888886</v>
      </c>
      <c r="J39">
        <f>(I39*E41)/100</f>
        <v>23167.848699763588</v>
      </c>
      <c r="K39">
        <f>'EXD Podlaska 2012 Figure 4'!K34</f>
        <v>11.111111111111114</v>
      </c>
      <c r="L39">
        <f>(K39*E41)/100</f>
        <v>6619.3853427895992</v>
      </c>
      <c r="N39" s="4">
        <f t="shared" si="16"/>
        <v>247.48251748251749</v>
      </c>
      <c r="O39" s="4">
        <f t="shared" si="20"/>
        <v>23167.848699763588</v>
      </c>
      <c r="P39" s="54">
        <f t="shared" si="17"/>
        <v>6619.3853427895992</v>
      </c>
      <c r="Q39" s="54">
        <f t="shared" si="5"/>
        <v>29787.234042553187</v>
      </c>
      <c r="R39" s="54">
        <f t="shared" ref="R39:R42" si="21">E41</f>
        <v>59574.468085106382</v>
      </c>
    </row>
    <row r="40" spans="1:18">
      <c r="A40">
        <v>0.8</v>
      </c>
      <c r="B40" s="30">
        <f t="shared" si="15"/>
        <v>160</v>
      </c>
      <c r="C40" s="30">
        <v>0.75</v>
      </c>
      <c r="D40" s="29">
        <f t="shared" si="18"/>
        <v>127659574.4680851</v>
      </c>
      <c r="E40" s="29">
        <f t="shared" si="19"/>
        <v>127659.57446808509</v>
      </c>
      <c r="G40">
        <f>'EXD Podlaska 2012 Figure 4'!B35</f>
        <v>391.60839160839157</v>
      </c>
      <c r="H40">
        <f>AVERAGE(G40,B42)</f>
        <v>395.80419580419579</v>
      </c>
      <c r="I40">
        <f>'EXD Podlaska 2012 Figure 4'!D35</f>
        <v>48.888888888888893</v>
      </c>
      <c r="J40">
        <f>(I40*E42)/100</f>
        <v>49929.078014184401</v>
      </c>
      <c r="K40">
        <f>'EXD Podlaska 2012 Figure 4'!K35</f>
        <v>13.333333333333329</v>
      </c>
      <c r="L40">
        <f>(K40*E42)/100</f>
        <v>13617.021276595739</v>
      </c>
      <c r="N40" s="4">
        <f t="shared" si="16"/>
        <v>395.80419580419579</v>
      </c>
      <c r="O40" s="4">
        <f t="shared" si="20"/>
        <v>49929.078014184401</v>
      </c>
      <c r="P40" s="54">
        <f t="shared" si="17"/>
        <v>13617.021276595739</v>
      </c>
      <c r="Q40" s="54">
        <f t="shared" si="5"/>
        <v>63546.099290780141</v>
      </c>
      <c r="R40" s="54">
        <f t="shared" si="21"/>
        <v>102127.65957446808</v>
      </c>
    </row>
    <row r="41" spans="1:18">
      <c r="A41">
        <v>1.3</v>
      </c>
      <c r="B41" s="30">
        <f t="shared" si="15"/>
        <v>260</v>
      </c>
      <c r="C41" s="30">
        <v>0.35</v>
      </c>
      <c r="D41" s="29">
        <f t="shared" si="18"/>
        <v>59574468.08510638</v>
      </c>
      <c r="E41" s="29">
        <f t="shared" si="19"/>
        <v>59574.468085106382</v>
      </c>
      <c r="G41">
        <f>'EXD Podlaska 2012 Figure 4'!B36</f>
        <v>587.41258741258741</v>
      </c>
      <c r="H41">
        <f>AVERAGE(G41,B43)</f>
        <v>603.70629370629376</v>
      </c>
      <c r="I41">
        <f>'EXD Podlaska 2012 Figure 4'!D36</f>
        <v>58.888888888888886</v>
      </c>
      <c r="J41">
        <f>(I41*E43)/100</f>
        <v>35082.742316784868</v>
      </c>
      <c r="K41">
        <f>'EXD Podlaska 2012 Figure 4'!K36</f>
        <v>17.777777777777786</v>
      </c>
      <c r="L41">
        <f>(K41*E43)/100</f>
        <v>10591.016548463362</v>
      </c>
      <c r="N41" s="4">
        <f t="shared" si="16"/>
        <v>603.70629370629376</v>
      </c>
      <c r="O41" s="4">
        <f t="shared" si="20"/>
        <v>35082.742316784868</v>
      </c>
      <c r="P41" s="54">
        <f t="shared" si="17"/>
        <v>10591.016548463362</v>
      </c>
      <c r="Q41" s="54">
        <f t="shared" si="5"/>
        <v>45673.75886524823</v>
      </c>
      <c r="R41" s="54">
        <f t="shared" si="21"/>
        <v>59574.468085106382</v>
      </c>
    </row>
    <row r="42" spans="1:18">
      <c r="A42">
        <v>2</v>
      </c>
      <c r="B42" s="30">
        <f t="shared" si="15"/>
        <v>400</v>
      </c>
      <c r="C42" s="30">
        <v>0.6</v>
      </c>
      <c r="D42" s="29">
        <f t="shared" si="18"/>
        <v>102127659.57446808</v>
      </c>
      <c r="E42" s="29">
        <f t="shared" si="19"/>
        <v>102127.65957446808</v>
      </c>
      <c r="G42">
        <f>'EXD Podlaska 2012 Figure 4'!B37</f>
        <v>744.055944055944</v>
      </c>
      <c r="H42">
        <f>AVERAGE(G42,B44)</f>
        <v>752.02797202797206</v>
      </c>
      <c r="I42">
        <f>'EXD Podlaska 2012 Figure 4'!D37</f>
        <v>35.555555555555557</v>
      </c>
      <c r="J42">
        <f>(I42*E44)/100</f>
        <v>24208.037825059098</v>
      </c>
      <c r="K42">
        <f>'EXD Podlaska 2012 Figure 4'!K37</f>
        <v>37.777777777777771</v>
      </c>
      <c r="L42">
        <f>(K42*E44)/100</f>
        <v>25721.040189125288</v>
      </c>
      <c r="N42" s="4">
        <f t="shared" si="16"/>
        <v>752.02797202797206</v>
      </c>
      <c r="O42" s="4">
        <f t="shared" si="20"/>
        <v>24208.037825059098</v>
      </c>
      <c r="P42" s="54">
        <f t="shared" si="17"/>
        <v>25721.040189125288</v>
      </c>
      <c r="Q42" s="54">
        <f t="shared" si="5"/>
        <v>49929.078014184386</v>
      </c>
      <c r="R42" s="54">
        <f t="shared" si="21"/>
        <v>68085.106382978716</v>
      </c>
    </row>
    <row r="43" spans="1:18">
      <c r="A43">
        <v>3.1</v>
      </c>
      <c r="B43" s="30">
        <f t="shared" si="15"/>
        <v>620</v>
      </c>
      <c r="C43" s="30">
        <v>0.35</v>
      </c>
      <c r="D43" s="29">
        <f t="shared" si="18"/>
        <v>59574468.08510638</v>
      </c>
      <c r="E43" s="29">
        <f t="shared" si="19"/>
        <v>59574.468085106382</v>
      </c>
      <c r="G43">
        <f>'EXD Podlaska 2012 Figure 4'!B38</f>
        <v>998.60139860139839</v>
      </c>
      <c r="H43">
        <f>AVERAGE(G43,B46)</f>
        <v>1009.3006993006991</v>
      </c>
      <c r="I43">
        <f>'EXD Podlaska 2012 Figure 4'!D38</f>
        <v>46.666666666666664</v>
      </c>
      <c r="J43">
        <f>(I43*E46)/100</f>
        <v>3971.6312056737584</v>
      </c>
      <c r="K43">
        <f>'EXD Podlaska 2012 Figure 4'!K38</f>
        <v>37.777777777777779</v>
      </c>
      <c r="L43">
        <f>(K43*E46)/100</f>
        <v>3215.1300236406614</v>
      </c>
      <c r="N43" s="4">
        <f t="shared" si="16"/>
        <v>1009.3006993006991</v>
      </c>
      <c r="O43" s="4">
        <f t="shared" si="20"/>
        <v>3971.6312056737584</v>
      </c>
      <c r="P43" s="54">
        <f t="shared" si="17"/>
        <v>3215.1300236406614</v>
      </c>
      <c r="Q43" s="54">
        <f t="shared" si="5"/>
        <v>7186.7612293144193</v>
      </c>
      <c r="R43" s="54">
        <f>E46</f>
        <v>8510.6382978723395</v>
      </c>
    </row>
    <row r="44" spans="1:18">
      <c r="A44">
        <v>3.8</v>
      </c>
      <c r="B44" s="30">
        <f t="shared" si="15"/>
        <v>760</v>
      </c>
      <c r="C44" s="30">
        <v>0.4</v>
      </c>
      <c r="D44" s="29">
        <f t="shared" si="18"/>
        <v>68085106.382978722</v>
      </c>
      <c r="E44" s="29">
        <f t="shared" si="19"/>
        <v>68085.106382978716</v>
      </c>
      <c r="G44">
        <f>'EXD Podlaska 2012 Figure 4'!B39</f>
        <v>1194.4055944055945</v>
      </c>
      <c r="I44">
        <f>'EXD Podlaska 2012 Figure 4'!D39</f>
        <v>51.111111111111107</v>
      </c>
      <c r="K44">
        <f>'EXD Podlaska 2012 Figure 4'!K39</f>
        <v>26.666666666666664</v>
      </c>
      <c r="N44" s="23">
        <f>H45</f>
        <v>1465.1048951048951</v>
      </c>
      <c r="O44" s="4">
        <f>J45</f>
        <v>9078.0141843971614</v>
      </c>
      <c r="P44" s="54">
        <f>L45</f>
        <v>3404.2553191489346</v>
      </c>
      <c r="Q44" s="54">
        <f t="shared" si="5"/>
        <v>12482.269503546097</v>
      </c>
      <c r="R44" s="54">
        <f>E47</f>
        <v>17021.276595744679</v>
      </c>
    </row>
    <row r="45" spans="1:18">
      <c r="A45">
        <v>4.3</v>
      </c>
      <c r="B45" s="10">
        <f t="shared" si="15"/>
        <v>860</v>
      </c>
      <c r="C45">
        <v>0.3</v>
      </c>
      <c r="D45" s="21">
        <f t="shared" si="18"/>
        <v>51063829.787234038</v>
      </c>
      <c r="E45" s="14">
        <f t="shared" si="19"/>
        <v>51063.829787234041</v>
      </c>
      <c r="G45">
        <f>'EXD Podlaska 2012 Figure 4'!B40</f>
        <v>1390.2097902097901</v>
      </c>
      <c r="H45" s="21">
        <f>AVERAGE(G45,B47)</f>
        <v>1465.1048951048951</v>
      </c>
      <c r="I45">
        <f>'EXD Podlaska 2012 Figure 4'!D40</f>
        <v>53.333333333333336</v>
      </c>
      <c r="J45">
        <f>(I45*E47)/100</f>
        <v>9078.0141843971614</v>
      </c>
      <c r="K45">
        <f>'EXD Podlaska 2012 Figure 4'!K40</f>
        <v>19.999999999999993</v>
      </c>
      <c r="L45">
        <f>(K45*E47)/100</f>
        <v>3404.2553191489346</v>
      </c>
      <c r="Q45" s="54"/>
    </row>
    <row r="46" spans="1:18">
      <c r="A46">
        <v>5.0999999999999996</v>
      </c>
      <c r="B46" s="30">
        <f t="shared" si="15"/>
        <v>1019.9999999999999</v>
      </c>
      <c r="C46" s="30">
        <v>0.05</v>
      </c>
      <c r="D46" s="29">
        <f t="shared" si="18"/>
        <v>8510638.2978723403</v>
      </c>
      <c r="E46" s="29">
        <f t="shared" si="19"/>
        <v>8510.6382978723395</v>
      </c>
      <c r="Q46" s="54"/>
    </row>
    <row r="47" spans="1:18">
      <c r="A47" s="30">
        <v>7.7</v>
      </c>
      <c r="B47" s="30">
        <f t="shared" si="15"/>
        <v>1540</v>
      </c>
      <c r="C47" s="30">
        <v>0.1</v>
      </c>
      <c r="D47" s="29">
        <f t="shared" si="18"/>
        <v>17021276.595744681</v>
      </c>
      <c r="E47" s="29">
        <f t="shared" si="19"/>
        <v>17021.276595744679</v>
      </c>
      <c r="Q47" s="54"/>
    </row>
    <row r="48" spans="1:18">
      <c r="A48" t="s">
        <v>680</v>
      </c>
      <c r="N48" s="4" t="s">
        <v>881</v>
      </c>
      <c r="O48" s="4" t="s">
        <v>859</v>
      </c>
      <c r="P48" s="54" t="s">
        <v>859</v>
      </c>
      <c r="Q48" s="54"/>
      <c r="R48" s="54" t="s">
        <v>722</v>
      </c>
    </row>
    <row r="49" spans="1:18">
      <c r="A49" t="s">
        <v>770</v>
      </c>
      <c r="B49" s="10" t="s">
        <v>771</v>
      </c>
      <c r="C49" t="s">
        <v>489</v>
      </c>
      <c r="D49" t="s">
        <v>490</v>
      </c>
      <c r="E49" s="10" t="s">
        <v>773</v>
      </c>
      <c r="G49" t="s">
        <v>497</v>
      </c>
      <c r="H49" t="s">
        <v>869</v>
      </c>
      <c r="I49" t="s">
        <v>498</v>
      </c>
      <c r="J49" t="s">
        <v>880</v>
      </c>
      <c r="K49" t="s">
        <v>734</v>
      </c>
      <c r="L49" t="s">
        <v>880</v>
      </c>
      <c r="N49" s="4" t="s">
        <v>882</v>
      </c>
      <c r="O49" s="4" t="s">
        <v>871</v>
      </c>
      <c r="P49" s="54" t="s">
        <v>878</v>
      </c>
      <c r="Q49" s="54"/>
      <c r="R49" s="54" t="s">
        <v>879</v>
      </c>
    </row>
    <row r="50" spans="1:18">
      <c r="A50">
        <v>0.05</v>
      </c>
      <c r="B50" s="10">
        <f>(400*A50)/2.2</f>
        <v>9.0909090909090899</v>
      </c>
      <c r="C50">
        <v>2.1</v>
      </c>
      <c r="D50" s="21">
        <f>(400000000*C50)/2.3</f>
        <v>365217391.30434787</v>
      </c>
      <c r="E50" s="14">
        <f>D50/1000</f>
        <v>365217.3913043479</v>
      </c>
      <c r="G50">
        <f>'EXD Podlaska 2012 Figure 4'!B44</f>
        <v>78.32167832167832</v>
      </c>
      <c r="H50">
        <f>AVERAGE(G50,B54)</f>
        <v>75.52447552447552</v>
      </c>
      <c r="I50">
        <f>'EXD Podlaska 2012 Figure 4'!D44</f>
        <v>87.356321839080465</v>
      </c>
      <c r="J50">
        <f>(I50*E54)/100</f>
        <v>151924.03798100949</v>
      </c>
      <c r="K50">
        <f>'EXD Podlaska 2012 Figure 4'!K44</f>
        <v>8.0459770114942728</v>
      </c>
      <c r="L50">
        <f t="shared" ref="L50:L55" si="22">(K50*E54)/100</f>
        <v>13993.00349825091</v>
      </c>
      <c r="N50" s="4">
        <f>H50</f>
        <v>75.52447552447552</v>
      </c>
      <c r="O50" s="4">
        <f>J50</f>
        <v>151924.03798100949</v>
      </c>
      <c r="P50" s="54">
        <f>L50</f>
        <v>13993.00349825091</v>
      </c>
      <c r="Q50" s="54">
        <f t="shared" si="5"/>
        <v>165917.0414792604</v>
      </c>
      <c r="R50" s="54">
        <f>E54</f>
        <v>173913.04347826086</v>
      </c>
    </row>
    <row r="51" spans="1:18">
      <c r="A51">
        <v>0.1</v>
      </c>
      <c r="B51" s="10">
        <f t="shared" ref="B51:B65" si="23">(400*A51)/2.2</f>
        <v>18.18181818181818</v>
      </c>
      <c r="C51">
        <v>2.65</v>
      </c>
      <c r="D51" s="21">
        <f t="shared" ref="D51:D65" si="24">(400000000*C51)/2.3</f>
        <v>460869565.21739131</v>
      </c>
      <c r="E51" s="14">
        <f t="shared" ref="E51:E65" si="25">D51/1000</f>
        <v>460869.5652173913</v>
      </c>
      <c r="G51">
        <f>'EXD Podlaska 2012 Figure 4'!B45</f>
        <v>117.48251748251748</v>
      </c>
      <c r="H51">
        <f>AVERAGE(G51,B55)</f>
        <v>122.37762237762237</v>
      </c>
      <c r="I51">
        <f>'EXD Podlaska 2012 Figure 4'!D45</f>
        <v>71.264367816091962</v>
      </c>
      <c r="J51">
        <f>(I51*E55)/100</f>
        <v>80559.720139930054</v>
      </c>
      <c r="K51">
        <f>'EXD Podlaska 2012 Figure 4'!K45</f>
        <v>17.241379310344826</v>
      </c>
      <c r="L51">
        <f t="shared" si="22"/>
        <v>19490.254872563717</v>
      </c>
      <c r="N51" s="4">
        <f t="shared" ref="N51:N59" si="26">H51</f>
        <v>122.37762237762237</v>
      </c>
      <c r="O51" s="4">
        <f t="shared" ref="O51:O59" si="27">J51</f>
        <v>80559.720139930054</v>
      </c>
      <c r="P51" s="54">
        <f t="shared" ref="P51:P59" si="28">L51</f>
        <v>19490.254872563717</v>
      </c>
      <c r="Q51" s="54">
        <f t="shared" si="5"/>
        <v>100049.97501249377</v>
      </c>
      <c r="R51" s="54">
        <f t="shared" ref="R51:R55" si="29">E55</f>
        <v>113043.47826086958</v>
      </c>
    </row>
    <row r="52" spans="1:18">
      <c r="A52">
        <v>0.2</v>
      </c>
      <c r="B52" s="10">
        <f t="shared" si="23"/>
        <v>36.36363636363636</v>
      </c>
      <c r="C52">
        <v>0.7</v>
      </c>
      <c r="D52" s="21">
        <f t="shared" si="24"/>
        <v>121739130.43478262</v>
      </c>
      <c r="E52" s="14">
        <f t="shared" si="25"/>
        <v>121739.13043478262</v>
      </c>
      <c r="G52">
        <f>'EXD Podlaska 2012 Figure 4'!B46</f>
        <v>195.80419580419579</v>
      </c>
      <c r="H52">
        <f>AVERAGE(G52,B56)</f>
        <v>197.90209790209789</v>
      </c>
      <c r="I52">
        <f>'EXD Podlaska 2012 Figure 4'!D46</f>
        <v>82.758620689655174</v>
      </c>
      <c r="J52">
        <f>(I52*E56)/100</f>
        <v>50374.812593703158</v>
      </c>
      <c r="K52">
        <f>'EXD Podlaska 2012 Figure 4'!K46</f>
        <v>16.091954022988517</v>
      </c>
      <c r="L52">
        <f t="shared" si="22"/>
        <v>9795.1024487756204</v>
      </c>
      <c r="N52" s="4">
        <f t="shared" si="26"/>
        <v>197.90209790209789</v>
      </c>
      <c r="O52" s="4">
        <f t="shared" si="27"/>
        <v>50374.812593703158</v>
      </c>
      <c r="P52" s="54">
        <f t="shared" si="28"/>
        <v>9795.1024487756204</v>
      </c>
      <c r="Q52" s="54">
        <f t="shared" si="5"/>
        <v>60169.91504247878</v>
      </c>
      <c r="R52" s="54">
        <f t="shared" si="29"/>
        <v>60869.565217391311</v>
      </c>
    </row>
    <row r="53" spans="1:18">
      <c r="A53">
        <v>0.3</v>
      </c>
      <c r="B53" s="10">
        <f t="shared" si="23"/>
        <v>54.54545454545454</v>
      </c>
      <c r="C53">
        <v>0.9</v>
      </c>
      <c r="D53" s="21">
        <f t="shared" si="24"/>
        <v>156521739.13043478</v>
      </c>
      <c r="E53" s="14">
        <f t="shared" si="25"/>
        <v>156521.73913043478</v>
      </c>
      <c r="G53">
        <f>'EXD Podlaska 2012 Figure 4'!B47</f>
        <v>283.91608391608389</v>
      </c>
      <c r="H53">
        <f>AVERAGE(B57,G53)</f>
        <v>278.32167832167829</v>
      </c>
      <c r="I53">
        <f>'EXD Podlaska 2012 Figure 4'!D47</f>
        <v>71.264367816091962</v>
      </c>
      <c r="J53">
        <f>(I53*B57)/100</f>
        <v>194.35736677115986</v>
      </c>
      <c r="K53">
        <f>'EXD Podlaska 2012 Figure 4'!K47</f>
        <v>16.091954022988503</v>
      </c>
      <c r="L53">
        <f t="shared" si="22"/>
        <v>11194.402798600697</v>
      </c>
      <c r="N53" s="4">
        <f t="shared" si="26"/>
        <v>278.32167832167829</v>
      </c>
      <c r="O53" s="4">
        <f t="shared" si="27"/>
        <v>194.35736677115986</v>
      </c>
      <c r="P53" s="54">
        <f t="shared" si="28"/>
        <v>11194.402798600697</v>
      </c>
      <c r="Q53" s="54">
        <f t="shared" si="5"/>
        <v>11388.760165371858</v>
      </c>
      <c r="R53" s="54">
        <f t="shared" si="29"/>
        <v>69565.217391304352</v>
      </c>
    </row>
    <row r="54" spans="1:18">
      <c r="A54">
        <v>0.4</v>
      </c>
      <c r="B54" s="30">
        <f t="shared" si="23"/>
        <v>72.72727272727272</v>
      </c>
      <c r="C54" s="30">
        <v>1</v>
      </c>
      <c r="D54" s="29">
        <f t="shared" si="24"/>
        <v>173913043.47826087</v>
      </c>
      <c r="E54" s="29">
        <f t="shared" si="25"/>
        <v>173913.04347826086</v>
      </c>
      <c r="G54">
        <f>'EXD Podlaska 2012 Figure 4'!B48</f>
        <v>352.44755244755243</v>
      </c>
      <c r="H54">
        <f>AVERAGE(B58,G54)</f>
        <v>358.04195804195803</v>
      </c>
      <c r="I54">
        <f>'EXD Podlaska 2012 Figure 4'!D48</f>
        <v>33.333333333333336</v>
      </c>
      <c r="J54">
        <f>(I54*E58)/100</f>
        <v>46376.811594202904</v>
      </c>
      <c r="K54">
        <f>'EXD Podlaska 2012 Figure 4'!K48</f>
        <v>34.482758620689658</v>
      </c>
      <c r="L54">
        <f t="shared" si="22"/>
        <v>47976.011994002998</v>
      </c>
      <c r="N54" s="4">
        <f t="shared" si="26"/>
        <v>358.04195804195803</v>
      </c>
      <c r="O54" s="4">
        <f t="shared" si="27"/>
        <v>46376.811594202904</v>
      </c>
      <c r="P54" s="54">
        <f t="shared" si="28"/>
        <v>47976.011994002998</v>
      </c>
      <c r="Q54" s="54">
        <f t="shared" si="5"/>
        <v>94352.823588205909</v>
      </c>
      <c r="R54" s="54">
        <f t="shared" si="29"/>
        <v>139130.4347826087</v>
      </c>
    </row>
    <row r="55" spans="1:18">
      <c r="A55">
        <v>0.7</v>
      </c>
      <c r="B55" s="30">
        <f t="shared" si="23"/>
        <v>127.27272727272727</v>
      </c>
      <c r="C55" s="30">
        <v>0.65</v>
      </c>
      <c r="D55" s="29">
        <f t="shared" si="24"/>
        <v>113043478.26086958</v>
      </c>
      <c r="E55" s="29">
        <f t="shared" si="25"/>
        <v>113043.47826086958</v>
      </c>
      <c r="G55">
        <f>'EXD Podlaska 2012 Figure 4'!B49</f>
        <v>450.34965034965029</v>
      </c>
      <c r="H55">
        <f>AVERAGE(B59,G55)</f>
        <v>452.44755244755243</v>
      </c>
      <c r="I55">
        <f>'EXD Podlaska 2012 Figure 4'!D49</f>
        <v>25.287356321839084</v>
      </c>
      <c r="J55">
        <f>(I55*E59)/100</f>
        <v>17591.204397801102</v>
      </c>
      <c r="K55">
        <f>'EXD Podlaska 2012 Figure 4'!K49</f>
        <v>0</v>
      </c>
      <c r="L55">
        <f t="shared" si="22"/>
        <v>0</v>
      </c>
      <c r="N55" s="4">
        <f t="shared" si="26"/>
        <v>452.44755244755243</v>
      </c>
      <c r="O55" s="4">
        <f t="shared" si="27"/>
        <v>17591.204397801102</v>
      </c>
      <c r="P55" s="54">
        <f t="shared" si="28"/>
        <v>0</v>
      </c>
      <c r="Q55" s="54">
        <f t="shared" si="5"/>
        <v>17591.204397801102</v>
      </c>
      <c r="R55" s="54">
        <f t="shared" si="29"/>
        <v>69565.217391304352</v>
      </c>
    </row>
    <row r="56" spans="1:18">
      <c r="A56">
        <v>1.1000000000000001</v>
      </c>
      <c r="B56" s="30">
        <f t="shared" si="23"/>
        <v>200</v>
      </c>
      <c r="C56" s="30">
        <v>0.35</v>
      </c>
      <c r="D56" s="29">
        <f t="shared" si="24"/>
        <v>60869565.217391312</v>
      </c>
      <c r="E56" s="29">
        <f t="shared" si="25"/>
        <v>60869.565217391311</v>
      </c>
      <c r="G56">
        <f>'EXD Podlaska 2012 Figure 4'!B50</f>
        <v>626.57342657342656</v>
      </c>
      <c r="H56">
        <f>AVERAGE(B61,G56)</f>
        <v>640.55944055944053</v>
      </c>
      <c r="I56">
        <f>'EXD Podlaska 2012 Figure 4'!D50</f>
        <v>42.52873563218391</v>
      </c>
      <c r="J56">
        <f>(I56*E61)/100</f>
        <v>22188.905547226386</v>
      </c>
      <c r="K56">
        <f>'EXD Podlaska 2012 Figure 4'!K50</f>
        <v>3.448275862068968</v>
      </c>
      <c r="L56">
        <f>(K56*E61)/100</f>
        <v>1799.1004497751139</v>
      </c>
      <c r="N56" s="4">
        <f t="shared" si="26"/>
        <v>640.55944055944053</v>
      </c>
      <c r="O56" s="4">
        <f t="shared" si="27"/>
        <v>22188.905547226386</v>
      </c>
      <c r="P56" s="54">
        <f t="shared" si="28"/>
        <v>1799.1004497751139</v>
      </c>
      <c r="Q56" s="54">
        <f t="shared" si="5"/>
        <v>23988.005997001499</v>
      </c>
      <c r="R56" s="54">
        <f>E61</f>
        <v>52173.913043478264</v>
      </c>
    </row>
    <row r="57" spans="1:18">
      <c r="A57">
        <v>1.5</v>
      </c>
      <c r="B57" s="30">
        <f t="shared" si="23"/>
        <v>272.72727272727269</v>
      </c>
      <c r="C57" s="30">
        <v>0.4</v>
      </c>
      <c r="D57" s="29">
        <f t="shared" si="24"/>
        <v>69565217.391304359</v>
      </c>
      <c r="E57" s="29">
        <f t="shared" si="25"/>
        <v>69565.217391304352</v>
      </c>
      <c r="G57">
        <f>'EXD Podlaska 2012 Figure 4'!B51</f>
        <v>744.055944055944</v>
      </c>
      <c r="H57">
        <f>AVERAGE(B62,G57)</f>
        <v>753.84615384615381</v>
      </c>
      <c r="I57">
        <f>'EXD Podlaska 2012 Figure 4'!D51</f>
        <v>5.7471264367816097</v>
      </c>
      <c r="J57">
        <f>(I57*E62)/100</f>
        <v>16491.754122938532</v>
      </c>
      <c r="K57">
        <f>'EXD Podlaska 2012 Figure 4'!K51</f>
        <v>1.1494252873563218</v>
      </c>
      <c r="L57">
        <f>(K57*E62)/100</f>
        <v>3298.350824587706</v>
      </c>
      <c r="N57" s="4">
        <f t="shared" si="26"/>
        <v>753.84615384615381</v>
      </c>
      <c r="O57" s="4">
        <f t="shared" si="27"/>
        <v>16491.754122938532</v>
      </c>
      <c r="P57" s="54">
        <f t="shared" si="28"/>
        <v>3298.350824587706</v>
      </c>
      <c r="Q57" s="54">
        <f t="shared" si="5"/>
        <v>19790.104947526237</v>
      </c>
      <c r="R57" s="54">
        <f>E62</f>
        <v>286956.52173913043</v>
      </c>
    </row>
    <row r="58" spans="1:18">
      <c r="A58">
        <v>2</v>
      </c>
      <c r="B58" s="30">
        <f t="shared" si="23"/>
        <v>363.63636363636363</v>
      </c>
      <c r="C58" s="30">
        <v>0.8</v>
      </c>
      <c r="D58" s="29">
        <f t="shared" si="24"/>
        <v>139130434.78260872</v>
      </c>
      <c r="E58" s="29">
        <f t="shared" si="25"/>
        <v>139130.4347826087</v>
      </c>
      <c r="G58">
        <f>'EXD Podlaska 2012 Figure 4'!B52</f>
        <v>998.60139860139839</v>
      </c>
      <c r="H58">
        <f>AVERAGE(G58,B63)</f>
        <v>1008.3916083916083</v>
      </c>
      <c r="I58">
        <f>'EXD Podlaska 2012 Figure 4'!D52</f>
        <v>11.494252873563219</v>
      </c>
      <c r="J58">
        <f>(I58*E63)/100</f>
        <v>33983.008495752132</v>
      </c>
      <c r="K58">
        <f>'EXD Podlaska 2012 Figure 4'!K52</f>
        <v>27.58620689655173</v>
      </c>
      <c r="L58">
        <f>(K58*E63)/100</f>
        <v>81559.220389805123</v>
      </c>
      <c r="N58" s="4">
        <f t="shared" si="26"/>
        <v>1008.3916083916083</v>
      </c>
      <c r="O58" s="4">
        <f t="shared" si="27"/>
        <v>33983.008495752132</v>
      </c>
      <c r="P58" s="54">
        <f t="shared" si="28"/>
        <v>81559.220389805123</v>
      </c>
      <c r="Q58" s="54">
        <f t="shared" si="5"/>
        <v>115542.22888555726</v>
      </c>
      <c r="R58" s="54">
        <f t="shared" ref="R58:R59" si="30">E63</f>
        <v>295652.17391304352</v>
      </c>
    </row>
    <row r="59" spans="1:18">
      <c r="A59">
        <v>2.5</v>
      </c>
      <c r="B59" s="30">
        <f t="shared" si="23"/>
        <v>454.5454545454545</v>
      </c>
      <c r="C59" s="30">
        <v>0.4</v>
      </c>
      <c r="D59" s="29">
        <f t="shared" si="24"/>
        <v>69565217.391304359</v>
      </c>
      <c r="E59" s="29">
        <f t="shared" si="25"/>
        <v>69565.217391304352</v>
      </c>
      <c r="G59">
        <f>'EXD Podlaska 2012 Figure 4'!B53</f>
        <v>1194.4055944055945</v>
      </c>
      <c r="H59">
        <f>AVERAGE(G59,B64)</f>
        <v>1206.2937062937062</v>
      </c>
      <c r="I59">
        <f>'EXD Podlaska 2012 Figure 4'!D53</f>
        <v>3.4482758620689657</v>
      </c>
      <c r="J59">
        <f>(I59*E64)/100</f>
        <v>7196.4017991004512</v>
      </c>
      <c r="K59">
        <f>'EXD Podlaska 2012 Figure 4'!K53</f>
        <v>12.64367816091954</v>
      </c>
      <c r="L59">
        <f>(K59*E64)/100</f>
        <v>26386.806596701652</v>
      </c>
      <c r="N59" s="4">
        <f t="shared" si="26"/>
        <v>1206.2937062937062</v>
      </c>
      <c r="O59" s="4">
        <f t="shared" si="27"/>
        <v>7196.4017991004512</v>
      </c>
      <c r="P59" s="54">
        <f t="shared" si="28"/>
        <v>26386.806596701652</v>
      </c>
      <c r="Q59" s="54">
        <f t="shared" si="5"/>
        <v>33583.208395802103</v>
      </c>
      <c r="R59" s="54">
        <f t="shared" si="30"/>
        <v>208695.65217391305</v>
      </c>
    </row>
    <row r="60" spans="1:18">
      <c r="A60">
        <v>3</v>
      </c>
      <c r="B60" s="10">
        <f t="shared" si="23"/>
        <v>545.45454545454538</v>
      </c>
      <c r="C60">
        <v>0.4</v>
      </c>
      <c r="D60" s="21">
        <f t="shared" si="24"/>
        <v>69565217.391304359</v>
      </c>
      <c r="E60" s="14">
        <f t="shared" si="25"/>
        <v>69565.217391304352</v>
      </c>
      <c r="G60">
        <f>'EXD Podlaska 2012 Figure 4'!B54</f>
        <v>1390.2097902097901</v>
      </c>
      <c r="I60">
        <f>'EXD Podlaska 2012 Figure 4'!D54</f>
        <v>29.885057471264371</v>
      </c>
      <c r="K60">
        <f>'EXD Podlaska 2012 Figure 4'!K54</f>
        <v>18.390804597701152</v>
      </c>
    </row>
    <row r="61" spans="1:18">
      <c r="A61">
        <v>3.6</v>
      </c>
      <c r="B61" s="30">
        <f t="shared" si="23"/>
        <v>654.5454545454545</v>
      </c>
      <c r="C61" s="30">
        <v>0.3</v>
      </c>
      <c r="D61" s="29">
        <f t="shared" si="24"/>
        <v>52173913.043478265</v>
      </c>
      <c r="E61" s="29">
        <f t="shared" si="25"/>
        <v>52173.913043478264</v>
      </c>
    </row>
    <row r="62" spans="1:18">
      <c r="A62">
        <v>4.2</v>
      </c>
      <c r="B62" s="30">
        <f t="shared" si="23"/>
        <v>763.63636363636363</v>
      </c>
      <c r="C62" s="30">
        <v>1.65</v>
      </c>
      <c r="D62" s="29">
        <f t="shared" si="24"/>
        <v>286956521.73913044</v>
      </c>
      <c r="E62" s="29">
        <f>D62/1000</f>
        <v>286956.52173913043</v>
      </c>
    </row>
    <row r="63" spans="1:18">
      <c r="A63">
        <v>5.6</v>
      </c>
      <c r="B63" s="30">
        <f t="shared" si="23"/>
        <v>1018.1818181818181</v>
      </c>
      <c r="C63" s="30">
        <v>1.7</v>
      </c>
      <c r="D63" s="29">
        <f t="shared" si="24"/>
        <v>295652173.9130435</v>
      </c>
      <c r="E63" s="29">
        <f t="shared" si="25"/>
        <v>295652.17391304352</v>
      </c>
    </row>
    <row r="64" spans="1:18">
      <c r="A64">
        <v>6.7</v>
      </c>
      <c r="B64" s="30">
        <f t="shared" si="23"/>
        <v>1218.181818181818</v>
      </c>
      <c r="C64" s="30">
        <v>1.2</v>
      </c>
      <c r="D64" s="29">
        <f t="shared" si="24"/>
        <v>208695652.17391306</v>
      </c>
      <c r="E64" s="29">
        <f t="shared" si="25"/>
        <v>208695.65217391305</v>
      </c>
    </row>
    <row r="65" spans="1:5">
      <c r="A65">
        <v>8.4</v>
      </c>
      <c r="B65" s="10">
        <f t="shared" si="23"/>
        <v>1527.2727272727273</v>
      </c>
      <c r="C65">
        <v>0.65</v>
      </c>
      <c r="D65" s="21">
        <f t="shared" si="24"/>
        <v>113043478.26086958</v>
      </c>
      <c r="E65" s="14">
        <f t="shared" si="25"/>
        <v>113043.47826086958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E74" sqref="E74"/>
    </sheetView>
  </sheetViews>
  <sheetFormatPr baseColWidth="10" defaultRowHeight="13" x14ac:dyDescent="0"/>
  <sheetData>
    <row r="1" spans="1:16">
      <c r="A1" t="s">
        <v>567</v>
      </c>
    </row>
    <row r="2" spans="1:16">
      <c r="A2" t="s">
        <v>761</v>
      </c>
    </row>
    <row r="4" spans="1:16">
      <c r="B4" t="s">
        <v>653</v>
      </c>
      <c r="C4" t="s">
        <v>736</v>
      </c>
      <c r="D4" s="19"/>
      <c r="E4" t="s">
        <v>653</v>
      </c>
      <c r="G4" s="4"/>
      <c r="H4" t="s">
        <v>659</v>
      </c>
      <c r="J4" t="s">
        <v>653</v>
      </c>
      <c r="N4" t="s">
        <v>659</v>
      </c>
    </row>
    <row r="5" spans="1:16">
      <c r="A5" t="s">
        <v>766</v>
      </c>
      <c r="B5" t="s">
        <v>830</v>
      </c>
      <c r="D5" s="19" t="s">
        <v>673</v>
      </c>
      <c r="E5" t="s">
        <v>831</v>
      </c>
      <c r="F5" t="s">
        <v>736</v>
      </c>
      <c r="G5" s="4" t="s">
        <v>487</v>
      </c>
      <c r="H5" t="s">
        <v>832</v>
      </c>
      <c r="I5" t="s">
        <v>736</v>
      </c>
      <c r="J5" s="4" t="s">
        <v>487</v>
      </c>
      <c r="K5" t="s">
        <v>833</v>
      </c>
      <c r="L5" t="s">
        <v>736</v>
      </c>
      <c r="M5" s="4" t="s">
        <v>487</v>
      </c>
      <c r="N5" t="s">
        <v>674</v>
      </c>
      <c r="O5" t="s">
        <v>736</v>
      </c>
      <c r="P5" s="4" t="s">
        <v>487</v>
      </c>
    </row>
    <row r="6" spans="1:16">
      <c r="A6" t="s">
        <v>834</v>
      </c>
      <c r="B6">
        <v>1.9</v>
      </c>
      <c r="C6" s="21">
        <f>(1000000*B6)/2.6</f>
        <v>730769.23076923075</v>
      </c>
      <c r="D6" s="22">
        <f>C6</f>
        <v>730769.23076923075</v>
      </c>
      <c r="F6" s="21"/>
      <c r="G6" s="23"/>
      <c r="H6">
        <v>2.1</v>
      </c>
      <c r="I6" s="21">
        <f>(150000*H6)/2.5</f>
        <v>126000</v>
      </c>
      <c r="J6" s="23">
        <f>I6</f>
        <v>126000</v>
      </c>
      <c r="L6" s="21"/>
      <c r="M6" s="23"/>
      <c r="N6">
        <v>1.1000000000000001</v>
      </c>
      <c r="O6" s="21">
        <f>(100000*N6)/2.8</f>
        <v>39285.71428571429</v>
      </c>
      <c r="P6" s="23">
        <f>O6</f>
        <v>39285.71428571429</v>
      </c>
    </row>
    <row r="7" spans="1:16">
      <c r="A7" t="s">
        <v>835</v>
      </c>
      <c r="C7" s="21"/>
      <c r="D7" s="22"/>
      <c r="F7" s="21"/>
      <c r="G7" s="23"/>
      <c r="I7" s="21"/>
      <c r="J7" s="23"/>
      <c r="L7" s="21"/>
      <c r="M7" s="23"/>
      <c r="O7" s="21"/>
      <c r="P7" s="23"/>
    </row>
    <row r="8" spans="1:16">
      <c r="A8" t="s">
        <v>900</v>
      </c>
      <c r="B8">
        <v>1.9</v>
      </c>
      <c r="C8" s="21">
        <f>(1000000*B8)/2.6</f>
        <v>730769.23076923075</v>
      </c>
      <c r="D8" s="22">
        <f>C8</f>
        <v>730769.23076923075</v>
      </c>
      <c r="E8">
        <v>2.2999999999999998</v>
      </c>
      <c r="F8" s="21">
        <f>(150000*E8)/2.5</f>
        <v>138000</v>
      </c>
      <c r="G8" s="23">
        <f>F8</f>
        <v>138000</v>
      </c>
      <c r="H8">
        <v>1.9</v>
      </c>
      <c r="I8" s="21">
        <f t="shared" ref="I8:I17" si="0">(150000*H8)/2.5</f>
        <v>114000</v>
      </c>
      <c r="J8" s="23">
        <f>I8</f>
        <v>114000</v>
      </c>
      <c r="K8">
        <v>1.8</v>
      </c>
      <c r="L8" s="21">
        <f>(100000*K8)/2.8</f>
        <v>64285.71428571429</v>
      </c>
      <c r="M8" s="23">
        <f>L8</f>
        <v>64285.71428571429</v>
      </c>
      <c r="N8">
        <v>1.1000000000000001</v>
      </c>
      <c r="O8" s="21">
        <f t="shared" ref="O8:O17" si="1">(100000*N8)/2.8</f>
        <v>39285.71428571429</v>
      </c>
      <c r="P8" s="23">
        <f>O8</f>
        <v>39285.71428571429</v>
      </c>
    </row>
    <row r="9" spans="1:16">
      <c r="A9" t="s">
        <v>901</v>
      </c>
      <c r="B9">
        <v>1.85</v>
      </c>
      <c r="C9" s="21">
        <f t="shared" ref="C9:C17" si="2">(1000000*B9)/2.6</f>
        <v>711538.4615384615</v>
      </c>
      <c r="D9" s="22">
        <f t="shared" ref="D9:D17" si="3">C9</f>
        <v>711538.4615384615</v>
      </c>
      <c r="E9">
        <v>2.2999999999999998</v>
      </c>
      <c r="F9" s="21">
        <f t="shared" ref="F9:F17" si="4">(150000*E9)/2.5</f>
        <v>138000</v>
      </c>
      <c r="G9" s="23">
        <f t="shared" ref="G9:G17" si="5">F9</f>
        <v>138000</v>
      </c>
      <c r="H9">
        <v>1.7</v>
      </c>
      <c r="I9" s="21">
        <f t="shared" si="0"/>
        <v>102000</v>
      </c>
      <c r="J9" s="23">
        <f t="shared" ref="J9:J17" si="6">I9</f>
        <v>102000</v>
      </c>
      <c r="K9">
        <v>2</v>
      </c>
      <c r="L9" s="21">
        <f t="shared" ref="L9:L17" si="7">(100000*K9)/2.8</f>
        <v>71428.571428571435</v>
      </c>
      <c r="M9" s="23">
        <f>L9</f>
        <v>71428.571428571435</v>
      </c>
      <c r="N9">
        <v>1.1000000000000001</v>
      </c>
      <c r="O9" s="21">
        <f t="shared" si="1"/>
        <v>39285.71428571429</v>
      </c>
      <c r="P9" s="23">
        <f t="shared" ref="P9:P17" si="8">O9</f>
        <v>39285.71428571429</v>
      </c>
    </row>
    <row r="10" spans="1:16">
      <c r="A10" t="s">
        <v>758</v>
      </c>
      <c r="C10" s="21"/>
      <c r="D10" s="22"/>
      <c r="F10" s="21"/>
      <c r="G10" s="23"/>
      <c r="I10" s="21"/>
      <c r="J10" s="23"/>
      <c r="L10" s="21"/>
      <c r="M10" s="23"/>
      <c r="O10" s="21"/>
      <c r="P10" s="23"/>
    </row>
    <row r="11" spans="1:16">
      <c r="A11" t="s">
        <v>759</v>
      </c>
      <c r="B11">
        <v>1</v>
      </c>
      <c r="C11" s="21">
        <f t="shared" si="2"/>
        <v>384615.38461538462</v>
      </c>
      <c r="D11" s="22">
        <f t="shared" si="3"/>
        <v>384615.38461538462</v>
      </c>
      <c r="E11">
        <v>3.4</v>
      </c>
      <c r="F11" s="21">
        <f t="shared" si="4"/>
        <v>204000</v>
      </c>
      <c r="G11" s="23">
        <f t="shared" si="5"/>
        <v>204000</v>
      </c>
      <c r="H11">
        <v>1.2</v>
      </c>
      <c r="I11" s="21">
        <f t="shared" si="0"/>
        <v>72000</v>
      </c>
      <c r="J11" s="23">
        <f t="shared" si="6"/>
        <v>72000</v>
      </c>
      <c r="K11">
        <v>1.2</v>
      </c>
      <c r="L11" s="21">
        <f t="shared" si="7"/>
        <v>42857.142857142862</v>
      </c>
      <c r="M11" s="23">
        <f t="shared" ref="M11:M17" si="9">L11</f>
        <v>42857.142857142862</v>
      </c>
      <c r="N11">
        <v>0.9</v>
      </c>
      <c r="O11" s="21">
        <f t="shared" si="1"/>
        <v>32142.857142857145</v>
      </c>
      <c r="P11" s="23">
        <f t="shared" si="8"/>
        <v>32142.857142857145</v>
      </c>
    </row>
    <row r="12" spans="1:16">
      <c r="A12" t="s">
        <v>836</v>
      </c>
      <c r="C12" s="21"/>
      <c r="D12" s="22"/>
      <c r="F12" s="21"/>
      <c r="G12" s="23"/>
      <c r="I12" s="21"/>
      <c r="J12" s="23"/>
      <c r="L12" s="21"/>
      <c r="M12" s="23"/>
      <c r="O12" s="21"/>
      <c r="P12" s="23"/>
    </row>
    <row r="13" spans="1:16">
      <c r="A13" t="s">
        <v>629</v>
      </c>
      <c r="B13">
        <v>0.2</v>
      </c>
      <c r="C13" s="21">
        <f t="shared" si="2"/>
        <v>76923.076923076922</v>
      </c>
      <c r="D13" s="22">
        <f t="shared" si="3"/>
        <v>76923.076923076922</v>
      </c>
      <c r="E13">
        <v>1.45</v>
      </c>
      <c r="F13" s="21">
        <f t="shared" si="4"/>
        <v>87000</v>
      </c>
      <c r="G13" s="23">
        <f t="shared" si="5"/>
        <v>87000</v>
      </c>
      <c r="H13">
        <v>1.4</v>
      </c>
      <c r="I13" s="21">
        <f t="shared" si="0"/>
        <v>84000</v>
      </c>
      <c r="J13" s="23">
        <f t="shared" si="6"/>
        <v>84000</v>
      </c>
      <c r="K13">
        <v>2.4</v>
      </c>
      <c r="L13" s="21">
        <f t="shared" si="7"/>
        <v>85714.285714285725</v>
      </c>
      <c r="M13" s="23">
        <f t="shared" si="9"/>
        <v>85714.285714285725</v>
      </c>
      <c r="N13">
        <v>1.75</v>
      </c>
      <c r="O13" s="21">
        <f t="shared" si="1"/>
        <v>62500.000000000007</v>
      </c>
      <c r="P13" s="23">
        <f t="shared" si="8"/>
        <v>62500.000000000007</v>
      </c>
    </row>
    <row r="14" spans="1:16">
      <c r="A14" t="s">
        <v>630</v>
      </c>
      <c r="B14">
        <v>0.3</v>
      </c>
      <c r="C14" s="21">
        <f t="shared" si="2"/>
        <v>115384.61538461538</v>
      </c>
      <c r="D14" s="22">
        <f t="shared" si="3"/>
        <v>115384.61538461538</v>
      </c>
      <c r="E14">
        <v>0.9</v>
      </c>
      <c r="F14" s="21">
        <f t="shared" si="4"/>
        <v>54000</v>
      </c>
      <c r="G14" s="23">
        <f t="shared" si="5"/>
        <v>54000</v>
      </c>
      <c r="H14">
        <v>0.9</v>
      </c>
      <c r="I14" s="21">
        <f t="shared" si="0"/>
        <v>54000</v>
      </c>
      <c r="J14" s="23">
        <f t="shared" si="6"/>
        <v>54000</v>
      </c>
      <c r="K14">
        <v>1.5</v>
      </c>
      <c r="L14" s="21">
        <f t="shared" si="7"/>
        <v>53571.428571428572</v>
      </c>
      <c r="M14" s="23">
        <f t="shared" si="9"/>
        <v>53571.428571428572</v>
      </c>
      <c r="N14">
        <v>1.1499999999999999</v>
      </c>
      <c r="O14" s="21">
        <f t="shared" si="1"/>
        <v>41071.428571428572</v>
      </c>
      <c r="P14" s="23">
        <f t="shared" si="8"/>
        <v>41071.428571428572</v>
      </c>
    </row>
    <row r="15" spans="1:16">
      <c r="A15" t="s">
        <v>699</v>
      </c>
      <c r="B15">
        <v>2.2000000000000002</v>
      </c>
      <c r="C15" s="21">
        <f t="shared" si="2"/>
        <v>846153.84615384613</v>
      </c>
      <c r="D15" s="22">
        <f t="shared" si="3"/>
        <v>846153.84615384613</v>
      </c>
      <c r="E15">
        <v>2.7</v>
      </c>
      <c r="F15" s="21">
        <f t="shared" si="4"/>
        <v>162000</v>
      </c>
      <c r="G15" s="23">
        <f t="shared" si="5"/>
        <v>162000</v>
      </c>
      <c r="H15">
        <v>2</v>
      </c>
      <c r="I15" s="21">
        <f t="shared" si="0"/>
        <v>120000</v>
      </c>
      <c r="J15" s="23">
        <f t="shared" si="6"/>
        <v>120000</v>
      </c>
      <c r="K15">
        <v>3.5</v>
      </c>
      <c r="L15" s="21">
        <f t="shared" si="7"/>
        <v>125000.00000000001</v>
      </c>
      <c r="M15" s="23">
        <f t="shared" si="9"/>
        <v>125000.00000000001</v>
      </c>
      <c r="N15">
        <v>2.95</v>
      </c>
      <c r="O15" s="21">
        <f t="shared" si="1"/>
        <v>105357.14285714287</v>
      </c>
      <c r="P15" s="23">
        <f t="shared" si="8"/>
        <v>105357.14285714287</v>
      </c>
    </row>
    <row r="16" spans="1:16">
      <c r="A16" t="s">
        <v>700</v>
      </c>
      <c r="B16">
        <v>4.0999999999999996</v>
      </c>
      <c r="C16" s="21">
        <f t="shared" si="2"/>
        <v>1576923.0769230768</v>
      </c>
      <c r="D16" s="22">
        <f t="shared" si="3"/>
        <v>1576923.0769230768</v>
      </c>
      <c r="E16">
        <v>3.5</v>
      </c>
      <c r="F16" s="21">
        <f t="shared" si="4"/>
        <v>210000</v>
      </c>
      <c r="G16" s="23">
        <f t="shared" si="5"/>
        <v>210000</v>
      </c>
      <c r="H16">
        <v>1.7</v>
      </c>
      <c r="I16" s="21">
        <f t="shared" si="0"/>
        <v>102000</v>
      </c>
      <c r="J16" s="23">
        <f t="shared" si="6"/>
        <v>102000</v>
      </c>
      <c r="K16">
        <v>2.6</v>
      </c>
      <c r="L16" s="21">
        <f t="shared" si="7"/>
        <v>92857.14285714287</v>
      </c>
      <c r="M16" s="23">
        <f t="shared" si="9"/>
        <v>92857.14285714287</v>
      </c>
      <c r="N16">
        <v>2.5499999999999998</v>
      </c>
      <c r="O16" s="21">
        <f t="shared" si="1"/>
        <v>91071.428571428565</v>
      </c>
      <c r="P16" s="23">
        <f t="shared" si="8"/>
        <v>91071.428571428565</v>
      </c>
    </row>
    <row r="17" spans="1:16">
      <c r="A17" t="s">
        <v>571</v>
      </c>
      <c r="B17">
        <v>2.8</v>
      </c>
      <c r="C17" s="21">
        <f t="shared" si="2"/>
        <v>1076923.076923077</v>
      </c>
      <c r="D17" s="22">
        <f t="shared" si="3"/>
        <v>1076923.076923077</v>
      </c>
      <c r="E17">
        <v>3.25</v>
      </c>
      <c r="F17" s="21">
        <f t="shared" si="4"/>
        <v>195000</v>
      </c>
      <c r="G17" s="23">
        <f t="shared" si="5"/>
        <v>195000</v>
      </c>
      <c r="H17">
        <v>1.6</v>
      </c>
      <c r="I17" s="21">
        <f t="shared" si="0"/>
        <v>96000</v>
      </c>
      <c r="J17" s="23">
        <f t="shared" si="6"/>
        <v>96000</v>
      </c>
      <c r="K17">
        <v>2.5</v>
      </c>
      <c r="L17" s="21">
        <f t="shared" si="7"/>
        <v>89285.71428571429</v>
      </c>
      <c r="M17" s="23">
        <f t="shared" si="9"/>
        <v>89285.71428571429</v>
      </c>
      <c r="N17">
        <v>2.2999999999999998</v>
      </c>
      <c r="O17" s="21">
        <f t="shared" si="1"/>
        <v>82142.857142857145</v>
      </c>
      <c r="P17" s="23">
        <f t="shared" si="8"/>
        <v>82142.857142857145</v>
      </c>
    </row>
    <row r="18" spans="1:16">
      <c r="G18" s="20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B6" sqref="B6"/>
    </sheetView>
  </sheetViews>
  <sheetFormatPr baseColWidth="10" defaultRowHeight="13" x14ac:dyDescent="0"/>
  <sheetData>
    <row r="1" spans="1:14">
      <c r="A1" t="s">
        <v>681</v>
      </c>
    </row>
    <row r="2" spans="1:14">
      <c r="A2" t="s">
        <v>655</v>
      </c>
      <c r="B2" t="s">
        <v>763</v>
      </c>
      <c r="E2" s="9" t="s">
        <v>885</v>
      </c>
      <c r="F2" s="9"/>
      <c r="G2" s="9"/>
      <c r="H2" s="9"/>
      <c r="I2" s="9"/>
      <c r="J2" s="9"/>
      <c r="K2" s="9"/>
      <c r="L2" s="9"/>
      <c r="M2" s="9"/>
      <c r="N2" s="9"/>
    </row>
    <row r="3" spans="1:14">
      <c r="B3" s="15">
        <v>38107</v>
      </c>
      <c r="C3" s="15"/>
    </row>
    <row r="4" spans="1:14">
      <c r="A4" t="s">
        <v>682</v>
      </c>
      <c r="B4" t="s">
        <v>686</v>
      </c>
      <c r="C4" s="4" t="s">
        <v>807</v>
      </c>
      <c r="D4" t="s">
        <v>564</v>
      </c>
      <c r="E4" s="4" t="s">
        <v>808</v>
      </c>
      <c r="G4" s="9" t="s">
        <v>886</v>
      </c>
      <c r="H4" s="9"/>
      <c r="I4" s="9"/>
    </row>
    <row r="5" spans="1:14">
      <c r="A5" s="4" t="s">
        <v>683</v>
      </c>
      <c r="B5" s="5">
        <v>192000</v>
      </c>
      <c r="C5" s="23">
        <f>B5/3.6</f>
        <v>53333.333333333328</v>
      </c>
      <c r="D5" s="5">
        <v>25000</v>
      </c>
      <c r="E5" s="23">
        <f>D5/3.6</f>
        <v>6944.4444444444443</v>
      </c>
    </row>
    <row r="6" spans="1:14">
      <c r="A6" s="4" t="s">
        <v>685</v>
      </c>
      <c r="B6" s="5">
        <v>163000</v>
      </c>
      <c r="C6" s="23">
        <f t="shared" ref="C6:C33" si="0">B6/3.6</f>
        <v>45277.777777777774</v>
      </c>
      <c r="D6" s="5">
        <v>5000</v>
      </c>
      <c r="E6" s="23">
        <f t="shared" ref="E6:E33" si="1">D6/3.6</f>
        <v>1388.8888888888889</v>
      </c>
    </row>
    <row r="7" spans="1:14">
      <c r="A7" s="4" t="s">
        <v>624</v>
      </c>
      <c r="B7" s="5">
        <v>1162000</v>
      </c>
      <c r="C7" s="23">
        <f t="shared" si="0"/>
        <v>322777.77777777775</v>
      </c>
      <c r="D7" s="5">
        <v>122000</v>
      </c>
      <c r="E7" s="23">
        <f t="shared" si="1"/>
        <v>33888.888888888891</v>
      </c>
    </row>
    <row r="8" spans="1:14">
      <c r="A8" s="4" t="s">
        <v>622</v>
      </c>
      <c r="B8" s="5">
        <v>560000</v>
      </c>
      <c r="C8" s="23">
        <f t="shared" si="0"/>
        <v>155555.55555555556</v>
      </c>
      <c r="D8" s="5">
        <v>468000</v>
      </c>
      <c r="E8" s="23">
        <f t="shared" si="1"/>
        <v>130000</v>
      </c>
    </row>
    <row r="9" spans="1:14">
      <c r="A9" s="4" t="s">
        <v>623</v>
      </c>
      <c r="B9" s="5">
        <v>456000</v>
      </c>
      <c r="C9" s="23">
        <f t="shared" si="0"/>
        <v>126666.66666666666</v>
      </c>
      <c r="D9" s="5">
        <v>7000</v>
      </c>
      <c r="E9" s="23">
        <f t="shared" si="1"/>
        <v>1944.4444444444443</v>
      </c>
    </row>
    <row r="10" spans="1:14">
      <c r="C10" s="23"/>
      <c r="E10" s="23"/>
    </row>
    <row r="11" spans="1:14">
      <c r="B11" s="15">
        <v>38260</v>
      </c>
      <c r="C11" s="23"/>
      <c r="E11" s="23"/>
    </row>
    <row r="12" spans="1:14">
      <c r="A12" t="s">
        <v>682</v>
      </c>
      <c r="B12" t="s">
        <v>684</v>
      </c>
      <c r="C12" s="23"/>
      <c r="D12" t="s">
        <v>564</v>
      </c>
      <c r="E12" s="23"/>
    </row>
    <row r="13" spans="1:14">
      <c r="A13" s="4" t="s">
        <v>683</v>
      </c>
      <c r="B13" s="5">
        <v>161000</v>
      </c>
      <c r="C13" s="23">
        <f t="shared" si="0"/>
        <v>44722.222222222219</v>
      </c>
      <c r="D13" s="5">
        <v>7000</v>
      </c>
      <c r="E13" s="23">
        <f t="shared" si="1"/>
        <v>1944.4444444444443</v>
      </c>
    </row>
    <row r="14" spans="1:14">
      <c r="A14" s="4" t="s">
        <v>685</v>
      </c>
      <c r="B14" s="5">
        <v>1071000</v>
      </c>
      <c r="C14" s="23">
        <f t="shared" si="0"/>
        <v>297500</v>
      </c>
      <c r="D14" s="5">
        <v>10000</v>
      </c>
      <c r="E14" s="23">
        <f t="shared" si="1"/>
        <v>2777.7777777777778</v>
      </c>
    </row>
    <row r="15" spans="1:14">
      <c r="A15" s="4" t="s">
        <v>624</v>
      </c>
      <c r="B15" s="5">
        <v>131000</v>
      </c>
      <c r="C15" s="23">
        <f t="shared" si="0"/>
        <v>36388.888888888891</v>
      </c>
      <c r="D15" s="5">
        <v>4000</v>
      </c>
      <c r="E15" s="23">
        <f t="shared" si="1"/>
        <v>1111.1111111111111</v>
      </c>
    </row>
    <row r="16" spans="1:14">
      <c r="A16" s="4" t="s">
        <v>622</v>
      </c>
      <c r="B16" s="5">
        <v>101000</v>
      </c>
      <c r="C16" s="23">
        <f t="shared" si="0"/>
        <v>28055.555555555555</v>
      </c>
      <c r="D16" s="5">
        <v>14000</v>
      </c>
      <c r="E16" s="23">
        <f t="shared" si="1"/>
        <v>3888.8888888888887</v>
      </c>
    </row>
    <row r="17" spans="1:5">
      <c r="A17" s="4" t="s">
        <v>623</v>
      </c>
      <c r="B17" s="5">
        <v>43000</v>
      </c>
      <c r="C17" s="23">
        <f t="shared" si="0"/>
        <v>11944.444444444443</v>
      </c>
      <c r="D17" s="5" t="s">
        <v>762</v>
      </c>
      <c r="E17" s="23"/>
    </row>
    <row r="18" spans="1:5">
      <c r="C18" s="23"/>
      <c r="E18" s="23"/>
    </row>
    <row r="19" spans="1:5">
      <c r="B19" s="15">
        <v>38383</v>
      </c>
      <c r="C19" s="23"/>
      <c r="E19" s="23"/>
    </row>
    <row r="20" spans="1:5">
      <c r="A20" t="s">
        <v>682</v>
      </c>
      <c r="B20" t="s">
        <v>684</v>
      </c>
      <c r="C20" s="23"/>
      <c r="D20" t="s">
        <v>564</v>
      </c>
      <c r="E20" s="23"/>
    </row>
    <row r="21" spans="1:5">
      <c r="A21" s="4" t="s">
        <v>683</v>
      </c>
      <c r="B21" s="5">
        <v>305000</v>
      </c>
      <c r="C21" s="23">
        <f t="shared" si="0"/>
        <v>84722.222222222219</v>
      </c>
      <c r="D21" s="5">
        <v>17000</v>
      </c>
      <c r="E21" s="23">
        <f t="shared" si="1"/>
        <v>4722.2222222222217</v>
      </c>
    </row>
    <row r="22" spans="1:5">
      <c r="A22" s="4" t="s">
        <v>685</v>
      </c>
      <c r="B22" s="5">
        <v>302000</v>
      </c>
      <c r="C22" s="23">
        <f t="shared" si="0"/>
        <v>83888.888888888891</v>
      </c>
      <c r="D22" s="5">
        <v>4000</v>
      </c>
      <c r="E22" s="23">
        <f t="shared" si="1"/>
        <v>1111.1111111111111</v>
      </c>
    </row>
    <row r="23" spans="1:5">
      <c r="A23" s="4" t="s">
        <v>624</v>
      </c>
      <c r="B23" s="5">
        <v>159000</v>
      </c>
      <c r="C23" s="23">
        <f t="shared" si="0"/>
        <v>44166.666666666664</v>
      </c>
      <c r="D23" s="5">
        <v>13000</v>
      </c>
      <c r="E23" s="23">
        <f t="shared" si="1"/>
        <v>3611.1111111111109</v>
      </c>
    </row>
    <row r="24" spans="1:5">
      <c r="A24" s="4" t="s">
        <v>622</v>
      </c>
      <c r="B24" s="5">
        <v>222000</v>
      </c>
      <c r="C24" s="23">
        <f t="shared" si="0"/>
        <v>61666.666666666664</v>
      </c>
      <c r="D24" s="5">
        <v>9000</v>
      </c>
      <c r="E24" s="23">
        <f t="shared" si="1"/>
        <v>2500</v>
      </c>
    </row>
    <row r="25" spans="1:5">
      <c r="A25" s="4" t="s">
        <v>623</v>
      </c>
      <c r="B25" s="5">
        <v>181000</v>
      </c>
      <c r="C25" s="23">
        <f t="shared" si="0"/>
        <v>50277.777777777774</v>
      </c>
      <c r="D25" s="5">
        <v>5000</v>
      </c>
      <c r="E25" s="23">
        <f t="shared" si="1"/>
        <v>1388.8888888888889</v>
      </c>
    </row>
    <row r="26" spans="1:5">
      <c r="C26" s="23"/>
      <c r="E26" s="23"/>
    </row>
    <row r="27" spans="1:5">
      <c r="B27" s="15">
        <v>38564</v>
      </c>
      <c r="C27" s="23"/>
      <c r="E27" s="23"/>
    </row>
    <row r="28" spans="1:5">
      <c r="A28" t="s">
        <v>682</v>
      </c>
      <c r="B28" t="s">
        <v>684</v>
      </c>
      <c r="C28" s="23"/>
      <c r="D28" t="s">
        <v>564</v>
      </c>
      <c r="E28" s="23"/>
    </row>
    <row r="29" spans="1:5">
      <c r="A29" s="4" t="s">
        <v>683</v>
      </c>
      <c r="B29" s="5">
        <v>1021000</v>
      </c>
      <c r="C29" s="23">
        <f t="shared" si="0"/>
        <v>283611.11111111112</v>
      </c>
      <c r="D29" s="5">
        <v>53000</v>
      </c>
      <c r="E29" s="23">
        <f t="shared" si="1"/>
        <v>14722.222222222223</v>
      </c>
    </row>
    <row r="30" spans="1:5">
      <c r="A30" s="4" t="s">
        <v>685</v>
      </c>
      <c r="B30" s="5">
        <v>152000</v>
      </c>
      <c r="C30" s="23">
        <f t="shared" si="0"/>
        <v>42222.222222222219</v>
      </c>
      <c r="D30" s="5">
        <v>15000</v>
      </c>
      <c r="E30" s="23">
        <f t="shared" si="1"/>
        <v>4166.666666666667</v>
      </c>
    </row>
    <row r="31" spans="1:5">
      <c r="A31" s="4" t="s">
        <v>624</v>
      </c>
      <c r="B31" s="5">
        <v>818000</v>
      </c>
      <c r="C31" s="23">
        <f t="shared" si="0"/>
        <v>227222.22222222222</v>
      </c>
      <c r="D31" s="5">
        <v>95000</v>
      </c>
      <c r="E31" s="23">
        <f t="shared" si="1"/>
        <v>26388.888888888887</v>
      </c>
    </row>
    <row r="32" spans="1:5">
      <c r="A32" s="4" t="s">
        <v>622</v>
      </c>
      <c r="B32" s="5">
        <v>1451000</v>
      </c>
      <c r="C32" s="23">
        <f t="shared" si="0"/>
        <v>403055.55555555556</v>
      </c>
      <c r="D32" s="5">
        <v>1071000</v>
      </c>
      <c r="E32" s="23">
        <f t="shared" si="1"/>
        <v>297500</v>
      </c>
    </row>
    <row r="33" spans="1:5">
      <c r="A33" s="4" t="s">
        <v>623</v>
      </c>
      <c r="B33" s="5">
        <v>138000</v>
      </c>
      <c r="C33" s="23">
        <f t="shared" si="0"/>
        <v>38333.333333333336</v>
      </c>
      <c r="D33" s="5">
        <v>14000</v>
      </c>
      <c r="E33" s="23">
        <f t="shared" si="1"/>
        <v>3888.8888888888887</v>
      </c>
    </row>
    <row r="34" spans="1:5">
      <c r="E34" s="21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8" sqref="C18"/>
    </sheetView>
  </sheetViews>
  <sheetFormatPr baseColWidth="10" defaultRowHeight="13" x14ac:dyDescent="0"/>
  <cols>
    <col min="1" max="1" width="15.5703125" customWidth="1"/>
  </cols>
  <sheetData>
    <row r="1" spans="1:9">
      <c r="A1" t="s">
        <v>765</v>
      </c>
    </row>
    <row r="2" spans="1:9">
      <c r="A2" t="s">
        <v>764</v>
      </c>
    </row>
    <row r="4" spans="1:9">
      <c r="B4" s="24">
        <v>37910</v>
      </c>
      <c r="C4" s="24"/>
      <c r="F4" s="24">
        <v>38147</v>
      </c>
      <c r="G4" s="24"/>
    </row>
    <row r="5" spans="1:9">
      <c r="B5" t="s">
        <v>569</v>
      </c>
      <c r="C5" s="4" t="s">
        <v>487</v>
      </c>
      <c r="D5" t="s">
        <v>570</v>
      </c>
      <c r="E5" s="4" t="s">
        <v>487</v>
      </c>
      <c r="F5" t="s">
        <v>569</v>
      </c>
      <c r="G5" s="4" t="s">
        <v>487</v>
      </c>
      <c r="H5" t="s">
        <v>570</v>
      </c>
      <c r="I5" s="4" t="s">
        <v>487</v>
      </c>
    </row>
    <row r="6" spans="1:9">
      <c r="A6" t="s">
        <v>580</v>
      </c>
      <c r="B6">
        <v>92</v>
      </c>
      <c r="C6" s="4">
        <f>(B6*B9)/100</f>
        <v>920000</v>
      </c>
      <c r="D6">
        <v>87</v>
      </c>
      <c r="E6" s="4">
        <f>(D6*D9)/100</f>
        <v>2784000</v>
      </c>
      <c r="F6">
        <v>86</v>
      </c>
      <c r="G6" s="4">
        <f>(F6*F9)/100</f>
        <v>2838000</v>
      </c>
      <c r="H6">
        <v>79</v>
      </c>
      <c r="I6" s="4">
        <f>(H6*H9)/100</f>
        <v>2686000</v>
      </c>
    </row>
    <row r="8" spans="1:9">
      <c r="A8" t="s">
        <v>735</v>
      </c>
      <c r="B8" s="5">
        <v>1000000</v>
      </c>
      <c r="C8" s="5"/>
      <c r="D8" s="5">
        <v>3200000</v>
      </c>
      <c r="F8" s="5">
        <v>3300000</v>
      </c>
      <c r="G8" s="5"/>
      <c r="H8" s="5">
        <v>3400000</v>
      </c>
    </row>
    <row r="9" spans="1:9">
      <c r="A9" s="4" t="s">
        <v>487</v>
      </c>
      <c r="B9" s="6">
        <f>B8</f>
        <v>1000000</v>
      </c>
      <c r="C9" s="4"/>
      <c r="D9" s="6">
        <f>D8</f>
        <v>3200000</v>
      </c>
      <c r="E9" s="4"/>
      <c r="F9" s="6">
        <f>F8</f>
        <v>3300000</v>
      </c>
      <c r="G9" s="4"/>
      <c r="H9" s="6">
        <f>H8</f>
        <v>3400000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6"/>
  <sheetViews>
    <sheetView tabSelected="1" workbookViewId="0">
      <pane xSplit="8" ySplit="1" topLeftCell="T142" activePane="bottomRight" state="frozenSplit"/>
      <selection pane="topRight" activeCell="I1" sqref="I1:I1048576"/>
      <selection pane="bottomLeft" activeCell="A24" sqref="A24"/>
      <selection pane="bottomRight" activeCell="C149" sqref="C149"/>
    </sheetView>
  </sheetViews>
  <sheetFormatPr baseColWidth="10" defaultRowHeight="13" x14ac:dyDescent="0"/>
  <cols>
    <col min="1" max="1" width="22" style="20" customWidth="1"/>
    <col min="2" max="2" width="31.5703125" style="20" customWidth="1"/>
    <col min="3" max="3" width="19" style="20" customWidth="1"/>
    <col min="4" max="8" width="10.7109375" style="20" hidden="1" customWidth="1"/>
    <col min="9" max="9" width="14.85546875" style="51" customWidth="1"/>
    <col min="10" max="12" width="10.7109375" style="51" customWidth="1"/>
    <col min="13" max="15" width="10.7109375" style="63" customWidth="1"/>
    <col min="16" max="19" width="11" style="51" customWidth="1"/>
    <col min="20" max="20" width="10.7109375" style="20"/>
    <col min="21" max="21" width="16.140625" style="20" customWidth="1"/>
    <col min="22" max="25" width="10.7109375" style="20"/>
    <col min="26" max="26" width="12.28515625" style="20" bestFit="1" customWidth="1"/>
    <col min="27" max="16384" width="10.7109375" style="20"/>
  </cols>
  <sheetData>
    <row r="1" spans="1:22" s="57" customFormat="1" ht="60" customHeight="1">
      <c r="A1" s="58" t="s">
        <v>521</v>
      </c>
      <c r="B1" s="58" t="s">
        <v>395</v>
      </c>
      <c r="C1" s="58" t="s">
        <v>520</v>
      </c>
      <c r="D1" s="58" t="s">
        <v>767</v>
      </c>
      <c r="E1" s="59" t="s">
        <v>883</v>
      </c>
      <c r="F1" s="59" t="s">
        <v>845</v>
      </c>
      <c r="G1" s="59" t="s">
        <v>846</v>
      </c>
      <c r="H1" s="59" t="s">
        <v>847</v>
      </c>
      <c r="I1" s="60" t="s">
        <v>519</v>
      </c>
      <c r="J1" s="60" t="s">
        <v>522</v>
      </c>
      <c r="K1" s="60" t="s">
        <v>523</v>
      </c>
      <c r="L1" s="60" t="s">
        <v>524</v>
      </c>
      <c r="M1" s="62" t="s">
        <v>525</v>
      </c>
      <c r="N1" s="62" t="s">
        <v>910</v>
      </c>
      <c r="O1" s="62" t="s">
        <v>528</v>
      </c>
      <c r="P1" s="60" t="s">
        <v>529</v>
      </c>
      <c r="Q1" s="60" t="s">
        <v>533</v>
      </c>
      <c r="R1" s="60" t="s">
        <v>530</v>
      </c>
      <c r="S1" s="60" t="s">
        <v>531</v>
      </c>
      <c r="T1" s="61" t="s">
        <v>526</v>
      </c>
      <c r="U1" s="61" t="s">
        <v>527</v>
      </c>
      <c r="V1" s="57" t="s">
        <v>532</v>
      </c>
    </row>
    <row r="2" spans="1:22">
      <c r="A2" s="20" t="s">
        <v>928</v>
      </c>
      <c r="B2" s="20" t="s">
        <v>927</v>
      </c>
      <c r="C2" s="20">
        <f>'Delong 1999'!C5</f>
        <v>0</v>
      </c>
      <c r="I2" s="51">
        <f>'Delong 1999'!H5</f>
        <v>1470000</v>
      </c>
      <c r="J2" s="51">
        <f>'Delong 1999'!I5</f>
        <v>1130000</v>
      </c>
      <c r="K2" s="51">
        <f>'Delong 1999'!J5</f>
        <v>288000</v>
      </c>
      <c r="L2" s="51">
        <f>J2</f>
        <v>1130000</v>
      </c>
      <c r="M2" s="63">
        <f>L2/I2</f>
        <v>0.76870748299319724</v>
      </c>
      <c r="O2" s="63" t="s">
        <v>926</v>
      </c>
      <c r="P2" s="51" t="s">
        <v>535</v>
      </c>
      <c r="Q2" s="51" t="s">
        <v>263</v>
      </c>
      <c r="R2" s="51" t="s">
        <v>247</v>
      </c>
      <c r="S2" s="51" t="s">
        <v>247</v>
      </c>
      <c r="T2" s="51" t="s">
        <v>924</v>
      </c>
      <c r="U2" s="51" t="s">
        <v>925</v>
      </c>
      <c r="V2" s="51" t="s">
        <v>536</v>
      </c>
    </row>
    <row r="3" spans="1:22">
      <c r="A3" s="20" t="s">
        <v>928</v>
      </c>
      <c r="B3" s="20" t="s">
        <v>927</v>
      </c>
      <c r="C3" s="20">
        <f>'Delong 1999'!C17</f>
        <v>0</v>
      </c>
      <c r="I3" s="51">
        <f>'Delong 1999'!H17</f>
        <v>1310000</v>
      </c>
      <c r="J3" s="51">
        <f>'Delong 1999'!I17</f>
        <v>1110000</v>
      </c>
      <c r="K3" s="51">
        <f>'Delong 1999'!J17</f>
        <v>126000</v>
      </c>
      <c r="L3" s="51">
        <f>J3</f>
        <v>1110000</v>
      </c>
      <c r="M3" s="63">
        <f>L3/I3</f>
        <v>0.84732824427480913</v>
      </c>
      <c r="O3" s="63" t="s">
        <v>926</v>
      </c>
      <c r="P3" s="51" t="s">
        <v>535</v>
      </c>
      <c r="Q3" s="51" t="s">
        <v>263</v>
      </c>
      <c r="R3" s="51" t="s">
        <v>247</v>
      </c>
      <c r="S3" s="51" t="s">
        <v>247</v>
      </c>
      <c r="T3" s="51" t="s">
        <v>924</v>
      </c>
      <c r="U3" s="51" t="s">
        <v>925</v>
      </c>
      <c r="V3" s="51" t="s">
        <v>536</v>
      </c>
    </row>
    <row r="4" spans="1:22">
      <c r="A4" s="20" t="s">
        <v>928</v>
      </c>
      <c r="B4" s="20" t="s">
        <v>927</v>
      </c>
      <c r="C4" s="20">
        <f>'Delong 1999'!C6</f>
        <v>10</v>
      </c>
      <c r="I4" s="51">
        <f>'Delong 1999'!H6</f>
        <v>1200000</v>
      </c>
      <c r="J4" s="51">
        <f>'Delong 1999'!I6</f>
        <v>988000</v>
      </c>
      <c r="K4" s="51">
        <f>'Delong 1999'!J6</f>
        <v>201000</v>
      </c>
      <c r="L4" s="51">
        <f>J4</f>
        <v>988000</v>
      </c>
      <c r="M4" s="63">
        <f>L4/I4</f>
        <v>0.82333333333333336</v>
      </c>
      <c r="O4" s="63" t="s">
        <v>926</v>
      </c>
      <c r="P4" s="51" t="s">
        <v>535</v>
      </c>
      <c r="Q4" s="51" t="s">
        <v>263</v>
      </c>
      <c r="R4" s="51" t="s">
        <v>247</v>
      </c>
      <c r="S4" s="51" t="s">
        <v>247</v>
      </c>
      <c r="T4" s="51" t="s">
        <v>924</v>
      </c>
      <c r="U4" s="51" t="s">
        <v>925</v>
      </c>
      <c r="V4" s="51" t="s">
        <v>536</v>
      </c>
    </row>
    <row r="5" spans="1:22">
      <c r="A5" s="20" t="s">
        <v>928</v>
      </c>
      <c r="B5" s="20" t="s">
        <v>927</v>
      </c>
      <c r="C5" s="20">
        <f>'Delong 1999'!C7</f>
        <v>20</v>
      </c>
      <c r="I5" s="51">
        <f>'Delong 1999'!H7</f>
        <v>1430000</v>
      </c>
      <c r="J5" s="51">
        <f>'Delong 1999'!I7</f>
        <v>1070000</v>
      </c>
      <c r="K5" s="51">
        <f>'Delong 1999'!J7</f>
        <v>208000</v>
      </c>
      <c r="L5" s="51">
        <f>J5</f>
        <v>1070000</v>
      </c>
      <c r="M5" s="63">
        <f>L5/I5</f>
        <v>0.74825174825174823</v>
      </c>
      <c r="O5" s="63" t="s">
        <v>926</v>
      </c>
      <c r="P5" s="51" t="s">
        <v>535</v>
      </c>
      <c r="Q5" s="51" t="s">
        <v>263</v>
      </c>
      <c r="R5" s="51" t="s">
        <v>247</v>
      </c>
      <c r="S5" s="51" t="s">
        <v>247</v>
      </c>
      <c r="T5" s="51" t="s">
        <v>924</v>
      </c>
      <c r="U5" s="51" t="s">
        <v>925</v>
      </c>
      <c r="V5" s="51" t="s">
        <v>536</v>
      </c>
    </row>
    <row r="6" spans="1:22">
      <c r="A6" s="20" t="s">
        <v>928</v>
      </c>
      <c r="B6" s="20" t="s">
        <v>927</v>
      </c>
      <c r="C6" s="20">
        <f>'Delong 1999'!C18</f>
        <v>20</v>
      </c>
      <c r="I6" s="51">
        <f>'Delong 1999'!H18</f>
        <v>1320000</v>
      </c>
      <c r="J6" s="51">
        <f>'Delong 1999'!I18</f>
        <v>1280000</v>
      </c>
      <c r="K6" s="51">
        <f>'Delong 1999'!J18</f>
        <v>155000</v>
      </c>
      <c r="L6" s="51">
        <f>J6</f>
        <v>1280000</v>
      </c>
      <c r="M6" s="63">
        <f>L6/I6</f>
        <v>0.96969696969696972</v>
      </c>
      <c r="O6" s="63" t="s">
        <v>926</v>
      </c>
      <c r="P6" s="51" t="s">
        <v>535</v>
      </c>
      <c r="Q6" s="51" t="s">
        <v>263</v>
      </c>
      <c r="R6" s="51" t="s">
        <v>247</v>
      </c>
      <c r="S6" s="51" t="s">
        <v>247</v>
      </c>
      <c r="T6" s="51" t="s">
        <v>924</v>
      </c>
      <c r="U6" s="51" t="s">
        <v>925</v>
      </c>
      <c r="V6" s="51" t="s">
        <v>536</v>
      </c>
    </row>
    <row r="7" spans="1:22">
      <c r="A7" s="20" t="s">
        <v>928</v>
      </c>
      <c r="B7" s="20" t="s">
        <v>927</v>
      </c>
      <c r="C7" s="20">
        <f>'Delong 1999'!C8</f>
        <v>30</v>
      </c>
      <c r="I7" s="51">
        <f>'Delong 1999'!H8</f>
        <v>1490000</v>
      </c>
      <c r="J7" s="51">
        <f>'Delong 1999'!I8</f>
        <v>1320000</v>
      </c>
      <c r="K7" s="51">
        <f>'Delong 1999'!J8</f>
        <v>245000</v>
      </c>
      <c r="L7" s="51">
        <f>J7</f>
        <v>1320000</v>
      </c>
      <c r="M7" s="63">
        <f>L7/I7</f>
        <v>0.88590604026845643</v>
      </c>
      <c r="O7" s="63" t="s">
        <v>926</v>
      </c>
      <c r="P7" s="51" t="s">
        <v>535</v>
      </c>
      <c r="Q7" s="51" t="s">
        <v>263</v>
      </c>
      <c r="R7" s="51" t="s">
        <v>247</v>
      </c>
      <c r="S7" s="51" t="s">
        <v>247</v>
      </c>
      <c r="T7" s="51" t="s">
        <v>924</v>
      </c>
      <c r="U7" s="51" t="s">
        <v>925</v>
      </c>
      <c r="V7" s="51" t="s">
        <v>536</v>
      </c>
    </row>
    <row r="8" spans="1:22">
      <c r="A8" s="20" t="s">
        <v>928</v>
      </c>
      <c r="B8" s="20" t="s">
        <v>927</v>
      </c>
      <c r="C8" s="20">
        <f>'Delong 1999'!C9</f>
        <v>40</v>
      </c>
      <c r="I8" s="51">
        <f>'Delong 1999'!H9</f>
        <v>1400000</v>
      </c>
      <c r="J8" s="51">
        <f>'Delong 1999'!I9</f>
        <v>1120000</v>
      </c>
      <c r="K8" s="51">
        <f>'Delong 1999'!J9</f>
        <v>232000</v>
      </c>
      <c r="L8" s="51">
        <f>J8</f>
        <v>1120000</v>
      </c>
      <c r="M8" s="63">
        <f>L8/I8</f>
        <v>0.8</v>
      </c>
      <c r="O8" s="63" t="s">
        <v>926</v>
      </c>
      <c r="P8" s="51" t="s">
        <v>535</v>
      </c>
      <c r="Q8" s="51" t="s">
        <v>263</v>
      </c>
      <c r="R8" s="51" t="s">
        <v>247</v>
      </c>
      <c r="S8" s="51" t="s">
        <v>247</v>
      </c>
      <c r="T8" s="51" t="s">
        <v>924</v>
      </c>
      <c r="U8" s="51" t="s">
        <v>925</v>
      </c>
      <c r="V8" s="51" t="s">
        <v>536</v>
      </c>
    </row>
    <row r="9" spans="1:22">
      <c r="A9" s="20" t="s">
        <v>928</v>
      </c>
      <c r="B9" s="20" t="s">
        <v>927</v>
      </c>
      <c r="C9" s="20">
        <f>'Delong 1999'!C19</f>
        <v>40</v>
      </c>
      <c r="I9" s="51">
        <f>'Delong 1999'!H19</f>
        <v>981000</v>
      </c>
      <c r="J9" s="51">
        <f>'Delong 1999'!I19</f>
        <v>747000</v>
      </c>
      <c r="K9" s="51">
        <f>'Delong 1999'!J19</f>
        <v>189000</v>
      </c>
      <c r="L9" s="51">
        <f>J9</f>
        <v>747000</v>
      </c>
      <c r="M9" s="63">
        <f>L9/I9</f>
        <v>0.76146788990825687</v>
      </c>
      <c r="O9" s="63" t="s">
        <v>926</v>
      </c>
      <c r="P9" s="51" t="s">
        <v>535</v>
      </c>
      <c r="Q9" s="51" t="s">
        <v>263</v>
      </c>
      <c r="R9" s="51" t="s">
        <v>247</v>
      </c>
      <c r="S9" s="51" t="s">
        <v>247</v>
      </c>
      <c r="T9" s="51" t="s">
        <v>924</v>
      </c>
      <c r="U9" s="51" t="s">
        <v>925</v>
      </c>
      <c r="V9" s="51" t="s">
        <v>536</v>
      </c>
    </row>
    <row r="10" spans="1:22">
      <c r="A10" s="20" t="s">
        <v>928</v>
      </c>
      <c r="B10" s="20" t="s">
        <v>927</v>
      </c>
      <c r="C10" s="20">
        <f>'Delong 1999'!C10</f>
        <v>60</v>
      </c>
      <c r="I10" s="51">
        <f>'Delong 1999'!H10</f>
        <v>955000</v>
      </c>
      <c r="J10" s="51">
        <f>'Delong 1999'!I10</f>
        <v>732000</v>
      </c>
      <c r="K10" s="51">
        <f>'Delong 1999'!J10</f>
        <v>192000</v>
      </c>
      <c r="L10" s="51">
        <f>J10</f>
        <v>732000</v>
      </c>
      <c r="M10" s="63">
        <f>L10/I10</f>
        <v>0.7664921465968586</v>
      </c>
      <c r="O10" s="63" t="s">
        <v>926</v>
      </c>
      <c r="P10" s="51" t="s">
        <v>535</v>
      </c>
      <c r="Q10" s="51" t="s">
        <v>263</v>
      </c>
      <c r="R10" s="51" t="s">
        <v>247</v>
      </c>
      <c r="S10" s="51" t="s">
        <v>247</v>
      </c>
      <c r="T10" s="51" t="s">
        <v>924</v>
      </c>
      <c r="U10" s="51" t="s">
        <v>925</v>
      </c>
      <c r="V10" s="51" t="s">
        <v>536</v>
      </c>
    </row>
    <row r="11" spans="1:22">
      <c r="A11" s="20" t="s">
        <v>928</v>
      </c>
      <c r="B11" s="20" t="s">
        <v>927</v>
      </c>
      <c r="C11" s="20">
        <f>'Delong 1999'!C20</f>
        <v>60</v>
      </c>
      <c r="I11" s="51">
        <f>'Delong 1999'!H20</f>
        <v>781000</v>
      </c>
      <c r="J11" s="51">
        <f>'Delong 1999'!I20</f>
        <v>505000</v>
      </c>
      <c r="K11" s="51">
        <f>'Delong 1999'!J20</f>
        <v>265000</v>
      </c>
      <c r="L11" s="51">
        <f>J11</f>
        <v>505000</v>
      </c>
      <c r="M11" s="63">
        <f>L11/I11</f>
        <v>0.64660691421254801</v>
      </c>
      <c r="O11" s="63" t="s">
        <v>926</v>
      </c>
      <c r="P11" s="51" t="s">
        <v>535</v>
      </c>
      <c r="Q11" s="51" t="s">
        <v>263</v>
      </c>
      <c r="R11" s="51" t="s">
        <v>247</v>
      </c>
      <c r="S11" s="51" t="s">
        <v>247</v>
      </c>
      <c r="T11" s="51" t="s">
        <v>924</v>
      </c>
      <c r="U11" s="51" t="s">
        <v>925</v>
      </c>
      <c r="V11" s="51" t="s">
        <v>536</v>
      </c>
    </row>
    <row r="12" spans="1:22">
      <c r="A12" s="20" t="s">
        <v>928</v>
      </c>
      <c r="B12" s="20" t="s">
        <v>927</v>
      </c>
      <c r="C12" s="20">
        <f>'Delong 1999'!C11</f>
        <v>80</v>
      </c>
      <c r="I12" s="51">
        <f>'Delong 1999'!H11</f>
        <v>539000</v>
      </c>
      <c r="J12" s="51">
        <f>'Delong 1999'!I11</f>
        <v>364000</v>
      </c>
      <c r="K12" s="51">
        <f>'Delong 1999'!J11</f>
        <v>195000</v>
      </c>
      <c r="L12" s="51">
        <f>J12</f>
        <v>364000</v>
      </c>
      <c r="M12" s="63">
        <f>L12/I12</f>
        <v>0.67532467532467533</v>
      </c>
      <c r="O12" s="63" t="s">
        <v>926</v>
      </c>
      <c r="P12" s="51" t="s">
        <v>535</v>
      </c>
      <c r="Q12" s="51" t="s">
        <v>263</v>
      </c>
      <c r="R12" s="51" t="s">
        <v>247</v>
      </c>
      <c r="S12" s="51" t="s">
        <v>247</v>
      </c>
      <c r="T12" s="51" t="s">
        <v>924</v>
      </c>
      <c r="U12" s="51" t="s">
        <v>925</v>
      </c>
      <c r="V12" s="51" t="s">
        <v>536</v>
      </c>
    </row>
    <row r="13" spans="1:22">
      <c r="A13" s="20" t="s">
        <v>928</v>
      </c>
      <c r="B13" s="20" t="s">
        <v>927</v>
      </c>
      <c r="C13" s="20">
        <f>'Delong 1999'!C21</f>
        <v>80</v>
      </c>
      <c r="I13" s="51">
        <f>'Delong 1999'!H21</f>
        <v>614000</v>
      </c>
      <c r="J13" s="51">
        <f>'Delong 1999'!I21</f>
        <v>300000</v>
      </c>
      <c r="K13" s="51">
        <f>'Delong 1999'!J21</f>
        <v>196000</v>
      </c>
      <c r="L13" s="51">
        <f>J13</f>
        <v>300000</v>
      </c>
      <c r="M13" s="63">
        <f>L13/I13</f>
        <v>0.48859934853420195</v>
      </c>
      <c r="O13" s="63" t="s">
        <v>926</v>
      </c>
      <c r="P13" s="51" t="s">
        <v>535</v>
      </c>
      <c r="Q13" s="51" t="s">
        <v>263</v>
      </c>
      <c r="R13" s="51" t="s">
        <v>247</v>
      </c>
      <c r="S13" s="51" t="s">
        <v>247</v>
      </c>
      <c r="T13" s="51" t="s">
        <v>924</v>
      </c>
      <c r="U13" s="51" t="s">
        <v>925</v>
      </c>
      <c r="V13" s="51" t="s">
        <v>536</v>
      </c>
    </row>
    <row r="14" spans="1:22">
      <c r="A14" s="20" t="s">
        <v>928</v>
      </c>
      <c r="B14" s="20" t="s">
        <v>927</v>
      </c>
      <c r="C14" s="20">
        <f>'Delong 1999'!C12</f>
        <v>100</v>
      </c>
      <c r="I14" s="51">
        <f>'Delong 1999'!H12</f>
        <v>456000</v>
      </c>
      <c r="J14" s="51">
        <f>'Delong 1999'!I12</f>
        <v>316000</v>
      </c>
      <c r="K14" s="51">
        <f>'Delong 1999'!J12</f>
        <v>155000</v>
      </c>
      <c r="L14" s="51">
        <f>J14</f>
        <v>316000</v>
      </c>
      <c r="M14" s="63">
        <f>L14/I14</f>
        <v>0.69298245614035092</v>
      </c>
      <c r="O14" s="63" t="s">
        <v>926</v>
      </c>
      <c r="P14" s="51" t="s">
        <v>535</v>
      </c>
      <c r="Q14" s="51" t="s">
        <v>263</v>
      </c>
      <c r="R14" s="51" t="s">
        <v>247</v>
      </c>
      <c r="S14" s="51" t="s">
        <v>247</v>
      </c>
      <c r="T14" s="51" t="s">
        <v>924</v>
      </c>
      <c r="U14" s="51" t="s">
        <v>925</v>
      </c>
      <c r="V14" s="51" t="s">
        <v>536</v>
      </c>
    </row>
    <row r="15" spans="1:22">
      <c r="A15" s="20" t="s">
        <v>928</v>
      </c>
      <c r="B15" s="20" t="s">
        <v>927</v>
      </c>
      <c r="C15" s="20">
        <f>'Delong 1999'!C22</f>
        <v>100</v>
      </c>
      <c r="I15" s="51">
        <f>'Delong 1999'!H22</f>
        <v>573000</v>
      </c>
      <c r="J15" s="51">
        <f>'Delong 1999'!I22</f>
        <v>390000</v>
      </c>
      <c r="K15" s="51">
        <f>'Delong 1999'!J22</f>
        <v>145000</v>
      </c>
      <c r="L15" s="51">
        <f>J15</f>
        <v>390000</v>
      </c>
      <c r="M15" s="63">
        <f>L15/I15</f>
        <v>0.68062827225130895</v>
      </c>
      <c r="O15" s="63" t="s">
        <v>926</v>
      </c>
      <c r="P15" s="51" t="s">
        <v>535</v>
      </c>
      <c r="Q15" s="51" t="s">
        <v>263</v>
      </c>
      <c r="R15" s="51" t="s">
        <v>247</v>
      </c>
      <c r="S15" s="51" t="s">
        <v>247</v>
      </c>
      <c r="T15" s="51" t="s">
        <v>924</v>
      </c>
      <c r="U15" s="51" t="s">
        <v>925</v>
      </c>
      <c r="V15" s="51" t="s">
        <v>536</v>
      </c>
    </row>
    <row r="16" spans="1:22">
      <c r="A16" s="20" t="s">
        <v>928</v>
      </c>
      <c r="B16" s="20" t="s">
        <v>927</v>
      </c>
      <c r="C16" s="20">
        <f>'Delong 1999'!C13</f>
        <v>150</v>
      </c>
      <c r="I16" s="51">
        <f>'Delong 1999'!H13</f>
        <v>420000</v>
      </c>
      <c r="J16" s="51">
        <f>'Delong 1999'!I13</f>
        <v>313000</v>
      </c>
      <c r="K16" s="51">
        <f>'Delong 1999'!J13</f>
        <v>118000</v>
      </c>
      <c r="L16" s="51">
        <f>J16</f>
        <v>313000</v>
      </c>
      <c r="M16" s="63">
        <f>L16/I16</f>
        <v>0.74523809523809526</v>
      </c>
      <c r="O16" s="63" t="s">
        <v>926</v>
      </c>
      <c r="P16" s="51" t="s">
        <v>535</v>
      </c>
      <c r="Q16" s="51" t="s">
        <v>263</v>
      </c>
      <c r="R16" s="51" t="s">
        <v>247</v>
      </c>
      <c r="S16" s="51" t="s">
        <v>247</v>
      </c>
      <c r="T16" s="51" t="s">
        <v>924</v>
      </c>
      <c r="U16" s="51" t="s">
        <v>925</v>
      </c>
      <c r="V16" s="51" t="s">
        <v>536</v>
      </c>
    </row>
    <row r="17" spans="1:22">
      <c r="A17" s="20" t="s">
        <v>928</v>
      </c>
      <c r="B17" s="20" t="s">
        <v>927</v>
      </c>
      <c r="C17" s="20">
        <f>'Delong 1999'!C23</f>
        <v>150</v>
      </c>
      <c r="I17" s="51">
        <f>'Delong 1999'!H23</f>
        <v>476000</v>
      </c>
      <c r="J17" s="51">
        <f>'Delong 1999'!I23</f>
        <v>220000</v>
      </c>
      <c r="K17" s="51">
        <f>'Delong 1999'!J23</f>
        <v>145000</v>
      </c>
      <c r="L17" s="51">
        <f>J17</f>
        <v>220000</v>
      </c>
      <c r="M17" s="63">
        <f>L17/I17</f>
        <v>0.46218487394957986</v>
      </c>
      <c r="O17" s="63" t="s">
        <v>926</v>
      </c>
      <c r="P17" s="51" t="s">
        <v>535</v>
      </c>
      <c r="Q17" s="51" t="s">
        <v>263</v>
      </c>
      <c r="R17" s="51" t="s">
        <v>247</v>
      </c>
      <c r="S17" s="51" t="s">
        <v>247</v>
      </c>
      <c r="T17" s="51" t="s">
        <v>924</v>
      </c>
      <c r="U17" s="51" t="s">
        <v>925</v>
      </c>
      <c r="V17" s="51" t="s">
        <v>536</v>
      </c>
    </row>
    <row r="18" spans="1:22">
      <c r="A18" s="20" t="s">
        <v>928</v>
      </c>
      <c r="B18" s="20" t="s">
        <v>927</v>
      </c>
      <c r="C18" s="20">
        <f>'Delong 1999'!C14</f>
        <v>200</v>
      </c>
      <c r="I18" s="51">
        <f>'Delong 1999'!H14</f>
        <v>340000</v>
      </c>
      <c r="J18" s="51">
        <f>'Delong 1999'!I14</f>
        <v>240000</v>
      </c>
      <c r="K18" s="51">
        <f>'Delong 1999'!J14</f>
        <v>89000</v>
      </c>
      <c r="L18" s="51">
        <f>J18</f>
        <v>240000</v>
      </c>
      <c r="M18" s="63">
        <f>L18/I18</f>
        <v>0.70588235294117652</v>
      </c>
      <c r="O18" s="63" t="s">
        <v>926</v>
      </c>
      <c r="P18" s="51" t="s">
        <v>535</v>
      </c>
      <c r="Q18" s="51" t="s">
        <v>263</v>
      </c>
      <c r="R18" s="51" t="s">
        <v>247</v>
      </c>
      <c r="S18" s="51" t="s">
        <v>247</v>
      </c>
      <c r="T18" s="51" t="s">
        <v>924</v>
      </c>
      <c r="U18" s="51" t="s">
        <v>925</v>
      </c>
      <c r="V18" s="51" t="s">
        <v>536</v>
      </c>
    </row>
    <row r="19" spans="1:22">
      <c r="A19" s="20" t="s">
        <v>928</v>
      </c>
      <c r="B19" s="20" t="s">
        <v>927</v>
      </c>
      <c r="C19" s="20">
        <f>'Delong 1999'!C24</f>
        <v>200</v>
      </c>
      <c r="I19" s="51">
        <f>'Delong 1999'!H24</f>
        <v>372000</v>
      </c>
      <c r="J19" s="51">
        <f>'Delong 1999'!I24</f>
        <v>221000</v>
      </c>
      <c r="K19" s="51">
        <f>'Delong 1999'!J24</f>
        <v>108000</v>
      </c>
      <c r="L19" s="51">
        <f>J19</f>
        <v>221000</v>
      </c>
      <c r="M19" s="63">
        <f>L19/I19</f>
        <v>0.59408602150537637</v>
      </c>
      <c r="O19" s="63" t="s">
        <v>926</v>
      </c>
      <c r="P19" s="51" t="s">
        <v>535</v>
      </c>
      <c r="Q19" s="51" t="s">
        <v>263</v>
      </c>
      <c r="R19" s="51" t="s">
        <v>247</v>
      </c>
      <c r="S19" s="51" t="s">
        <v>247</v>
      </c>
      <c r="T19" s="51" t="s">
        <v>924</v>
      </c>
      <c r="U19" s="51" t="s">
        <v>925</v>
      </c>
      <c r="V19" s="51" t="s">
        <v>536</v>
      </c>
    </row>
    <row r="20" spans="1:22">
      <c r="A20" s="20" t="s">
        <v>928</v>
      </c>
      <c r="B20" s="20" t="s">
        <v>927</v>
      </c>
      <c r="C20" s="20">
        <f>'Delong 1999'!C15</f>
        <v>500</v>
      </c>
      <c r="I20" s="51">
        <f>'Delong 1999'!H15</f>
        <v>186000</v>
      </c>
      <c r="J20" s="51">
        <f>'Delong 1999'!I15</f>
        <v>142000</v>
      </c>
      <c r="K20" s="51">
        <f>'Delong 1999'!J15</f>
        <v>60000</v>
      </c>
      <c r="L20" s="51">
        <f>J20</f>
        <v>142000</v>
      </c>
      <c r="M20" s="63">
        <f>L20/I20</f>
        <v>0.76344086021505375</v>
      </c>
      <c r="O20" s="63" t="s">
        <v>926</v>
      </c>
      <c r="P20" s="51" t="s">
        <v>535</v>
      </c>
      <c r="Q20" s="51" t="s">
        <v>263</v>
      </c>
      <c r="R20" s="51" t="s">
        <v>247</v>
      </c>
      <c r="S20" s="51" t="s">
        <v>247</v>
      </c>
      <c r="T20" s="51" t="s">
        <v>924</v>
      </c>
      <c r="U20" s="51" t="s">
        <v>925</v>
      </c>
      <c r="V20" s="51" t="s">
        <v>536</v>
      </c>
    </row>
    <row r="21" spans="1:22">
      <c r="A21" s="20" t="s">
        <v>928</v>
      </c>
      <c r="B21" s="20" t="s">
        <v>927</v>
      </c>
      <c r="C21" s="20">
        <f>'Delong 1999'!C25</f>
        <v>500</v>
      </c>
      <c r="I21" s="51">
        <f>'Delong 1999'!H25</f>
        <v>186000</v>
      </c>
      <c r="J21" s="51">
        <f>'Delong 1999'!I25</f>
        <v>88000</v>
      </c>
      <c r="K21" s="51">
        <f>'Delong 1999'!J25</f>
        <v>65000</v>
      </c>
      <c r="L21" s="51">
        <f>J21</f>
        <v>88000</v>
      </c>
      <c r="M21" s="63">
        <f>L21/I21</f>
        <v>0.4731182795698925</v>
      </c>
      <c r="O21" s="63" t="s">
        <v>926</v>
      </c>
      <c r="P21" s="51" t="s">
        <v>535</v>
      </c>
      <c r="Q21" s="51" t="s">
        <v>263</v>
      </c>
      <c r="R21" s="51" t="s">
        <v>247</v>
      </c>
      <c r="S21" s="51" t="s">
        <v>247</v>
      </c>
      <c r="T21" s="51" t="s">
        <v>924</v>
      </c>
      <c r="U21" s="51" t="s">
        <v>925</v>
      </c>
      <c r="V21" s="51" t="s">
        <v>536</v>
      </c>
    </row>
    <row r="22" spans="1:22">
      <c r="A22" s="20" t="s">
        <v>928</v>
      </c>
      <c r="B22" s="20" t="s">
        <v>927</v>
      </c>
      <c r="C22" s="20">
        <f>'Delong 1999'!C16</f>
        <v>1000</v>
      </c>
      <c r="I22" s="51">
        <f>'Delong 1999'!H16</f>
        <v>138000</v>
      </c>
      <c r="J22" s="51">
        <f>'Delong 1999'!I16</f>
        <v>39000</v>
      </c>
      <c r="K22" s="51">
        <f>'Delong 1999'!J16</f>
        <v>62000</v>
      </c>
      <c r="L22" s="51">
        <f>J22</f>
        <v>39000</v>
      </c>
      <c r="M22" s="63">
        <f>L22/I22</f>
        <v>0.28260869565217389</v>
      </c>
      <c r="O22" s="63" t="s">
        <v>926</v>
      </c>
      <c r="P22" s="51" t="s">
        <v>535</v>
      </c>
      <c r="Q22" s="51" t="s">
        <v>263</v>
      </c>
      <c r="R22" s="51" t="s">
        <v>247</v>
      </c>
      <c r="S22" s="51" t="s">
        <v>247</v>
      </c>
      <c r="T22" s="51" t="s">
        <v>924</v>
      </c>
      <c r="U22" s="51" t="s">
        <v>925</v>
      </c>
      <c r="V22" s="51" t="s">
        <v>536</v>
      </c>
    </row>
    <row r="23" spans="1:22">
      <c r="A23" s="20" t="s">
        <v>270</v>
      </c>
      <c r="B23" s="20">
        <f>'Karner 2001'!A12</f>
        <v>87</v>
      </c>
      <c r="C23" s="20">
        <f>'Karner 2001'!C12</f>
        <v>5</v>
      </c>
      <c r="I23" s="51">
        <f>'Karner 2001'!I12</f>
        <v>241000</v>
      </c>
      <c r="J23" s="51">
        <f>'Karner 2001'!M12</f>
        <v>204000</v>
      </c>
      <c r="K23" s="51">
        <f>'Karner 2001'!L12</f>
        <v>34700</v>
      </c>
      <c r="L23" s="51">
        <f>'Karner 2001'!N12</f>
        <v>237000</v>
      </c>
      <c r="M23" s="63">
        <f>L23/I23</f>
        <v>0.98340248962655596</v>
      </c>
      <c r="N23" s="63">
        <f>K23/L23</f>
        <v>0.14641350210970464</v>
      </c>
      <c r="O23" s="63" t="s">
        <v>926</v>
      </c>
      <c r="P23" s="51" t="s">
        <v>535</v>
      </c>
      <c r="Q23" s="51" t="s">
        <v>263</v>
      </c>
      <c r="R23" s="51" t="s">
        <v>247</v>
      </c>
      <c r="S23" s="51" t="s">
        <v>247</v>
      </c>
      <c r="T23" s="51" t="s">
        <v>924</v>
      </c>
      <c r="U23" s="51" t="s">
        <v>925</v>
      </c>
      <c r="V23" s="51" t="s">
        <v>536</v>
      </c>
    </row>
    <row r="24" spans="1:22">
      <c r="A24" s="20" t="s">
        <v>270</v>
      </c>
      <c r="B24" s="20">
        <f>'Karner 2001'!A18</f>
        <v>88</v>
      </c>
      <c r="C24" s="20">
        <f>'Karner 2001'!C18</f>
        <v>5</v>
      </c>
      <c r="I24" s="51">
        <f>'Karner 2001'!I18</f>
        <v>154000</v>
      </c>
      <c r="J24" s="51">
        <f>'Karner 2001'!M18</f>
        <v>104000</v>
      </c>
      <c r="K24" s="51">
        <f>'Karner 2001'!L18</f>
        <v>2160</v>
      </c>
      <c r="L24" s="51">
        <f>'Karner 2001'!N18</f>
        <v>101000</v>
      </c>
      <c r="M24" s="63">
        <f>L24/I24</f>
        <v>0.6558441558441559</v>
      </c>
      <c r="N24" s="63">
        <f>K24/L24</f>
        <v>2.1386138613861388E-2</v>
      </c>
      <c r="O24" s="63" t="s">
        <v>926</v>
      </c>
      <c r="P24" s="51" t="s">
        <v>535</v>
      </c>
      <c r="Q24" s="51" t="s">
        <v>263</v>
      </c>
      <c r="R24" s="51" t="s">
        <v>247</v>
      </c>
      <c r="S24" s="51" t="s">
        <v>247</v>
      </c>
      <c r="T24" s="51" t="s">
        <v>924</v>
      </c>
      <c r="U24" s="51" t="s">
        <v>925</v>
      </c>
      <c r="V24" s="51" t="s">
        <v>536</v>
      </c>
    </row>
    <row r="25" spans="1:22">
      <c r="A25" s="20" t="s">
        <v>270</v>
      </c>
      <c r="B25" s="20">
        <f>'Karner 2001'!A24</f>
        <v>89</v>
      </c>
      <c r="C25" s="20">
        <f>'Karner 2001'!C24</f>
        <v>5</v>
      </c>
      <c r="I25" s="51">
        <f>'Karner 2001'!I24</f>
        <v>132000</v>
      </c>
      <c r="J25" s="51">
        <f>'Karner 2001'!M24</f>
        <v>93800</v>
      </c>
      <c r="K25" s="51">
        <f>'Karner 2001'!L24</f>
        <v>17700</v>
      </c>
      <c r="L25" s="51">
        <f>'Karner 2001'!N24</f>
        <v>110000</v>
      </c>
      <c r="M25" s="63">
        <f>L25/I25</f>
        <v>0.83333333333333337</v>
      </c>
      <c r="N25" s="63">
        <f>K25/L25</f>
        <v>0.16090909090909092</v>
      </c>
      <c r="O25" s="63" t="s">
        <v>926</v>
      </c>
      <c r="P25" s="51" t="s">
        <v>535</v>
      </c>
      <c r="Q25" s="51" t="s">
        <v>263</v>
      </c>
      <c r="R25" s="51" t="s">
        <v>247</v>
      </c>
      <c r="S25" s="51" t="s">
        <v>247</v>
      </c>
      <c r="T25" s="51" t="s">
        <v>924</v>
      </c>
      <c r="U25" s="51" t="s">
        <v>925</v>
      </c>
      <c r="V25" s="51" t="s">
        <v>536</v>
      </c>
    </row>
    <row r="26" spans="1:22">
      <c r="A26" s="20" t="s">
        <v>270</v>
      </c>
      <c r="B26" s="20">
        <f>'Karner 2001'!A30</f>
        <v>90</v>
      </c>
      <c r="C26" s="20">
        <f>'Karner 2001'!C30</f>
        <v>5</v>
      </c>
      <c r="I26" s="51">
        <f>'Karner 2001'!I30</f>
        <v>149000</v>
      </c>
      <c r="J26" s="51">
        <f>'Karner 2001'!M30</f>
        <v>130000</v>
      </c>
      <c r="K26" s="51">
        <f>'Karner 2001'!L30</f>
        <v>7730</v>
      </c>
      <c r="L26" s="51">
        <f>'Karner 2001'!N30</f>
        <v>136000</v>
      </c>
      <c r="M26" s="63">
        <f>L26/I26</f>
        <v>0.91275167785234901</v>
      </c>
      <c r="N26" s="63">
        <f>K26/L26</f>
        <v>5.6838235294117648E-2</v>
      </c>
      <c r="O26" s="63" t="s">
        <v>926</v>
      </c>
      <c r="P26" s="51" t="s">
        <v>535</v>
      </c>
      <c r="Q26" s="51" t="s">
        <v>263</v>
      </c>
      <c r="R26" s="51" t="s">
        <v>247</v>
      </c>
      <c r="S26" s="51" t="s">
        <v>247</v>
      </c>
      <c r="T26" s="51" t="s">
        <v>924</v>
      </c>
      <c r="U26" s="51" t="s">
        <v>925</v>
      </c>
      <c r="V26" s="51" t="s">
        <v>536</v>
      </c>
    </row>
    <row r="27" spans="1:22">
      <c r="A27" s="20" t="s">
        <v>270</v>
      </c>
      <c r="B27" s="20">
        <f>'Karner 2001'!A36</f>
        <v>91</v>
      </c>
      <c r="C27" s="20">
        <f>'Karner 2001'!C36</f>
        <v>5</v>
      </c>
      <c r="I27" s="51">
        <f>'Karner 2001'!I36</f>
        <v>237000</v>
      </c>
      <c r="J27" s="51">
        <f>'Karner 2001'!M36</f>
        <v>186000</v>
      </c>
      <c r="K27" s="51">
        <f>'Karner 2001'!L36</f>
        <v>8220</v>
      </c>
      <c r="L27" s="51">
        <f>'Karner 2001'!N36</f>
        <v>184000</v>
      </c>
      <c r="M27" s="63">
        <f>L27/I27</f>
        <v>0.77637130801687759</v>
      </c>
      <c r="N27" s="63">
        <f>K27/L27</f>
        <v>4.4673913043478258E-2</v>
      </c>
      <c r="O27" s="63" t="s">
        <v>926</v>
      </c>
      <c r="P27" s="51" t="s">
        <v>535</v>
      </c>
      <c r="Q27" s="51" t="s">
        <v>263</v>
      </c>
      <c r="R27" s="51" t="s">
        <v>247</v>
      </c>
      <c r="S27" s="51" t="s">
        <v>247</v>
      </c>
      <c r="T27" s="51" t="s">
        <v>924</v>
      </c>
      <c r="U27" s="51" t="s">
        <v>925</v>
      </c>
      <c r="V27" s="51" t="s">
        <v>536</v>
      </c>
    </row>
    <row r="28" spans="1:22">
      <c r="A28" s="20" t="s">
        <v>270</v>
      </c>
      <c r="B28" s="20">
        <f>'Karner 2001'!A45</f>
        <v>92</v>
      </c>
      <c r="C28" s="20">
        <f>'Karner 2001'!C45</f>
        <v>5</v>
      </c>
      <c r="I28" s="51">
        <f>'Karner 2001'!I45</f>
        <v>213000</v>
      </c>
      <c r="J28" s="51">
        <f>'Karner 2001'!M45</f>
        <v>180000</v>
      </c>
      <c r="K28" s="51">
        <f>'Karner 2001'!L45</f>
        <v>46400</v>
      </c>
      <c r="L28" s="51">
        <f>'Karner 2001'!N45</f>
        <v>174000</v>
      </c>
      <c r="M28" s="63">
        <f>L28/I28</f>
        <v>0.81690140845070425</v>
      </c>
      <c r="N28" s="63">
        <f>K28/L28</f>
        <v>0.26666666666666666</v>
      </c>
      <c r="O28" s="63" t="s">
        <v>926</v>
      </c>
      <c r="P28" s="51" t="s">
        <v>535</v>
      </c>
      <c r="Q28" s="51" t="s">
        <v>263</v>
      </c>
      <c r="R28" s="51" t="s">
        <v>247</v>
      </c>
      <c r="S28" s="51" t="s">
        <v>247</v>
      </c>
      <c r="T28" s="51" t="s">
        <v>924</v>
      </c>
      <c r="U28" s="51" t="s">
        <v>925</v>
      </c>
      <c r="V28" s="51" t="s">
        <v>536</v>
      </c>
    </row>
    <row r="29" spans="1:22">
      <c r="A29" s="20" t="s">
        <v>270</v>
      </c>
      <c r="B29" s="20">
        <f>'Karner 2001'!A54</f>
        <v>93</v>
      </c>
      <c r="C29" s="20">
        <f>'Karner 2001'!C54</f>
        <v>5</v>
      </c>
      <c r="I29" s="51">
        <f>'Karner 2001'!I54</f>
        <v>294000</v>
      </c>
      <c r="J29" s="51">
        <f>'Karner 2001'!M54</f>
        <v>223000</v>
      </c>
      <c r="K29" s="51">
        <f>'Karner 2001'!L54</f>
        <v>9170</v>
      </c>
      <c r="L29" s="51">
        <f>'Karner 2001'!N54</f>
        <v>230000</v>
      </c>
      <c r="M29" s="63">
        <f>L29/I29</f>
        <v>0.78231292517006801</v>
      </c>
      <c r="N29" s="63">
        <f>K29/L29</f>
        <v>3.9869565217391302E-2</v>
      </c>
      <c r="O29" s="63" t="s">
        <v>926</v>
      </c>
      <c r="P29" s="51" t="s">
        <v>535</v>
      </c>
      <c r="Q29" s="51" t="s">
        <v>263</v>
      </c>
      <c r="R29" s="51" t="s">
        <v>247</v>
      </c>
      <c r="S29" s="51" t="s">
        <v>247</v>
      </c>
      <c r="T29" s="51" t="s">
        <v>924</v>
      </c>
      <c r="U29" s="51" t="s">
        <v>925</v>
      </c>
      <c r="V29" s="51" t="s">
        <v>536</v>
      </c>
    </row>
    <row r="30" spans="1:22">
      <c r="A30" s="20" t="s">
        <v>270</v>
      </c>
      <c r="B30" s="20">
        <f>'Karner 2001'!A63</f>
        <v>94</v>
      </c>
      <c r="C30" s="20">
        <f>'Karner 2001'!C63</f>
        <v>5</v>
      </c>
      <c r="I30" s="51">
        <f>'Karner 2001'!I63</f>
        <v>521000</v>
      </c>
      <c r="J30" s="51">
        <f>'Karner 2001'!M63</f>
        <v>452000</v>
      </c>
      <c r="K30" s="51">
        <f>'Karner 2001'!L63</f>
        <v>12200</v>
      </c>
      <c r="L30" s="51">
        <f>'Karner 2001'!N63</f>
        <v>457000</v>
      </c>
      <c r="M30" s="63">
        <f>L30/I30</f>
        <v>0.87715930902111328</v>
      </c>
      <c r="N30" s="63">
        <f>K30/L30</f>
        <v>2.6695842450765863E-2</v>
      </c>
      <c r="O30" s="63" t="s">
        <v>926</v>
      </c>
      <c r="P30" s="51" t="s">
        <v>535</v>
      </c>
      <c r="Q30" s="51" t="s">
        <v>263</v>
      </c>
      <c r="R30" s="51" t="s">
        <v>247</v>
      </c>
      <c r="S30" s="51" t="s">
        <v>247</v>
      </c>
      <c r="T30" s="51" t="s">
        <v>924</v>
      </c>
      <c r="U30" s="51" t="s">
        <v>925</v>
      </c>
      <c r="V30" s="51" t="s">
        <v>536</v>
      </c>
    </row>
    <row r="31" spans="1:22">
      <c r="A31" s="20" t="s">
        <v>270</v>
      </c>
      <c r="B31" s="20">
        <f>'Karner 2001'!A72</f>
        <v>95</v>
      </c>
      <c r="C31" s="20">
        <f>'Karner 2001'!C72</f>
        <v>5</v>
      </c>
      <c r="I31" s="51">
        <f>'Karner 2001'!I72</f>
        <v>408000</v>
      </c>
      <c r="J31" s="51">
        <f>'Karner 2001'!M72</f>
        <v>321000</v>
      </c>
      <c r="K31" s="51">
        <f>'Karner 2001'!L72</f>
        <v>20700</v>
      </c>
      <c r="L31" s="51">
        <f>'Karner 2001'!N72</f>
        <v>337000</v>
      </c>
      <c r="M31" s="63">
        <f>L31/I31</f>
        <v>0.8259803921568627</v>
      </c>
      <c r="N31" s="63">
        <f>K31/L31</f>
        <v>6.1424332344213649E-2</v>
      </c>
      <c r="O31" s="63" t="s">
        <v>926</v>
      </c>
      <c r="P31" s="51" t="s">
        <v>535</v>
      </c>
      <c r="Q31" s="51" t="s">
        <v>263</v>
      </c>
      <c r="R31" s="51" t="s">
        <v>247</v>
      </c>
      <c r="S31" s="51" t="s">
        <v>247</v>
      </c>
      <c r="T31" s="51" t="s">
        <v>924</v>
      </c>
      <c r="U31" s="51" t="s">
        <v>925</v>
      </c>
      <c r="V31" s="51" t="s">
        <v>536</v>
      </c>
    </row>
    <row r="32" spans="1:22">
      <c r="A32" s="20" t="s">
        <v>270</v>
      </c>
      <c r="B32" s="20">
        <f>'Karner 2001'!A81</f>
        <v>96</v>
      </c>
      <c r="C32" s="20">
        <f>'Karner 2001'!C81</f>
        <v>5</v>
      </c>
      <c r="I32" s="51">
        <f>'Karner 2001'!I81</f>
        <v>450000</v>
      </c>
      <c r="J32" s="51">
        <f>'Karner 2001'!M81</f>
        <v>377000</v>
      </c>
      <c r="K32" s="51">
        <f>'Karner 2001'!L81</f>
        <v>16200</v>
      </c>
      <c r="L32" s="51">
        <f>'Karner 2001'!N81</f>
        <v>375000</v>
      </c>
      <c r="M32" s="63">
        <f>L32/I32</f>
        <v>0.83333333333333337</v>
      </c>
      <c r="N32" s="63">
        <f>K32/L32</f>
        <v>4.3200000000000002E-2</v>
      </c>
      <c r="O32" s="63" t="s">
        <v>926</v>
      </c>
      <c r="P32" s="51" t="s">
        <v>535</v>
      </c>
      <c r="Q32" s="51" t="s">
        <v>263</v>
      </c>
      <c r="R32" s="51" t="s">
        <v>247</v>
      </c>
      <c r="S32" s="51" t="s">
        <v>247</v>
      </c>
      <c r="T32" s="51" t="s">
        <v>924</v>
      </c>
      <c r="U32" s="51" t="s">
        <v>925</v>
      </c>
      <c r="V32" s="51" t="s">
        <v>536</v>
      </c>
    </row>
    <row r="33" spans="1:22">
      <c r="A33" s="20" t="s">
        <v>270</v>
      </c>
      <c r="B33" s="20">
        <f>'Karner 2001'!A90</f>
        <v>97</v>
      </c>
      <c r="C33" s="20">
        <f>'Karner 2001'!C90</f>
        <v>5</v>
      </c>
      <c r="I33" s="51">
        <f>'Karner 2001'!I90</f>
        <v>672000</v>
      </c>
      <c r="J33" s="51">
        <f>'Karner 2001'!M90</f>
        <v>515000</v>
      </c>
      <c r="K33" s="51">
        <f>'Karner 2001'!L90</f>
        <v>79400</v>
      </c>
      <c r="L33" s="51">
        <f>'Karner 2001'!N90</f>
        <v>577000</v>
      </c>
      <c r="M33" s="63">
        <f>L33/I33</f>
        <v>0.85863095238095233</v>
      </c>
      <c r="N33" s="63">
        <f>K33/L33</f>
        <v>0.13760831889081457</v>
      </c>
      <c r="O33" s="63" t="s">
        <v>926</v>
      </c>
      <c r="P33" s="51" t="s">
        <v>535</v>
      </c>
      <c r="Q33" s="51" t="s">
        <v>263</v>
      </c>
      <c r="R33" s="51" t="s">
        <v>247</v>
      </c>
      <c r="S33" s="51" t="s">
        <v>247</v>
      </c>
      <c r="T33" s="51" t="s">
        <v>924</v>
      </c>
      <c r="U33" s="51" t="s">
        <v>925</v>
      </c>
      <c r="V33" s="51" t="s">
        <v>536</v>
      </c>
    </row>
    <row r="34" spans="1:22">
      <c r="A34" s="20" t="s">
        <v>270</v>
      </c>
      <c r="B34" s="20">
        <f>'Karner 2001'!A101</f>
        <v>98</v>
      </c>
      <c r="C34" s="20">
        <f>'Karner 2001'!C101</f>
        <v>5</v>
      </c>
      <c r="I34" s="51">
        <f>'Karner 2001'!I101</f>
        <v>525000</v>
      </c>
      <c r="J34" s="51">
        <f>'Karner 2001'!M101</f>
        <v>469000</v>
      </c>
      <c r="K34" s="51">
        <f>'Karner 2001'!L101</f>
        <v>48000</v>
      </c>
      <c r="L34" s="51">
        <f>'Karner 2001'!N101</f>
        <v>494000</v>
      </c>
      <c r="M34" s="63">
        <f>L34/I34</f>
        <v>0.94095238095238098</v>
      </c>
      <c r="N34" s="63">
        <f>K34/L34</f>
        <v>9.7165991902834009E-2</v>
      </c>
      <c r="O34" s="63" t="s">
        <v>926</v>
      </c>
      <c r="P34" s="51" t="s">
        <v>535</v>
      </c>
      <c r="Q34" s="51" t="s">
        <v>263</v>
      </c>
      <c r="R34" s="51" t="s">
        <v>247</v>
      </c>
      <c r="S34" s="51" t="s">
        <v>247</v>
      </c>
      <c r="T34" s="51" t="s">
        <v>924</v>
      </c>
      <c r="U34" s="51" t="s">
        <v>925</v>
      </c>
      <c r="V34" s="51" t="s">
        <v>536</v>
      </c>
    </row>
    <row r="35" spans="1:22">
      <c r="A35" s="20" t="s">
        <v>270</v>
      </c>
      <c r="B35" s="20">
        <f>'Karner 2001'!A112</f>
        <v>99</v>
      </c>
      <c r="C35" s="20">
        <f>'Karner 2001'!C112</f>
        <v>5</v>
      </c>
      <c r="O35" s="63" t="s">
        <v>926</v>
      </c>
      <c r="P35" s="51" t="s">
        <v>535</v>
      </c>
      <c r="Q35" s="51" t="s">
        <v>263</v>
      </c>
      <c r="R35" s="51" t="s">
        <v>247</v>
      </c>
      <c r="S35" s="51" t="s">
        <v>247</v>
      </c>
      <c r="T35" s="51" t="s">
        <v>924</v>
      </c>
      <c r="U35" s="51" t="s">
        <v>925</v>
      </c>
      <c r="V35" s="51" t="s">
        <v>536</v>
      </c>
    </row>
    <row r="36" spans="1:22">
      <c r="A36" s="20" t="s">
        <v>270</v>
      </c>
      <c r="B36" s="20">
        <f>'Karner 2001'!A123</f>
        <v>100</v>
      </c>
      <c r="C36" s="20">
        <f>'Karner 2001'!C123</f>
        <v>5</v>
      </c>
      <c r="I36" s="51">
        <f>'Karner 2001'!I123</f>
        <v>411000</v>
      </c>
      <c r="J36" s="51">
        <f>'Karner 2001'!M123</f>
        <v>273000</v>
      </c>
      <c r="K36" s="51">
        <f>'Karner 2001'!L123</f>
        <v>206000</v>
      </c>
      <c r="L36" s="51">
        <f>'Karner 2001'!N123</f>
        <v>473000</v>
      </c>
      <c r="M36" s="63">
        <f>L36/I36</f>
        <v>1.1508515815085159</v>
      </c>
      <c r="N36" s="63">
        <f>K36/L36</f>
        <v>0.43551797040169132</v>
      </c>
      <c r="O36" s="63" t="s">
        <v>926</v>
      </c>
      <c r="P36" s="51" t="s">
        <v>535</v>
      </c>
      <c r="Q36" s="51" t="s">
        <v>263</v>
      </c>
      <c r="R36" s="51" t="s">
        <v>247</v>
      </c>
      <c r="S36" s="51" t="s">
        <v>247</v>
      </c>
      <c r="T36" s="51" t="s">
        <v>924</v>
      </c>
      <c r="U36" s="51" t="s">
        <v>925</v>
      </c>
      <c r="V36" s="51" t="s">
        <v>536</v>
      </c>
    </row>
    <row r="37" spans="1:22">
      <c r="A37" s="20" t="s">
        <v>270</v>
      </c>
      <c r="B37" s="20">
        <f>'Karner 2001'!A13</f>
        <v>87</v>
      </c>
      <c r="C37" s="20">
        <f>'Karner 2001'!C13</f>
        <v>25</v>
      </c>
      <c r="I37" s="51">
        <f>'Karner 2001'!I13</f>
        <v>398000</v>
      </c>
      <c r="J37" s="51">
        <f>'Karner 2001'!M13</f>
        <v>301000</v>
      </c>
      <c r="K37" s="51">
        <f>'Karner 2001'!L13</f>
        <v>40400</v>
      </c>
      <c r="L37" s="51">
        <f>'Karner 2001'!N13</f>
        <v>332000</v>
      </c>
      <c r="M37" s="63">
        <f>L37/I37</f>
        <v>0.83417085427135673</v>
      </c>
      <c r="N37" s="63">
        <f>K37/L37</f>
        <v>0.1216867469879518</v>
      </c>
      <c r="O37" s="63" t="s">
        <v>926</v>
      </c>
      <c r="P37" s="51" t="s">
        <v>535</v>
      </c>
      <c r="Q37" s="51" t="s">
        <v>263</v>
      </c>
      <c r="R37" s="51" t="s">
        <v>247</v>
      </c>
      <c r="S37" s="51" t="s">
        <v>247</v>
      </c>
      <c r="T37" s="51" t="s">
        <v>924</v>
      </c>
      <c r="U37" s="51" t="s">
        <v>925</v>
      </c>
      <c r="V37" s="51" t="s">
        <v>536</v>
      </c>
    </row>
    <row r="38" spans="1:22">
      <c r="A38" s="20" t="s">
        <v>270</v>
      </c>
      <c r="B38" s="20">
        <f>'Karner 2001'!A19</f>
        <v>88</v>
      </c>
      <c r="C38" s="20">
        <f>'Karner 2001'!C19</f>
        <v>25</v>
      </c>
      <c r="I38" s="51">
        <f>'Karner 2001'!I19</f>
        <v>243000</v>
      </c>
      <c r="J38" s="51">
        <f>'Karner 2001'!M19</f>
        <v>185000</v>
      </c>
      <c r="K38" s="51">
        <f>'Karner 2001'!L19</f>
        <v>4500</v>
      </c>
      <c r="L38" s="51">
        <f>'Karner 2001'!N19</f>
        <v>184000</v>
      </c>
      <c r="M38" s="63">
        <f>L38/I38</f>
        <v>0.75720164609053497</v>
      </c>
      <c r="N38" s="63">
        <f>K38/L38</f>
        <v>2.4456521739130436E-2</v>
      </c>
      <c r="O38" s="63" t="s">
        <v>926</v>
      </c>
      <c r="P38" s="51" t="s">
        <v>535</v>
      </c>
      <c r="Q38" s="51" t="s">
        <v>263</v>
      </c>
      <c r="R38" s="51" t="s">
        <v>247</v>
      </c>
      <c r="S38" s="51" t="s">
        <v>247</v>
      </c>
      <c r="T38" s="51" t="s">
        <v>924</v>
      </c>
      <c r="U38" s="51" t="s">
        <v>925</v>
      </c>
      <c r="V38" s="51" t="s">
        <v>536</v>
      </c>
    </row>
    <row r="39" spans="1:22">
      <c r="A39" s="20" t="s">
        <v>270</v>
      </c>
      <c r="B39" s="20">
        <f>'Karner 2001'!A25</f>
        <v>89</v>
      </c>
      <c r="C39" s="20">
        <f>'Karner 2001'!C25</f>
        <v>25</v>
      </c>
      <c r="I39" s="51">
        <f>'Karner 2001'!I25</f>
        <v>194000</v>
      </c>
      <c r="J39" s="51">
        <f>'Karner 2001'!M25</f>
        <v>132000</v>
      </c>
      <c r="K39" s="51">
        <f>'Karner 2001'!L25</f>
        <v>18700</v>
      </c>
      <c r="L39" s="51">
        <f>'Karner 2001'!N25</f>
        <v>139000</v>
      </c>
      <c r="M39" s="63">
        <f>L39/I39</f>
        <v>0.71649484536082475</v>
      </c>
      <c r="N39" s="63">
        <f>K39/L39</f>
        <v>0.13453237410071942</v>
      </c>
      <c r="O39" s="63" t="s">
        <v>926</v>
      </c>
      <c r="P39" s="51" t="s">
        <v>535</v>
      </c>
      <c r="Q39" s="51" t="s">
        <v>263</v>
      </c>
      <c r="R39" s="51" t="s">
        <v>247</v>
      </c>
      <c r="S39" s="51" t="s">
        <v>247</v>
      </c>
      <c r="T39" s="51" t="s">
        <v>924</v>
      </c>
      <c r="U39" s="51" t="s">
        <v>925</v>
      </c>
      <c r="V39" s="51" t="s">
        <v>536</v>
      </c>
    </row>
    <row r="40" spans="1:22">
      <c r="A40" s="20" t="s">
        <v>270</v>
      </c>
      <c r="B40" s="20">
        <f>'Karner 2001'!A31</f>
        <v>90</v>
      </c>
      <c r="C40" s="20">
        <f>'Karner 2001'!C31</f>
        <v>25</v>
      </c>
      <c r="I40" s="51">
        <f>'Karner 2001'!I31</f>
        <v>292000</v>
      </c>
      <c r="J40" s="51">
        <f>'Karner 2001'!M31</f>
        <v>260000</v>
      </c>
      <c r="K40" s="51">
        <f>'Karner 2001'!L31</f>
        <v>1940</v>
      </c>
      <c r="L40" s="51">
        <f>'Karner 2001'!N31</f>
        <v>256000</v>
      </c>
      <c r="M40" s="63">
        <f>L40/I40</f>
        <v>0.87671232876712324</v>
      </c>
      <c r="N40" s="63">
        <f>K40/L40</f>
        <v>7.5781249999999998E-3</v>
      </c>
      <c r="O40" s="63" t="s">
        <v>926</v>
      </c>
      <c r="P40" s="51" t="s">
        <v>535</v>
      </c>
      <c r="Q40" s="51" t="s">
        <v>263</v>
      </c>
      <c r="R40" s="51" t="s">
        <v>247</v>
      </c>
      <c r="S40" s="51" t="s">
        <v>247</v>
      </c>
      <c r="T40" s="51" t="s">
        <v>924</v>
      </c>
      <c r="U40" s="51" t="s">
        <v>925</v>
      </c>
      <c r="V40" s="51" t="s">
        <v>536</v>
      </c>
    </row>
    <row r="41" spans="1:22">
      <c r="A41" s="20" t="s">
        <v>270</v>
      </c>
      <c r="B41" s="20">
        <f>'Karner 2001'!A37</f>
        <v>91</v>
      </c>
      <c r="C41" s="20">
        <f>'Karner 2001'!C37</f>
        <v>25</v>
      </c>
      <c r="I41" s="51">
        <f>'Karner 2001'!I37</f>
        <v>313000</v>
      </c>
      <c r="J41" s="51">
        <f>'Karner 2001'!M37</f>
        <v>243000</v>
      </c>
      <c r="K41" s="51">
        <f>'Karner 2001'!L37</f>
        <v>26900</v>
      </c>
      <c r="L41" s="51">
        <f>'Karner 2001'!N37</f>
        <v>263000</v>
      </c>
      <c r="M41" s="63">
        <f>L41/I41</f>
        <v>0.84025559105431313</v>
      </c>
      <c r="N41" s="63">
        <f>K41/L41</f>
        <v>0.10228136882129278</v>
      </c>
      <c r="O41" s="63" t="s">
        <v>926</v>
      </c>
      <c r="P41" s="51" t="s">
        <v>535</v>
      </c>
      <c r="Q41" s="51" t="s">
        <v>263</v>
      </c>
      <c r="R41" s="51" t="s">
        <v>247</v>
      </c>
      <c r="S41" s="51" t="s">
        <v>247</v>
      </c>
      <c r="T41" s="51" t="s">
        <v>924</v>
      </c>
      <c r="U41" s="51" t="s">
        <v>925</v>
      </c>
      <c r="V41" s="51" t="s">
        <v>536</v>
      </c>
    </row>
    <row r="42" spans="1:22">
      <c r="A42" s="20" t="s">
        <v>270</v>
      </c>
      <c r="B42" s="20">
        <f>'Karner 2001'!A46</f>
        <v>92</v>
      </c>
      <c r="C42" s="20">
        <f>'Karner 2001'!C46</f>
        <v>25</v>
      </c>
      <c r="I42" s="51">
        <f>'Karner 2001'!I46</f>
        <v>306000</v>
      </c>
      <c r="J42" s="51">
        <f>'Karner 2001'!M46</f>
        <v>262000</v>
      </c>
      <c r="K42" s="51">
        <f>'Karner 2001'!L46</f>
        <v>86300</v>
      </c>
      <c r="L42" s="51">
        <f>'Karner 2001'!N46</f>
        <v>239000</v>
      </c>
      <c r="M42" s="63">
        <f>L42/I42</f>
        <v>0.78104575163398693</v>
      </c>
      <c r="N42" s="63">
        <f>K42/L42</f>
        <v>0.36108786610878663</v>
      </c>
      <c r="O42" s="63" t="s">
        <v>926</v>
      </c>
      <c r="P42" s="51" t="s">
        <v>535</v>
      </c>
      <c r="Q42" s="51" t="s">
        <v>263</v>
      </c>
      <c r="R42" s="51" t="s">
        <v>247</v>
      </c>
      <c r="S42" s="51" t="s">
        <v>247</v>
      </c>
      <c r="T42" s="51" t="s">
        <v>924</v>
      </c>
      <c r="U42" s="51" t="s">
        <v>925</v>
      </c>
      <c r="V42" s="51" t="s">
        <v>536</v>
      </c>
    </row>
    <row r="43" spans="1:22">
      <c r="A43" s="20" t="s">
        <v>270</v>
      </c>
      <c r="B43" s="20">
        <f>'Karner 2001'!A55</f>
        <v>93</v>
      </c>
      <c r="C43" s="20">
        <f>'Karner 2001'!C55</f>
        <v>25</v>
      </c>
      <c r="I43" s="51">
        <f>'Karner 2001'!I55</f>
        <v>399000</v>
      </c>
      <c r="J43" s="51">
        <f>'Karner 2001'!M55</f>
        <v>310000</v>
      </c>
      <c r="K43" s="51">
        <f>'Karner 2001'!L55</f>
        <v>18400</v>
      </c>
      <c r="L43" s="51">
        <f>'Karner 2001'!N55</f>
        <v>321000</v>
      </c>
      <c r="M43" s="63">
        <f>L43/I43</f>
        <v>0.80451127819548873</v>
      </c>
      <c r="N43" s="63">
        <f>K43/L43</f>
        <v>5.73208722741433E-2</v>
      </c>
      <c r="O43" s="63" t="s">
        <v>926</v>
      </c>
      <c r="P43" s="51" t="s">
        <v>535</v>
      </c>
      <c r="Q43" s="51" t="s">
        <v>263</v>
      </c>
      <c r="R43" s="51" t="s">
        <v>247</v>
      </c>
      <c r="S43" s="51" t="s">
        <v>247</v>
      </c>
      <c r="T43" s="51" t="s">
        <v>924</v>
      </c>
      <c r="U43" s="51" t="s">
        <v>925</v>
      </c>
      <c r="V43" s="51" t="s">
        <v>536</v>
      </c>
    </row>
    <row r="44" spans="1:22">
      <c r="A44" s="20" t="s">
        <v>270</v>
      </c>
      <c r="B44" s="20">
        <f>'Karner 2001'!A64</f>
        <v>94</v>
      </c>
      <c r="C44" s="20">
        <f>'Karner 2001'!C64</f>
        <v>25</v>
      </c>
      <c r="I44" s="51">
        <f>'Karner 2001'!I64</f>
        <v>519000</v>
      </c>
      <c r="J44" s="51">
        <f>'Karner 2001'!M64</f>
        <v>447000</v>
      </c>
      <c r="K44" s="51">
        <f>'Karner 2001'!L64</f>
        <v>12900</v>
      </c>
      <c r="L44" s="51">
        <f>'Karner 2001'!N64</f>
        <v>460000</v>
      </c>
      <c r="M44" s="63">
        <f>L44/I44</f>
        <v>0.88631984585741808</v>
      </c>
      <c r="N44" s="63">
        <f>K44/L44</f>
        <v>2.8043478260869566E-2</v>
      </c>
      <c r="O44" s="63" t="s">
        <v>926</v>
      </c>
      <c r="P44" s="51" t="s">
        <v>535</v>
      </c>
      <c r="Q44" s="51" t="s">
        <v>263</v>
      </c>
      <c r="R44" s="51" t="s">
        <v>247</v>
      </c>
      <c r="S44" s="51" t="s">
        <v>247</v>
      </c>
      <c r="T44" s="51" t="s">
        <v>924</v>
      </c>
      <c r="U44" s="51" t="s">
        <v>925</v>
      </c>
      <c r="V44" s="51" t="s">
        <v>536</v>
      </c>
    </row>
    <row r="45" spans="1:22">
      <c r="A45" s="20" t="s">
        <v>270</v>
      </c>
      <c r="B45" s="20">
        <f>'Karner 2001'!A73</f>
        <v>95</v>
      </c>
      <c r="C45" s="20">
        <f>'Karner 2001'!C73</f>
        <v>25</v>
      </c>
      <c r="I45" s="51">
        <f>'Karner 2001'!I73</f>
        <v>548000</v>
      </c>
      <c r="J45" s="51">
        <f>'Karner 2001'!M73</f>
        <v>367000</v>
      </c>
      <c r="K45" s="51">
        <f>'Karner 2001'!L73</f>
        <v>29800</v>
      </c>
      <c r="L45" s="51">
        <f>'Karner 2001'!N73</f>
        <v>375000</v>
      </c>
      <c r="M45" s="63">
        <f>L45/I45</f>
        <v>0.68430656934306566</v>
      </c>
      <c r="N45" s="63">
        <f>K45/L45</f>
        <v>7.9466666666666672E-2</v>
      </c>
      <c r="O45" s="63" t="s">
        <v>926</v>
      </c>
      <c r="P45" s="51" t="s">
        <v>535</v>
      </c>
      <c r="Q45" s="51" t="s">
        <v>263</v>
      </c>
      <c r="R45" s="51" t="s">
        <v>247</v>
      </c>
      <c r="S45" s="51" t="s">
        <v>247</v>
      </c>
      <c r="T45" s="51" t="s">
        <v>924</v>
      </c>
      <c r="U45" s="51" t="s">
        <v>925</v>
      </c>
      <c r="V45" s="51" t="s">
        <v>536</v>
      </c>
    </row>
    <row r="46" spans="1:22">
      <c r="A46" s="20" t="s">
        <v>270</v>
      </c>
      <c r="B46" s="20">
        <f>'Karner 2001'!A82</f>
        <v>96</v>
      </c>
      <c r="C46" s="20">
        <f>'Karner 2001'!C82</f>
        <v>25</v>
      </c>
      <c r="I46" s="51">
        <f>'Karner 2001'!I82</f>
        <v>429000</v>
      </c>
      <c r="J46" s="51">
        <f>'Karner 2001'!M82</f>
        <v>362000</v>
      </c>
      <c r="K46" s="51">
        <f>'Karner 2001'!L82</f>
        <v>30600</v>
      </c>
      <c r="L46" s="51">
        <f>'Karner 2001'!N82</f>
        <v>383000</v>
      </c>
      <c r="M46" s="63">
        <f>L46/I46</f>
        <v>0.89277389277389274</v>
      </c>
      <c r="N46" s="63">
        <f>K46/L46</f>
        <v>7.9895561357702344E-2</v>
      </c>
      <c r="O46" s="63" t="s">
        <v>926</v>
      </c>
      <c r="P46" s="51" t="s">
        <v>535</v>
      </c>
      <c r="Q46" s="51" t="s">
        <v>263</v>
      </c>
      <c r="R46" s="51" t="s">
        <v>247</v>
      </c>
      <c r="S46" s="51" t="s">
        <v>247</v>
      </c>
      <c r="T46" s="51" t="s">
        <v>924</v>
      </c>
      <c r="U46" s="51" t="s">
        <v>925</v>
      </c>
      <c r="V46" s="51" t="s">
        <v>536</v>
      </c>
    </row>
    <row r="47" spans="1:22">
      <c r="A47" s="20" t="s">
        <v>270</v>
      </c>
      <c r="B47" s="20">
        <f>'Karner 2001'!A91</f>
        <v>97</v>
      </c>
      <c r="C47" s="20">
        <f>'Karner 2001'!C91</f>
        <v>25</v>
      </c>
      <c r="I47" s="51">
        <f>'Karner 2001'!I91</f>
        <v>592000</v>
      </c>
      <c r="J47" s="51">
        <f>'Karner 2001'!M91</f>
        <v>450000</v>
      </c>
      <c r="K47" s="51">
        <f>'Karner 2001'!L91</f>
        <v>39000</v>
      </c>
      <c r="L47" s="51">
        <f>'Karner 2001'!N91</f>
        <v>483000</v>
      </c>
      <c r="M47" s="63">
        <f>L47/I47</f>
        <v>0.8158783783783784</v>
      </c>
      <c r="N47" s="63">
        <f>K47/L47</f>
        <v>8.0745341614906832E-2</v>
      </c>
      <c r="O47" s="63" t="s">
        <v>926</v>
      </c>
      <c r="P47" s="51" t="s">
        <v>535</v>
      </c>
      <c r="Q47" s="51" t="s">
        <v>263</v>
      </c>
      <c r="R47" s="51" t="s">
        <v>247</v>
      </c>
      <c r="S47" s="51" t="s">
        <v>247</v>
      </c>
      <c r="T47" s="51" t="s">
        <v>924</v>
      </c>
      <c r="U47" s="51" t="s">
        <v>925</v>
      </c>
      <c r="V47" s="51" t="s">
        <v>536</v>
      </c>
    </row>
    <row r="48" spans="1:22">
      <c r="A48" s="20" t="s">
        <v>270</v>
      </c>
      <c r="B48" s="20">
        <f>'Karner 2001'!A102</f>
        <v>98</v>
      </c>
      <c r="C48" s="20">
        <f>'Karner 2001'!C102</f>
        <v>25</v>
      </c>
      <c r="I48" s="51">
        <f>'Karner 2001'!I102</f>
        <v>546000</v>
      </c>
      <c r="J48" s="51">
        <f>'Karner 2001'!M102</f>
        <v>448000</v>
      </c>
      <c r="K48" s="51">
        <f>'Karner 2001'!L102</f>
        <v>35900</v>
      </c>
      <c r="L48" s="51">
        <f>'Karner 2001'!N102</f>
        <v>469000</v>
      </c>
      <c r="M48" s="63">
        <f>L48/I48</f>
        <v>0.85897435897435892</v>
      </c>
      <c r="N48" s="63">
        <f>K48/L48</f>
        <v>7.6545842217484006E-2</v>
      </c>
      <c r="O48" s="63" t="s">
        <v>926</v>
      </c>
      <c r="P48" s="51" t="s">
        <v>535</v>
      </c>
      <c r="Q48" s="51" t="s">
        <v>263</v>
      </c>
      <c r="R48" s="51" t="s">
        <v>247</v>
      </c>
      <c r="S48" s="51" t="s">
        <v>247</v>
      </c>
      <c r="T48" s="51" t="s">
        <v>924</v>
      </c>
      <c r="U48" s="51" t="s">
        <v>925</v>
      </c>
      <c r="V48" s="51" t="s">
        <v>536</v>
      </c>
    </row>
    <row r="49" spans="1:22">
      <c r="A49" s="20" t="s">
        <v>270</v>
      </c>
      <c r="B49" s="20">
        <f>'Karner 2001'!A113</f>
        <v>99</v>
      </c>
      <c r="C49" s="20">
        <f>'Karner 2001'!C113</f>
        <v>25</v>
      </c>
      <c r="O49" s="63" t="s">
        <v>926</v>
      </c>
      <c r="P49" s="51" t="s">
        <v>535</v>
      </c>
      <c r="Q49" s="51" t="s">
        <v>263</v>
      </c>
      <c r="R49" s="51" t="s">
        <v>247</v>
      </c>
      <c r="S49" s="51" t="s">
        <v>247</v>
      </c>
      <c r="T49" s="51" t="s">
        <v>924</v>
      </c>
      <c r="U49" s="51" t="s">
        <v>925</v>
      </c>
      <c r="V49" s="51" t="s">
        <v>536</v>
      </c>
    </row>
    <row r="50" spans="1:22">
      <c r="A50" s="20" t="s">
        <v>270</v>
      </c>
      <c r="B50" s="20">
        <f>'Karner 2001'!A124</f>
        <v>100</v>
      </c>
      <c r="C50" s="20">
        <f>'Karner 2001'!C124</f>
        <v>25</v>
      </c>
      <c r="I50" s="51">
        <f>'Karner 2001'!I124</f>
        <v>370000</v>
      </c>
      <c r="J50" s="51">
        <f>'Karner 2001'!M124</f>
        <v>223000</v>
      </c>
      <c r="K50" s="51">
        <f>'Karner 2001'!L124</f>
        <v>146000</v>
      </c>
      <c r="L50" s="51">
        <f>'Karner 2001'!N124</f>
        <v>366000</v>
      </c>
      <c r="M50" s="63">
        <f>L50/I50</f>
        <v>0.98918918918918919</v>
      </c>
      <c r="N50" s="63">
        <f>K50/L50</f>
        <v>0.39890710382513661</v>
      </c>
      <c r="O50" s="63" t="s">
        <v>926</v>
      </c>
      <c r="P50" s="51" t="s">
        <v>535</v>
      </c>
      <c r="Q50" s="51" t="s">
        <v>263</v>
      </c>
      <c r="R50" s="51" t="s">
        <v>247</v>
      </c>
      <c r="S50" s="51" t="s">
        <v>247</v>
      </c>
      <c r="T50" s="51" t="s">
        <v>924</v>
      </c>
      <c r="U50" s="51" t="s">
        <v>925</v>
      </c>
      <c r="V50" s="51" t="s">
        <v>536</v>
      </c>
    </row>
    <row r="51" spans="1:22">
      <c r="A51" s="20" t="s">
        <v>270</v>
      </c>
      <c r="B51" s="20">
        <f>'Karner 2001'!A14</f>
        <v>87</v>
      </c>
      <c r="C51" s="20">
        <f>'Karner 2001'!C14</f>
        <v>45</v>
      </c>
      <c r="I51" s="51">
        <f>'Karner 2001'!I14</f>
        <v>398000</v>
      </c>
      <c r="J51" s="51">
        <f>'Karner 2001'!M14</f>
        <v>308000</v>
      </c>
      <c r="K51" s="51">
        <f>'Karner 2001'!L14</f>
        <v>14600</v>
      </c>
      <c r="L51" s="51">
        <f>'Karner 2001'!N14</f>
        <v>322000</v>
      </c>
      <c r="M51" s="63">
        <f>L51/I51</f>
        <v>0.80904522613065322</v>
      </c>
      <c r="N51" s="63">
        <f>K51/L51</f>
        <v>4.5341614906832299E-2</v>
      </c>
      <c r="O51" s="63" t="s">
        <v>926</v>
      </c>
      <c r="P51" s="51" t="s">
        <v>535</v>
      </c>
      <c r="Q51" s="51" t="s">
        <v>263</v>
      </c>
      <c r="R51" s="51" t="s">
        <v>247</v>
      </c>
      <c r="S51" s="51" t="s">
        <v>247</v>
      </c>
      <c r="T51" s="51" t="s">
        <v>924</v>
      </c>
      <c r="U51" s="51" t="s">
        <v>925</v>
      </c>
      <c r="V51" s="51" t="s">
        <v>536</v>
      </c>
    </row>
    <row r="52" spans="1:22">
      <c r="A52" s="20" t="s">
        <v>270</v>
      </c>
      <c r="B52" s="20">
        <f>'Karner 2001'!A20</f>
        <v>88</v>
      </c>
      <c r="C52" s="20">
        <f>'Karner 2001'!C20</f>
        <v>45</v>
      </c>
      <c r="I52" s="51">
        <f>'Karner 2001'!I20</f>
        <v>185000</v>
      </c>
      <c r="J52" s="51">
        <f>'Karner 2001'!M20</f>
        <v>140000</v>
      </c>
      <c r="K52" s="51">
        <f>'Karner 2001'!L20</f>
        <v>5950</v>
      </c>
      <c r="L52" s="51">
        <f>'Karner 2001'!N20</f>
        <v>140000</v>
      </c>
      <c r="M52" s="63">
        <f>L52/I52</f>
        <v>0.7567567567567568</v>
      </c>
      <c r="N52" s="63">
        <f>K52/L52</f>
        <v>4.2500000000000003E-2</v>
      </c>
      <c r="O52" s="63" t="s">
        <v>926</v>
      </c>
      <c r="P52" s="51" t="s">
        <v>535</v>
      </c>
      <c r="Q52" s="51" t="s">
        <v>263</v>
      </c>
      <c r="R52" s="51" t="s">
        <v>247</v>
      </c>
      <c r="S52" s="51" t="s">
        <v>247</v>
      </c>
      <c r="T52" s="51" t="s">
        <v>924</v>
      </c>
      <c r="U52" s="51" t="s">
        <v>925</v>
      </c>
      <c r="V52" s="51" t="s">
        <v>536</v>
      </c>
    </row>
    <row r="53" spans="1:22">
      <c r="A53" s="20" t="s">
        <v>270</v>
      </c>
      <c r="B53" s="20">
        <f>'Karner 2001'!A26</f>
        <v>89</v>
      </c>
      <c r="C53" s="20">
        <f>'Karner 2001'!C26</f>
        <v>45</v>
      </c>
      <c r="I53" s="51">
        <f>'Karner 2001'!I26</f>
        <v>180000</v>
      </c>
      <c r="J53" s="51">
        <f>'Karner 2001'!M26</f>
        <v>108000</v>
      </c>
      <c r="K53" s="51">
        <f>'Karner 2001'!L26</f>
        <v>22300</v>
      </c>
      <c r="L53" s="51">
        <f>'Karner 2001'!N26</f>
        <v>129000</v>
      </c>
      <c r="M53" s="63">
        <f>L53/I53</f>
        <v>0.71666666666666667</v>
      </c>
      <c r="N53" s="63">
        <f>K53/L53</f>
        <v>0.17286821705426356</v>
      </c>
      <c r="O53" s="63" t="s">
        <v>926</v>
      </c>
      <c r="P53" s="51" t="s">
        <v>535</v>
      </c>
      <c r="Q53" s="51" t="s">
        <v>263</v>
      </c>
      <c r="R53" s="51" t="s">
        <v>247</v>
      </c>
      <c r="S53" s="51" t="s">
        <v>247</v>
      </c>
      <c r="T53" s="51" t="s">
        <v>924</v>
      </c>
      <c r="U53" s="51" t="s">
        <v>925</v>
      </c>
      <c r="V53" s="51" t="s">
        <v>536</v>
      </c>
    </row>
    <row r="54" spans="1:22">
      <c r="A54" s="20" t="s">
        <v>270</v>
      </c>
      <c r="B54" s="20">
        <f>'Karner 2001'!A32</f>
        <v>90</v>
      </c>
      <c r="C54" s="20">
        <f>'Karner 2001'!C32</f>
        <v>45</v>
      </c>
      <c r="I54" s="51">
        <f>'Karner 2001'!I32</f>
        <v>182000</v>
      </c>
      <c r="J54" s="51">
        <f>'Karner 2001'!M32</f>
        <v>146000</v>
      </c>
      <c r="K54" s="51">
        <f>'Karner 2001'!L32</f>
        <v>5580</v>
      </c>
      <c r="L54" s="51">
        <f>'Karner 2001'!N32</f>
        <v>147000</v>
      </c>
      <c r="M54" s="63">
        <f>L54/I54</f>
        <v>0.80769230769230771</v>
      </c>
      <c r="N54" s="63">
        <f>K54/L54</f>
        <v>3.7959183673469385E-2</v>
      </c>
      <c r="O54" s="63" t="s">
        <v>926</v>
      </c>
      <c r="P54" s="51" t="s">
        <v>535</v>
      </c>
      <c r="Q54" s="51" t="s">
        <v>263</v>
      </c>
      <c r="R54" s="51" t="s">
        <v>247</v>
      </c>
      <c r="S54" s="51" t="s">
        <v>247</v>
      </c>
      <c r="T54" s="51" t="s">
        <v>924</v>
      </c>
      <c r="U54" s="51" t="s">
        <v>925</v>
      </c>
      <c r="V54" s="51" t="s">
        <v>536</v>
      </c>
    </row>
    <row r="55" spans="1:22">
      <c r="A55" s="20" t="s">
        <v>270</v>
      </c>
      <c r="B55" s="20">
        <f>'Karner 2001'!A38</f>
        <v>91</v>
      </c>
      <c r="C55" s="20">
        <f>'Karner 2001'!C38</f>
        <v>45</v>
      </c>
      <c r="I55" s="51">
        <f>'Karner 2001'!I38</f>
        <v>287000</v>
      </c>
      <c r="J55" s="51">
        <f>'Karner 2001'!M38</f>
        <v>226000</v>
      </c>
      <c r="K55" s="51">
        <f>'Karner 2001'!L38</f>
        <v>17900</v>
      </c>
      <c r="L55" s="51">
        <f>'Karner 2001'!N38</f>
        <v>238000</v>
      </c>
      <c r="M55" s="63">
        <f>L55/I55</f>
        <v>0.82926829268292679</v>
      </c>
      <c r="N55" s="63">
        <f>K55/L55</f>
        <v>7.5210084033613442E-2</v>
      </c>
      <c r="O55" s="63" t="s">
        <v>926</v>
      </c>
      <c r="P55" s="51" t="s">
        <v>535</v>
      </c>
      <c r="Q55" s="51" t="s">
        <v>263</v>
      </c>
      <c r="R55" s="51" t="s">
        <v>247</v>
      </c>
      <c r="S55" s="51" t="s">
        <v>247</v>
      </c>
      <c r="T55" s="51" t="s">
        <v>924</v>
      </c>
      <c r="U55" s="51" t="s">
        <v>925</v>
      </c>
      <c r="V55" s="51" t="s">
        <v>536</v>
      </c>
    </row>
    <row r="56" spans="1:22">
      <c r="A56" s="20" t="s">
        <v>270</v>
      </c>
      <c r="B56" s="20">
        <f>'Karner 2001'!A47</f>
        <v>92</v>
      </c>
      <c r="C56" s="20">
        <f>'Karner 2001'!C47</f>
        <v>45</v>
      </c>
      <c r="I56" s="51">
        <f>'Karner 2001'!I47</f>
        <v>361000</v>
      </c>
      <c r="J56" s="51">
        <f>'Karner 2001'!M47</f>
        <v>331000</v>
      </c>
      <c r="K56" s="51">
        <f>'Karner 2001'!L47</f>
        <v>105000</v>
      </c>
      <c r="L56" s="51">
        <f>'Karner 2001'!N47</f>
        <v>420000</v>
      </c>
      <c r="M56" s="63">
        <f>L56/I56</f>
        <v>1.1634349030470914</v>
      </c>
      <c r="N56" s="63">
        <f>K56/L56</f>
        <v>0.25</v>
      </c>
      <c r="O56" s="63" t="s">
        <v>926</v>
      </c>
      <c r="P56" s="51" t="s">
        <v>535</v>
      </c>
      <c r="Q56" s="51" t="s">
        <v>263</v>
      </c>
      <c r="R56" s="51" t="s">
        <v>247</v>
      </c>
      <c r="S56" s="51" t="s">
        <v>247</v>
      </c>
      <c r="T56" s="51" t="s">
        <v>924</v>
      </c>
      <c r="U56" s="51" t="s">
        <v>925</v>
      </c>
      <c r="V56" s="51" t="s">
        <v>536</v>
      </c>
    </row>
    <row r="57" spans="1:22">
      <c r="A57" s="20" t="s">
        <v>270</v>
      </c>
      <c r="B57" s="20">
        <f>'Karner 2001'!A56</f>
        <v>93</v>
      </c>
      <c r="C57" s="20">
        <f>'Karner 2001'!C56</f>
        <v>45</v>
      </c>
      <c r="I57" s="51">
        <f>'Karner 2001'!I56</f>
        <v>478000</v>
      </c>
      <c r="J57" s="51">
        <f>'Karner 2001'!M56</f>
        <v>423000</v>
      </c>
      <c r="K57" s="51">
        <f>'Karner 2001'!L56</f>
        <v>10700</v>
      </c>
      <c r="L57" s="51">
        <f>'Karner 2001'!N56</f>
        <v>425000</v>
      </c>
      <c r="M57" s="63">
        <f>L57/I57</f>
        <v>0.88912133891213385</v>
      </c>
      <c r="N57" s="63">
        <f>K57/L57</f>
        <v>2.5176470588235293E-2</v>
      </c>
      <c r="O57" s="63" t="s">
        <v>926</v>
      </c>
      <c r="P57" s="51" t="s">
        <v>535</v>
      </c>
      <c r="Q57" s="51" t="s">
        <v>263</v>
      </c>
      <c r="R57" s="51" t="s">
        <v>247</v>
      </c>
      <c r="S57" s="51" t="s">
        <v>247</v>
      </c>
      <c r="T57" s="51" t="s">
        <v>924</v>
      </c>
      <c r="U57" s="51" t="s">
        <v>925</v>
      </c>
      <c r="V57" s="51" t="s">
        <v>536</v>
      </c>
    </row>
    <row r="58" spans="1:22">
      <c r="A58" s="20" t="s">
        <v>270</v>
      </c>
      <c r="B58" s="20">
        <f>'Karner 2001'!A65</f>
        <v>94</v>
      </c>
      <c r="C58" s="20">
        <f>'Karner 2001'!C65</f>
        <v>45</v>
      </c>
      <c r="I58" s="51">
        <f>'Karner 2001'!I65</f>
        <v>567000</v>
      </c>
      <c r="J58" s="51">
        <f>'Karner 2001'!M65</f>
        <v>483000</v>
      </c>
      <c r="K58" s="51">
        <f>'Karner 2001'!L65</f>
        <v>18000</v>
      </c>
      <c r="L58" s="51">
        <f>'Karner 2001'!N65</f>
        <v>500000</v>
      </c>
      <c r="M58" s="63">
        <f>L58/I58</f>
        <v>0.88183421516754845</v>
      </c>
      <c r="N58" s="63">
        <f>K58/L58</f>
        <v>3.5999999999999997E-2</v>
      </c>
      <c r="O58" s="63" t="s">
        <v>926</v>
      </c>
      <c r="P58" s="51" t="s">
        <v>535</v>
      </c>
      <c r="Q58" s="51" t="s">
        <v>263</v>
      </c>
      <c r="R58" s="51" t="s">
        <v>247</v>
      </c>
      <c r="S58" s="51" t="s">
        <v>247</v>
      </c>
      <c r="T58" s="51" t="s">
        <v>924</v>
      </c>
      <c r="U58" s="51" t="s">
        <v>925</v>
      </c>
      <c r="V58" s="51" t="s">
        <v>536</v>
      </c>
    </row>
    <row r="59" spans="1:22">
      <c r="A59" s="20" t="s">
        <v>270</v>
      </c>
      <c r="B59" s="20">
        <f>'Karner 2001'!A74</f>
        <v>95</v>
      </c>
      <c r="C59" s="20">
        <f>'Karner 2001'!C74</f>
        <v>45</v>
      </c>
      <c r="I59" s="51">
        <f>'Karner 2001'!I74</f>
        <v>383000</v>
      </c>
      <c r="J59" s="51">
        <f>'Karner 2001'!M74</f>
        <v>301000</v>
      </c>
      <c r="K59" s="51">
        <f>'Karner 2001'!L74</f>
        <v>18900</v>
      </c>
      <c r="L59" s="51">
        <f>'Karner 2001'!N74</f>
        <v>319000</v>
      </c>
      <c r="M59" s="63">
        <f>L59/I59</f>
        <v>0.83289817232375984</v>
      </c>
      <c r="N59" s="63">
        <f>K59/L59</f>
        <v>5.9247648902821318E-2</v>
      </c>
      <c r="O59" s="63" t="s">
        <v>926</v>
      </c>
      <c r="P59" s="51" t="s">
        <v>535</v>
      </c>
      <c r="Q59" s="51" t="s">
        <v>263</v>
      </c>
      <c r="R59" s="51" t="s">
        <v>247</v>
      </c>
      <c r="S59" s="51" t="s">
        <v>247</v>
      </c>
      <c r="T59" s="51" t="s">
        <v>924</v>
      </c>
      <c r="U59" s="51" t="s">
        <v>925</v>
      </c>
      <c r="V59" s="51" t="s">
        <v>536</v>
      </c>
    </row>
    <row r="60" spans="1:22">
      <c r="A60" s="20" t="s">
        <v>270</v>
      </c>
      <c r="B60" s="20">
        <f>'Karner 2001'!A83</f>
        <v>96</v>
      </c>
      <c r="C60" s="20">
        <f>'Karner 2001'!C83</f>
        <v>45</v>
      </c>
      <c r="I60" s="51">
        <f>'Karner 2001'!I83</f>
        <v>376000</v>
      </c>
      <c r="J60" s="51">
        <f>'Karner 2001'!M83</f>
        <v>304000</v>
      </c>
      <c r="K60" s="51">
        <f>'Karner 2001'!L83</f>
        <v>32300</v>
      </c>
      <c r="L60" s="51">
        <f>'Karner 2001'!N83</f>
        <v>330000</v>
      </c>
      <c r="M60" s="63">
        <f>L60/I60</f>
        <v>0.87765957446808507</v>
      </c>
      <c r="N60" s="63">
        <f>K60/L60</f>
        <v>9.7878787878787885E-2</v>
      </c>
      <c r="O60" s="63" t="s">
        <v>926</v>
      </c>
      <c r="P60" s="51" t="s">
        <v>535</v>
      </c>
      <c r="Q60" s="51" t="s">
        <v>263</v>
      </c>
      <c r="R60" s="51" t="s">
        <v>247</v>
      </c>
      <c r="S60" s="51" t="s">
        <v>247</v>
      </c>
      <c r="T60" s="51" t="s">
        <v>924</v>
      </c>
      <c r="U60" s="51" t="s">
        <v>925</v>
      </c>
      <c r="V60" s="51" t="s">
        <v>536</v>
      </c>
    </row>
    <row r="61" spans="1:22">
      <c r="A61" s="20" t="s">
        <v>270</v>
      </c>
      <c r="B61" s="20">
        <f>'Karner 2001'!A92</f>
        <v>97</v>
      </c>
      <c r="C61" s="20">
        <f>'Karner 2001'!C92</f>
        <v>45</v>
      </c>
      <c r="I61" s="51">
        <f>'Karner 2001'!I92</f>
        <v>406000</v>
      </c>
      <c r="J61" s="51">
        <f>'Karner 2001'!M92</f>
        <v>275000</v>
      </c>
      <c r="K61" s="51">
        <f>'Karner 2001'!L92</f>
        <v>49400</v>
      </c>
      <c r="L61" s="51">
        <f>'Karner 2001'!N92</f>
        <v>319000</v>
      </c>
      <c r="M61" s="63">
        <f>L61/I61</f>
        <v>0.7857142857142857</v>
      </c>
      <c r="N61" s="63">
        <f>K61/L61</f>
        <v>0.15485893416927898</v>
      </c>
      <c r="O61" s="63" t="s">
        <v>926</v>
      </c>
      <c r="P61" s="51" t="s">
        <v>535</v>
      </c>
      <c r="Q61" s="51" t="s">
        <v>263</v>
      </c>
      <c r="R61" s="51" t="s">
        <v>247</v>
      </c>
      <c r="S61" s="51" t="s">
        <v>247</v>
      </c>
      <c r="T61" s="51" t="s">
        <v>924</v>
      </c>
      <c r="U61" s="51" t="s">
        <v>925</v>
      </c>
      <c r="V61" s="51" t="s">
        <v>536</v>
      </c>
    </row>
    <row r="62" spans="1:22">
      <c r="A62" s="20" t="s">
        <v>270</v>
      </c>
      <c r="B62" s="20">
        <f>'Karner 2001'!A103</f>
        <v>98</v>
      </c>
      <c r="C62" s="20">
        <f>'Karner 2001'!C103</f>
        <v>45</v>
      </c>
      <c r="I62" s="51">
        <f>'Karner 2001'!I103</f>
        <v>381000</v>
      </c>
      <c r="J62" s="51">
        <f>'Karner 2001'!M103</f>
        <v>312000</v>
      </c>
      <c r="K62" s="51">
        <f>'Karner 2001'!L103</f>
        <v>53600</v>
      </c>
      <c r="L62" s="51">
        <f>'Karner 2001'!N103</f>
        <v>353000</v>
      </c>
      <c r="M62" s="63">
        <f>L62/I62</f>
        <v>0.92650918635170598</v>
      </c>
      <c r="N62" s="63">
        <f>K62/L62</f>
        <v>0.1518413597733711</v>
      </c>
      <c r="O62" s="63" t="s">
        <v>926</v>
      </c>
      <c r="P62" s="51" t="s">
        <v>535</v>
      </c>
      <c r="Q62" s="51" t="s">
        <v>263</v>
      </c>
      <c r="R62" s="51" t="s">
        <v>247</v>
      </c>
      <c r="S62" s="51" t="s">
        <v>247</v>
      </c>
      <c r="T62" s="51" t="s">
        <v>924</v>
      </c>
      <c r="U62" s="51" t="s">
        <v>925</v>
      </c>
      <c r="V62" s="51" t="s">
        <v>536</v>
      </c>
    </row>
    <row r="63" spans="1:22">
      <c r="A63" s="20" t="s">
        <v>270</v>
      </c>
      <c r="B63" s="20">
        <f>'Karner 2001'!A114</f>
        <v>99</v>
      </c>
      <c r="C63" s="20">
        <f>'Karner 2001'!C114</f>
        <v>45</v>
      </c>
      <c r="O63" s="63" t="s">
        <v>926</v>
      </c>
      <c r="P63" s="51" t="s">
        <v>535</v>
      </c>
      <c r="Q63" s="51" t="s">
        <v>263</v>
      </c>
      <c r="R63" s="51" t="s">
        <v>247</v>
      </c>
      <c r="S63" s="51" t="s">
        <v>247</v>
      </c>
      <c r="T63" s="51" t="s">
        <v>924</v>
      </c>
      <c r="U63" s="51" t="s">
        <v>925</v>
      </c>
      <c r="V63" s="51" t="s">
        <v>536</v>
      </c>
    </row>
    <row r="64" spans="1:22">
      <c r="A64" s="20" t="s">
        <v>270</v>
      </c>
      <c r="B64" s="20">
        <f>'Karner 2001'!A125</f>
        <v>100</v>
      </c>
      <c r="C64" s="20">
        <f>'Karner 2001'!C125</f>
        <v>45</v>
      </c>
      <c r="I64" s="51">
        <f>'Karner 2001'!I125</f>
        <v>239000</v>
      </c>
      <c r="J64" s="51">
        <f>'Karner 2001'!M125</f>
        <v>158000</v>
      </c>
      <c r="K64" s="51">
        <f>'Karner 2001'!L125</f>
        <v>99100</v>
      </c>
      <c r="L64" s="51">
        <f>'Karner 2001'!N125</f>
        <v>251000</v>
      </c>
      <c r="M64" s="63">
        <f>L64/I64</f>
        <v>1.0502092050209204</v>
      </c>
      <c r="N64" s="63">
        <f>K64/L64</f>
        <v>0.3948207171314741</v>
      </c>
      <c r="O64" s="63" t="s">
        <v>926</v>
      </c>
      <c r="P64" s="51" t="s">
        <v>535</v>
      </c>
      <c r="Q64" s="51" t="s">
        <v>263</v>
      </c>
      <c r="R64" s="51" t="s">
        <v>247</v>
      </c>
      <c r="S64" s="51" t="s">
        <v>247</v>
      </c>
      <c r="T64" s="51" t="s">
        <v>924</v>
      </c>
      <c r="U64" s="51" t="s">
        <v>925</v>
      </c>
      <c r="V64" s="51" t="s">
        <v>536</v>
      </c>
    </row>
    <row r="65" spans="1:22">
      <c r="A65" s="20" t="s">
        <v>270</v>
      </c>
      <c r="B65" s="20">
        <f>'Karner 2001'!A15</f>
        <v>87</v>
      </c>
      <c r="C65" s="20">
        <f>'Karner 2001'!C15</f>
        <v>100</v>
      </c>
      <c r="I65" s="51">
        <f>'Karner 2001'!I15</f>
        <v>235000</v>
      </c>
      <c r="J65" s="51">
        <f>'Karner 2001'!M15</f>
        <v>162000</v>
      </c>
      <c r="K65" s="51">
        <f>'Karner 2001'!L15</f>
        <v>20500</v>
      </c>
      <c r="L65" s="51">
        <f>'Karner 2001'!N15</f>
        <v>180000</v>
      </c>
      <c r="M65" s="63">
        <f>L65/I65</f>
        <v>0.76595744680851063</v>
      </c>
      <c r="N65" s="63">
        <f>K65/L65</f>
        <v>0.11388888888888889</v>
      </c>
      <c r="O65" s="63" t="s">
        <v>926</v>
      </c>
      <c r="P65" s="51" t="s">
        <v>535</v>
      </c>
      <c r="Q65" s="51" t="s">
        <v>263</v>
      </c>
      <c r="R65" s="51" t="s">
        <v>247</v>
      </c>
      <c r="S65" s="51" t="s">
        <v>247</v>
      </c>
      <c r="T65" s="51" t="s">
        <v>924</v>
      </c>
      <c r="U65" s="51" t="s">
        <v>925</v>
      </c>
      <c r="V65" s="51" t="s">
        <v>536</v>
      </c>
    </row>
    <row r="66" spans="1:22">
      <c r="A66" s="20" t="s">
        <v>270</v>
      </c>
      <c r="B66" s="20">
        <f>'Karner 2001'!A21</f>
        <v>88</v>
      </c>
      <c r="C66" s="20">
        <f>'Karner 2001'!C21</f>
        <v>100</v>
      </c>
      <c r="I66" s="51">
        <f>'Karner 2001'!I21</f>
        <v>176000</v>
      </c>
      <c r="J66" s="51">
        <f>'Karner 2001'!M21</f>
        <v>126000</v>
      </c>
      <c r="K66" s="51">
        <f>'Karner 2001'!L21</f>
        <v>8810</v>
      </c>
      <c r="L66" s="51">
        <f>'Karner 2001'!N21</f>
        <v>130000</v>
      </c>
      <c r="M66" s="63">
        <f>L66/I66</f>
        <v>0.73863636363636365</v>
      </c>
      <c r="N66" s="63">
        <f>K66/L66</f>
        <v>6.7769230769230776E-2</v>
      </c>
      <c r="O66" s="63" t="s">
        <v>926</v>
      </c>
      <c r="P66" s="51" t="s">
        <v>535</v>
      </c>
      <c r="Q66" s="51" t="s">
        <v>263</v>
      </c>
      <c r="R66" s="51" t="s">
        <v>247</v>
      </c>
      <c r="S66" s="51" t="s">
        <v>247</v>
      </c>
      <c r="T66" s="51" t="s">
        <v>924</v>
      </c>
      <c r="U66" s="51" t="s">
        <v>925</v>
      </c>
      <c r="V66" s="51" t="s">
        <v>536</v>
      </c>
    </row>
    <row r="67" spans="1:22">
      <c r="A67" s="20" t="s">
        <v>270</v>
      </c>
      <c r="B67" s="20">
        <f>'Karner 2001'!A27</f>
        <v>89</v>
      </c>
      <c r="C67" s="20">
        <f>'Karner 2001'!C27</f>
        <v>100</v>
      </c>
      <c r="I67" s="51">
        <f>'Karner 2001'!I27</f>
        <v>145000</v>
      </c>
      <c r="J67" s="51">
        <f>'Karner 2001'!M27</f>
        <v>86700</v>
      </c>
      <c r="K67" s="51">
        <f>'Karner 2001'!L27</f>
        <v>23500</v>
      </c>
      <c r="L67" s="51">
        <f>'Karner 2001'!N27</f>
        <v>107000</v>
      </c>
      <c r="M67" s="63">
        <f>L67/I67</f>
        <v>0.73793103448275865</v>
      </c>
      <c r="N67" s="63">
        <f>K67/L67</f>
        <v>0.21962616822429906</v>
      </c>
      <c r="O67" s="63" t="s">
        <v>926</v>
      </c>
      <c r="P67" s="51" t="s">
        <v>535</v>
      </c>
      <c r="Q67" s="51" t="s">
        <v>263</v>
      </c>
      <c r="R67" s="51" t="s">
        <v>247</v>
      </c>
      <c r="S67" s="51" t="s">
        <v>247</v>
      </c>
      <c r="T67" s="51" t="s">
        <v>924</v>
      </c>
      <c r="U67" s="51" t="s">
        <v>925</v>
      </c>
      <c r="V67" s="51" t="s">
        <v>536</v>
      </c>
    </row>
    <row r="68" spans="1:22">
      <c r="A68" s="20" t="s">
        <v>270</v>
      </c>
      <c r="B68" s="20">
        <f>'Karner 2001'!A33</f>
        <v>90</v>
      </c>
      <c r="C68" s="20">
        <f>'Karner 2001'!C33</f>
        <v>100</v>
      </c>
      <c r="I68" s="51">
        <f>'Karner 2001'!I33</f>
        <v>166000</v>
      </c>
      <c r="J68" s="51">
        <f>'Karner 2001'!M33</f>
        <v>125000</v>
      </c>
      <c r="K68" s="51">
        <f>'Karner 2001'!L33</f>
        <v>6940</v>
      </c>
      <c r="L68" s="51">
        <f>'Karner 2001'!N33</f>
        <v>127000</v>
      </c>
      <c r="M68" s="63">
        <f>L68/I68</f>
        <v>0.76506024096385539</v>
      </c>
      <c r="N68" s="63">
        <f>K68/L68</f>
        <v>5.4645669291338586E-2</v>
      </c>
      <c r="O68" s="63" t="s">
        <v>926</v>
      </c>
      <c r="P68" s="51" t="s">
        <v>535</v>
      </c>
      <c r="Q68" s="51" t="s">
        <v>263</v>
      </c>
      <c r="R68" s="51" t="s">
        <v>247</v>
      </c>
      <c r="S68" s="51" t="s">
        <v>247</v>
      </c>
      <c r="T68" s="51" t="s">
        <v>924</v>
      </c>
      <c r="U68" s="51" t="s">
        <v>925</v>
      </c>
      <c r="V68" s="51" t="s">
        <v>536</v>
      </c>
    </row>
    <row r="69" spans="1:22">
      <c r="A69" s="20" t="s">
        <v>270</v>
      </c>
      <c r="B69" s="20">
        <f>'Karner 2001'!A39</f>
        <v>91</v>
      </c>
      <c r="C69" s="20">
        <f>'Karner 2001'!C39</f>
        <v>100</v>
      </c>
      <c r="I69" s="51">
        <f>'Karner 2001'!I39</f>
        <v>225000</v>
      </c>
      <c r="J69" s="51">
        <f>'Karner 2001'!M39</f>
        <v>143000</v>
      </c>
      <c r="K69" s="51">
        <f>'Karner 2001'!L39</f>
        <v>28600</v>
      </c>
      <c r="L69" s="51">
        <f>'Karner 2001'!N39</f>
        <v>166000</v>
      </c>
      <c r="M69" s="63">
        <f>L69/I69</f>
        <v>0.73777777777777775</v>
      </c>
      <c r="N69" s="63">
        <f>K69/L69</f>
        <v>0.17228915662650601</v>
      </c>
      <c r="O69" s="63" t="s">
        <v>926</v>
      </c>
      <c r="P69" s="51" t="s">
        <v>535</v>
      </c>
      <c r="Q69" s="51" t="s">
        <v>263</v>
      </c>
      <c r="R69" s="51" t="s">
        <v>247</v>
      </c>
      <c r="S69" s="51" t="s">
        <v>247</v>
      </c>
      <c r="T69" s="51" t="s">
        <v>924</v>
      </c>
      <c r="U69" s="51" t="s">
        <v>925</v>
      </c>
      <c r="V69" s="51" t="s">
        <v>536</v>
      </c>
    </row>
    <row r="70" spans="1:22">
      <c r="A70" s="20" t="s">
        <v>270</v>
      </c>
      <c r="B70" s="20">
        <f>'Karner 2001'!A48</f>
        <v>92</v>
      </c>
      <c r="C70" s="20">
        <f>'Karner 2001'!C48</f>
        <v>100</v>
      </c>
      <c r="I70" s="51">
        <f>'Karner 2001'!I48</f>
        <v>247000</v>
      </c>
      <c r="J70" s="51">
        <f>'Karner 2001'!M48</f>
        <v>194000</v>
      </c>
      <c r="K70" s="51">
        <f>'Karner 2001'!L48</f>
        <v>78200</v>
      </c>
      <c r="L70" s="51">
        <f>'Karner 2001'!N48</f>
        <v>250000</v>
      </c>
      <c r="M70" s="63">
        <f>L70/I70</f>
        <v>1.0121457489878543</v>
      </c>
      <c r="N70" s="63">
        <f>K70/L70</f>
        <v>0.31280000000000002</v>
      </c>
      <c r="O70" s="63" t="s">
        <v>926</v>
      </c>
      <c r="P70" s="51" t="s">
        <v>535</v>
      </c>
      <c r="Q70" s="51" t="s">
        <v>263</v>
      </c>
      <c r="R70" s="51" t="s">
        <v>247</v>
      </c>
      <c r="S70" s="51" t="s">
        <v>247</v>
      </c>
      <c r="T70" s="51" t="s">
        <v>924</v>
      </c>
      <c r="U70" s="51" t="s">
        <v>925</v>
      </c>
      <c r="V70" s="51" t="s">
        <v>536</v>
      </c>
    </row>
    <row r="71" spans="1:22">
      <c r="A71" s="20" t="s">
        <v>270</v>
      </c>
      <c r="B71" s="20">
        <f>'Karner 2001'!A57</f>
        <v>93</v>
      </c>
      <c r="C71" s="20">
        <f>'Karner 2001'!C57</f>
        <v>100</v>
      </c>
      <c r="I71" s="51">
        <f>'Karner 2001'!I57</f>
        <v>280000</v>
      </c>
      <c r="J71" s="51">
        <f>'Karner 2001'!M57</f>
        <v>227000</v>
      </c>
      <c r="K71" s="51">
        <f>'Karner 2001'!L57</f>
        <v>0</v>
      </c>
      <c r="L71" s="51">
        <f>'Karner 2001'!N57</f>
        <v>226000</v>
      </c>
      <c r="M71" s="63">
        <f>L71/I71</f>
        <v>0.80714285714285716</v>
      </c>
      <c r="N71" s="63">
        <f>K71/L71</f>
        <v>0</v>
      </c>
      <c r="O71" s="63" t="s">
        <v>926</v>
      </c>
      <c r="P71" s="51" t="s">
        <v>535</v>
      </c>
      <c r="Q71" s="51" t="s">
        <v>263</v>
      </c>
      <c r="R71" s="51" t="s">
        <v>247</v>
      </c>
      <c r="S71" s="51" t="s">
        <v>247</v>
      </c>
      <c r="T71" s="51" t="s">
        <v>924</v>
      </c>
      <c r="U71" s="51" t="s">
        <v>925</v>
      </c>
      <c r="V71" s="51" t="s">
        <v>536</v>
      </c>
    </row>
    <row r="72" spans="1:22">
      <c r="A72" s="20" t="s">
        <v>270</v>
      </c>
      <c r="B72" s="20">
        <f>'Karner 2001'!A66</f>
        <v>94</v>
      </c>
      <c r="C72" s="20">
        <f>'Karner 2001'!C66</f>
        <v>100</v>
      </c>
      <c r="I72" s="51">
        <f>'Karner 2001'!I66</f>
        <v>422000</v>
      </c>
      <c r="J72" s="51">
        <f>'Karner 2001'!M66</f>
        <v>354000</v>
      </c>
      <c r="K72" s="51">
        <f>'Karner 2001'!L66</f>
        <v>9160</v>
      </c>
      <c r="L72" s="51">
        <f>'Karner 2001'!N66</f>
        <v>362000</v>
      </c>
      <c r="M72" s="63">
        <f>L72/I72</f>
        <v>0.85781990521327012</v>
      </c>
      <c r="N72" s="63">
        <f>K72/L72</f>
        <v>2.5303867403314917E-2</v>
      </c>
      <c r="O72" s="63" t="s">
        <v>926</v>
      </c>
      <c r="P72" s="51" t="s">
        <v>535</v>
      </c>
      <c r="Q72" s="51" t="s">
        <v>263</v>
      </c>
      <c r="R72" s="51" t="s">
        <v>247</v>
      </c>
      <c r="S72" s="51" t="s">
        <v>247</v>
      </c>
      <c r="T72" s="51" t="s">
        <v>924</v>
      </c>
      <c r="U72" s="51" t="s">
        <v>925</v>
      </c>
      <c r="V72" s="51" t="s">
        <v>536</v>
      </c>
    </row>
    <row r="73" spans="1:22">
      <c r="A73" s="20" t="s">
        <v>270</v>
      </c>
      <c r="B73" s="20">
        <f>'Karner 2001'!A75</f>
        <v>95</v>
      </c>
      <c r="C73" s="20">
        <f>'Karner 2001'!C75</f>
        <v>100</v>
      </c>
      <c r="I73" s="51">
        <f>'Karner 2001'!I75</f>
        <v>397000</v>
      </c>
      <c r="J73" s="51">
        <f>'Karner 2001'!M75</f>
        <v>286000</v>
      </c>
      <c r="K73" s="51">
        <f>'Karner 2001'!L75</f>
        <v>31500</v>
      </c>
      <c r="L73" s="51">
        <f>'Karner 2001'!N75</f>
        <v>317000</v>
      </c>
      <c r="M73" s="63">
        <f>L73/I73</f>
        <v>0.79848866498740556</v>
      </c>
      <c r="N73" s="63">
        <f>K73/L73</f>
        <v>9.9369085173501584E-2</v>
      </c>
      <c r="O73" s="63" t="s">
        <v>926</v>
      </c>
      <c r="P73" s="51" t="s">
        <v>535</v>
      </c>
      <c r="Q73" s="51" t="s">
        <v>263</v>
      </c>
      <c r="R73" s="51" t="s">
        <v>247</v>
      </c>
      <c r="S73" s="51" t="s">
        <v>247</v>
      </c>
      <c r="T73" s="51" t="s">
        <v>924</v>
      </c>
      <c r="U73" s="51" t="s">
        <v>925</v>
      </c>
      <c r="V73" s="51" t="s">
        <v>536</v>
      </c>
    </row>
    <row r="74" spans="1:22">
      <c r="A74" s="20" t="s">
        <v>270</v>
      </c>
      <c r="B74" s="20">
        <f>'Karner 2001'!A84</f>
        <v>96</v>
      </c>
      <c r="C74" s="20">
        <f>'Karner 2001'!C84</f>
        <v>100</v>
      </c>
      <c r="I74" s="51">
        <f>'Karner 2001'!I84</f>
        <v>239000</v>
      </c>
      <c r="J74" s="51">
        <f>'Karner 2001'!M84</f>
        <v>143000</v>
      </c>
      <c r="K74" s="51">
        <f>'Karner 2001'!L84</f>
        <v>13800</v>
      </c>
      <c r="L74" s="51">
        <f>'Karner 2001'!N84</f>
        <v>155000</v>
      </c>
      <c r="M74" s="63">
        <f>L74/I74</f>
        <v>0.64853556485355646</v>
      </c>
      <c r="N74" s="63">
        <f>K74/L74</f>
        <v>8.9032258064516132E-2</v>
      </c>
      <c r="O74" s="63" t="s">
        <v>926</v>
      </c>
      <c r="P74" s="51" t="s">
        <v>535</v>
      </c>
      <c r="Q74" s="51" t="s">
        <v>263</v>
      </c>
      <c r="R74" s="51" t="s">
        <v>247</v>
      </c>
      <c r="S74" s="51" t="s">
        <v>247</v>
      </c>
      <c r="T74" s="51" t="s">
        <v>924</v>
      </c>
      <c r="U74" s="51" t="s">
        <v>925</v>
      </c>
      <c r="V74" s="51" t="s">
        <v>536</v>
      </c>
    </row>
    <row r="75" spans="1:22">
      <c r="A75" s="20" t="s">
        <v>270</v>
      </c>
      <c r="B75" s="20">
        <f>'Karner 2001'!A93</f>
        <v>97</v>
      </c>
      <c r="C75" s="20">
        <f>'Karner 2001'!C93</f>
        <v>100</v>
      </c>
      <c r="I75" s="51">
        <f>'Karner 2001'!I93</f>
        <v>222000</v>
      </c>
      <c r="J75" s="51">
        <f>'Karner 2001'!M93</f>
        <v>161000</v>
      </c>
      <c r="K75" s="51">
        <f>'Karner 2001'!L93</f>
        <v>31000</v>
      </c>
      <c r="L75" s="51">
        <f>'Karner 2001'!N93</f>
        <v>187000</v>
      </c>
      <c r="M75" s="63">
        <f>L75/I75</f>
        <v>0.84234234234234229</v>
      </c>
      <c r="N75" s="63">
        <f>K75/L75</f>
        <v>0.16577540106951871</v>
      </c>
      <c r="O75" s="63" t="s">
        <v>926</v>
      </c>
      <c r="P75" s="51" t="s">
        <v>535</v>
      </c>
      <c r="Q75" s="51" t="s">
        <v>263</v>
      </c>
      <c r="R75" s="51" t="s">
        <v>247</v>
      </c>
      <c r="S75" s="51" t="s">
        <v>247</v>
      </c>
      <c r="T75" s="51" t="s">
        <v>924</v>
      </c>
      <c r="U75" s="51" t="s">
        <v>925</v>
      </c>
      <c r="V75" s="51" t="s">
        <v>536</v>
      </c>
    </row>
    <row r="76" spans="1:22">
      <c r="A76" s="20" t="s">
        <v>270</v>
      </c>
      <c r="B76" s="20">
        <f>'Karner 2001'!A104</f>
        <v>98</v>
      </c>
      <c r="C76" s="20">
        <f>'Karner 2001'!C104</f>
        <v>100</v>
      </c>
      <c r="I76" s="51">
        <f>'Karner 2001'!I104</f>
        <v>459000</v>
      </c>
      <c r="J76" s="51">
        <f>'Karner 2001'!M104</f>
        <v>356000</v>
      </c>
      <c r="K76" s="51">
        <f>'Karner 2001'!L104</f>
        <v>91000</v>
      </c>
      <c r="L76" s="51">
        <f>'Karner 2001'!N104</f>
        <v>438000</v>
      </c>
      <c r="M76" s="63">
        <f>L76/I76</f>
        <v>0.95424836601307195</v>
      </c>
      <c r="N76" s="63">
        <f>K76/L76</f>
        <v>0.20776255707762556</v>
      </c>
      <c r="O76" s="63" t="s">
        <v>926</v>
      </c>
      <c r="P76" s="51" t="s">
        <v>535</v>
      </c>
      <c r="Q76" s="51" t="s">
        <v>263</v>
      </c>
      <c r="R76" s="51" t="s">
        <v>247</v>
      </c>
      <c r="S76" s="51" t="s">
        <v>247</v>
      </c>
      <c r="T76" s="51" t="s">
        <v>924</v>
      </c>
      <c r="U76" s="51" t="s">
        <v>925</v>
      </c>
      <c r="V76" s="51" t="s">
        <v>536</v>
      </c>
    </row>
    <row r="77" spans="1:22">
      <c r="A77" s="20" t="s">
        <v>270</v>
      </c>
      <c r="B77" s="20">
        <f>'Karner 2001'!A115</f>
        <v>99</v>
      </c>
      <c r="C77" s="20">
        <f>'Karner 2001'!C115</f>
        <v>100</v>
      </c>
      <c r="O77" s="63" t="s">
        <v>926</v>
      </c>
      <c r="P77" s="51" t="s">
        <v>535</v>
      </c>
      <c r="Q77" s="51" t="s">
        <v>263</v>
      </c>
      <c r="R77" s="51" t="s">
        <v>247</v>
      </c>
      <c r="S77" s="51" t="s">
        <v>247</v>
      </c>
      <c r="T77" s="51" t="s">
        <v>924</v>
      </c>
      <c r="U77" s="51" t="s">
        <v>925</v>
      </c>
      <c r="V77" s="51" t="s">
        <v>536</v>
      </c>
    </row>
    <row r="78" spans="1:22">
      <c r="A78" s="20" t="s">
        <v>270</v>
      </c>
      <c r="B78" s="20">
        <f>'Karner 2001'!A126</f>
        <v>100</v>
      </c>
      <c r="C78" s="20">
        <f>'Karner 2001'!C126</f>
        <v>100</v>
      </c>
      <c r="I78" s="51">
        <f>'Karner 2001'!I126</f>
        <v>233000</v>
      </c>
      <c r="J78" s="51">
        <f>'Karner 2001'!M126</f>
        <v>171000</v>
      </c>
      <c r="K78" s="51">
        <f>'Karner 2001'!L126</f>
        <v>79300</v>
      </c>
      <c r="L78" s="51">
        <f>'Karner 2001'!N126</f>
        <v>247000</v>
      </c>
      <c r="M78" s="63">
        <f>L78/I78</f>
        <v>1.0600858369098713</v>
      </c>
      <c r="N78" s="63">
        <f>K78/L78</f>
        <v>0.32105263157894737</v>
      </c>
      <c r="O78" s="63" t="s">
        <v>926</v>
      </c>
      <c r="P78" s="51" t="s">
        <v>535</v>
      </c>
      <c r="Q78" s="51" t="s">
        <v>263</v>
      </c>
      <c r="R78" s="51" t="s">
        <v>247</v>
      </c>
      <c r="S78" s="51" t="s">
        <v>247</v>
      </c>
      <c r="T78" s="51" t="s">
        <v>924</v>
      </c>
      <c r="U78" s="51" t="s">
        <v>925</v>
      </c>
      <c r="V78" s="51" t="s">
        <v>536</v>
      </c>
    </row>
    <row r="79" spans="1:22">
      <c r="A79" s="20" t="s">
        <v>270</v>
      </c>
      <c r="B79" s="20">
        <f>'Karner 2001'!A94</f>
        <v>97</v>
      </c>
      <c r="C79" s="20">
        <f>'Karner 2001'!C94</f>
        <v>150</v>
      </c>
      <c r="I79" s="51">
        <f>'Karner 2001'!I94</f>
        <v>187000</v>
      </c>
      <c r="J79" s="51">
        <f>'Karner 2001'!M94</f>
        <v>135000</v>
      </c>
      <c r="K79" s="51">
        <f>'Karner 2001'!L94</f>
        <v>47300</v>
      </c>
      <c r="L79" s="51">
        <f>'Karner 2001'!N94</f>
        <v>177000</v>
      </c>
      <c r="M79" s="63">
        <f>L79/I79</f>
        <v>0.946524064171123</v>
      </c>
      <c r="N79" s="63">
        <f>K79/L79</f>
        <v>0.26723163841807912</v>
      </c>
      <c r="O79" s="63" t="s">
        <v>926</v>
      </c>
      <c r="P79" s="51" t="s">
        <v>535</v>
      </c>
      <c r="Q79" s="51" t="s">
        <v>263</v>
      </c>
      <c r="R79" s="51" t="s">
        <v>247</v>
      </c>
      <c r="S79" s="51" t="s">
        <v>247</v>
      </c>
      <c r="T79" s="51" t="s">
        <v>924</v>
      </c>
      <c r="U79" s="51" t="s">
        <v>925</v>
      </c>
      <c r="V79" s="51" t="s">
        <v>536</v>
      </c>
    </row>
    <row r="80" spans="1:22">
      <c r="A80" s="20" t="s">
        <v>270</v>
      </c>
      <c r="B80" s="20">
        <f>'Karner 2001'!A105</f>
        <v>98</v>
      </c>
      <c r="C80" s="20">
        <f>'Karner 2001'!C105</f>
        <v>150</v>
      </c>
      <c r="I80" s="51">
        <f>'Karner 2001'!I105</f>
        <v>298000</v>
      </c>
      <c r="J80" s="51">
        <f>'Karner 2001'!M105</f>
        <v>228000</v>
      </c>
      <c r="K80" s="51">
        <f>'Karner 2001'!L105</f>
        <v>49400</v>
      </c>
      <c r="L80" s="51">
        <f>'Karner 2001'!N105</f>
        <v>277000</v>
      </c>
      <c r="M80" s="63">
        <f>L80/I80</f>
        <v>0.92953020134228193</v>
      </c>
      <c r="N80" s="63">
        <f>K80/L80</f>
        <v>0.17833935018050542</v>
      </c>
      <c r="O80" s="63" t="s">
        <v>926</v>
      </c>
      <c r="P80" s="51" t="s">
        <v>535</v>
      </c>
      <c r="Q80" s="51" t="s">
        <v>263</v>
      </c>
      <c r="R80" s="51" t="s">
        <v>247</v>
      </c>
      <c r="S80" s="51" t="s">
        <v>247</v>
      </c>
      <c r="T80" s="51" t="s">
        <v>924</v>
      </c>
      <c r="U80" s="51" t="s">
        <v>925</v>
      </c>
      <c r="V80" s="51" t="s">
        <v>536</v>
      </c>
    </row>
    <row r="81" spans="1:22">
      <c r="A81" s="20" t="s">
        <v>270</v>
      </c>
      <c r="B81" s="20">
        <f>'Karner 2001'!A116</f>
        <v>99</v>
      </c>
      <c r="C81" s="20">
        <f>'Karner 2001'!C116</f>
        <v>150</v>
      </c>
      <c r="O81" s="63" t="s">
        <v>926</v>
      </c>
      <c r="P81" s="51" t="s">
        <v>535</v>
      </c>
      <c r="Q81" s="51" t="s">
        <v>263</v>
      </c>
      <c r="R81" s="51" t="s">
        <v>247</v>
      </c>
      <c r="S81" s="51" t="s">
        <v>247</v>
      </c>
      <c r="T81" s="51" t="s">
        <v>924</v>
      </c>
      <c r="U81" s="51" t="s">
        <v>925</v>
      </c>
      <c r="V81" s="51" t="s">
        <v>536</v>
      </c>
    </row>
    <row r="82" spans="1:22">
      <c r="A82" s="20" t="s">
        <v>270</v>
      </c>
      <c r="B82" s="20">
        <f>'Karner 2001'!A127</f>
        <v>100</v>
      </c>
      <c r="C82" s="20">
        <f>'Karner 2001'!C127</f>
        <v>150</v>
      </c>
      <c r="I82" s="51">
        <f>'Karner 2001'!I127</f>
        <v>169000</v>
      </c>
      <c r="J82" s="51">
        <f>'Karner 2001'!M127</f>
        <v>95000</v>
      </c>
      <c r="K82" s="51">
        <f>'Karner 2001'!L127</f>
        <v>54200</v>
      </c>
      <c r="L82" s="51">
        <f>'Karner 2001'!N127</f>
        <v>144000</v>
      </c>
      <c r="M82" s="63">
        <f>L82/I82</f>
        <v>0.85207100591715978</v>
      </c>
      <c r="N82" s="63">
        <f>K82/L82</f>
        <v>0.37638888888888888</v>
      </c>
      <c r="O82" s="63" t="s">
        <v>926</v>
      </c>
      <c r="P82" s="51" t="s">
        <v>535</v>
      </c>
      <c r="Q82" s="51" t="s">
        <v>263</v>
      </c>
      <c r="R82" s="51" t="s">
        <v>247</v>
      </c>
      <c r="S82" s="51" t="s">
        <v>247</v>
      </c>
      <c r="T82" s="51" t="s">
        <v>924</v>
      </c>
      <c r="U82" s="51" t="s">
        <v>925</v>
      </c>
      <c r="V82" s="51" t="s">
        <v>536</v>
      </c>
    </row>
    <row r="83" spans="1:22">
      <c r="A83" s="20" t="s">
        <v>270</v>
      </c>
      <c r="B83" s="20">
        <f>'Karner 2001'!A28</f>
        <v>89</v>
      </c>
      <c r="C83" s="20">
        <f>'Karner 2001'!C28</f>
        <v>250</v>
      </c>
      <c r="I83" s="51">
        <f>'Karner 2001'!I28</f>
        <v>41900</v>
      </c>
      <c r="J83" s="51">
        <f>'Karner 2001'!M28</f>
        <v>19200</v>
      </c>
      <c r="K83" s="51">
        <f>'Karner 2001'!L28</f>
        <v>21400</v>
      </c>
      <c r="L83" s="51">
        <f>'Karner 2001'!N28</f>
        <v>40600</v>
      </c>
      <c r="M83" s="63">
        <f>L83/I83</f>
        <v>0.96897374701670647</v>
      </c>
      <c r="N83" s="63">
        <f>K83/L83</f>
        <v>0.52709359605911332</v>
      </c>
      <c r="O83" s="63" t="s">
        <v>926</v>
      </c>
      <c r="P83" s="51" t="s">
        <v>535</v>
      </c>
      <c r="Q83" s="51" t="s">
        <v>263</v>
      </c>
      <c r="R83" s="51" t="s">
        <v>247</v>
      </c>
      <c r="S83" s="51" t="s">
        <v>247</v>
      </c>
      <c r="T83" s="51" t="s">
        <v>924</v>
      </c>
      <c r="U83" s="51" t="s">
        <v>925</v>
      </c>
      <c r="V83" s="51" t="s">
        <v>536</v>
      </c>
    </row>
    <row r="84" spans="1:22">
      <c r="A84" s="20" t="s">
        <v>270</v>
      </c>
      <c r="B84" s="20">
        <f>'Karner 2001'!A34</f>
        <v>90</v>
      </c>
      <c r="C84" s="20">
        <f>'Karner 2001'!C34</f>
        <v>250</v>
      </c>
      <c r="I84" s="51">
        <f>'Karner 2001'!I34</f>
        <v>58100</v>
      </c>
      <c r="J84" s="51">
        <f>'Karner 2001'!M34</f>
        <v>37700</v>
      </c>
      <c r="K84" s="51">
        <f>'Karner 2001'!L34</f>
        <v>13500</v>
      </c>
      <c r="L84" s="51">
        <f>'Karner 2001'!N34</f>
        <v>49100</v>
      </c>
      <c r="M84" s="63">
        <f>L84/I84</f>
        <v>0.84509466437177283</v>
      </c>
      <c r="N84" s="63">
        <f>K84/L84</f>
        <v>0.27494908350305497</v>
      </c>
      <c r="O84" s="63" t="s">
        <v>926</v>
      </c>
      <c r="P84" s="51" t="s">
        <v>535</v>
      </c>
      <c r="Q84" s="51" t="s">
        <v>263</v>
      </c>
      <c r="R84" s="51" t="s">
        <v>247</v>
      </c>
      <c r="S84" s="51" t="s">
        <v>247</v>
      </c>
      <c r="T84" s="51" t="s">
        <v>924</v>
      </c>
      <c r="U84" s="51" t="s">
        <v>925</v>
      </c>
      <c r="V84" s="51" t="s">
        <v>536</v>
      </c>
    </row>
    <row r="85" spans="1:22">
      <c r="A85" s="20" t="s">
        <v>270</v>
      </c>
      <c r="B85" s="20">
        <f>'Karner 2001'!A40</f>
        <v>91</v>
      </c>
      <c r="C85" s="20">
        <f>'Karner 2001'!C40</f>
        <v>250</v>
      </c>
      <c r="I85" s="51">
        <f>'Karner 2001'!I40</f>
        <v>42300</v>
      </c>
      <c r="J85" s="51">
        <f>'Karner 2001'!M40</f>
        <v>29300</v>
      </c>
      <c r="K85" s="51">
        <f>'Karner 2001'!L40</f>
        <v>10400</v>
      </c>
      <c r="L85" s="51">
        <f>'Karner 2001'!N40</f>
        <v>38900</v>
      </c>
      <c r="M85" s="63">
        <f>L85/I85</f>
        <v>0.91962174940898345</v>
      </c>
      <c r="N85" s="63">
        <f>K85/L85</f>
        <v>0.26735218508997427</v>
      </c>
      <c r="O85" s="63" t="s">
        <v>926</v>
      </c>
      <c r="P85" s="51" t="s">
        <v>535</v>
      </c>
      <c r="Q85" s="51" t="s">
        <v>263</v>
      </c>
      <c r="R85" s="51" t="s">
        <v>247</v>
      </c>
      <c r="S85" s="51" t="s">
        <v>247</v>
      </c>
      <c r="T85" s="51" t="s">
        <v>924</v>
      </c>
      <c r="U85" s="51" t="s">
        <v>925</v>
      </c>
      <c r="V85" s="51" t="s">
        <v>536</v>
      </c>
    </row>
    <row r="86" spans="1:22">
      <c r="A86" s="20" t="s">
        <v>270</v>
      </c>
      <c r="B86" s="20">
        <f>'Karner 2001'!A49</f>
        <v>92</v>
      </c>
      <c r="C86" s="20">
        <f>'Karner 2001'!C49</f>
        <v>250</v>
      </c>
      <c r="I86" s="51">
        <f>'Karner 2001'!I49</f>
        <v>101000</v>
      </c>
      <c r="J86" s="51">
        <f>'Karner 2001'!M49</f>
        <v>58800</v>
      </c>
      <c r="K86" s="51">
        <f>'Karner 2001'!L49</f>
        <v>40300</v>
      </c>
      <c r="L86" s="51">
        <f>'Karner 2001'!N49</f>
        <v>94300</v>
      </c>
      <c r="M86" s="63">
        <f>L86/I86</f>
        <v>0.93366336633663372</v>
      </c>
      <c r="N86" s="63">
        <f>K86/L86</f>
        <v>0.42735949098621423</v>
      </c>
      <c r="O86" s="63" t="s">
        <v>926</v>
      </c>
      <c r="P86" s="51" t="s">
        <v>535</v>
      </c>
      <c r="Q86" s="51" t="s">
        <v>263</v>
      </c>
      <c r="R86" s="51" t="s">
        <v>247</v>
      </c>
      <c r="S86" s="51" t="s">
        <v>247</v>
      </c>
      <c r="T86" s="51" t="s">
        <v>924</v>
      </c>
      <c r="U86" s="51" t="s">
        <v>925</v>
      </c>
      <c r="V86" s="51" t="s">
        <v>536</v>
      </c>
    </row>
    <row r="87" spans="1:22">
      <c r="A87" s="20" t="s">
        <v>270</v>
      </c>
      <c r="B87" s="20">
        <f>'Karner 2001'!A58</f>
        <v>93</v>
      </c>
      <c r="C87" s="20">
        <f>'Karner 2001'!C58</f>
        <v>250</v>
      </c>
      <c r="I87" s="51">
        <f>'Karner 2001'!I58</f>
        <v>67300</v>
      </c>
      <c r="J87" s="51">
        <f>'Karner 2001'!M58</f>
        <v>43600</v>
      </c>
      <c r="K87" s="51">
        <f>'Karner 2001'!L58</f>
        <v>14400</v>
      </c>
      <c r="L87" s="51">
        <f>'Karner 2001'!N58</f>
        <v>57500</v>
      </c>
      <c r="M87" s="63">
        <f>L87/I87</f>
        <v>0.85438335809806831</v>
      </c>
      <c r="N87" s="63">
        <f>K87/L87</f>
        <v>0.25043478260869567</v>
      </c>
      <c r="O87" s="63" t="s">
        <v>926</v>
      </c>
      <c r="P87" s="51" t="s">
        <v>535</v>
      </c>
      <c r="Q87" s="51" t="s">
        <v>263</v>
      </c>
      <c r="R87" s="51" t="s">
        <v>247</v>
      </c>
      <c r="S87" s="51" t="s">
        <v>247</v>
      </c>
      <c r="T87" s="51" t="s">
        <v>924</v>
      </c>
      <c r="U87" s="51" t="s">
        <v>925</v>
      </c>
      <c r="V87" s="51" t="s">
        <v>536</v>
      </c>
    </row>
    <row r="88" spans="1:22">
      <c r="A88" s="20" t="s">
        <v>270</v>
      </c>
      <c r="B88" s="20">
        <f>'Karner 2001'!A67</f>
        <v>94</v>
      </c>
      <c r="C88" s="20">
        <f>'Karner 2001'!C67</f>
        <v>250</v>
      </c>
      <c r="I88" s="51">
        <f>'Karner 2001'!I67</f>
        <v>128000</v>
      </c>
      <c r="J88" s="51">
        <f>'Karner 2001'!M67</f>
        <v>66600</v>
      </c>
      <c r="K88" s="51">
        <f>'Karner 2001'!L67</f>
        <v>20500</v>
      </c>
      <c r="L88" s="51">
        <f>'Karner 2001'!N67</f>
        <v>85900</v>
      </c>
      <c r="M88" s="63">
        <f>L88/I88</f>
        <v>0.67109375000000004</v>
      </c>
      <c r="N88" s="63">
        <f>K88/L88</f>
        <v>0.23864959254947612</v>
      </c>
      <c r="O88" s="63" t="s">
        <v>926</v>
      </c>
      <c r="P88" s="51" t="s">
        <v>535</v>
      </c>
      <c r="Q88" s="51" t="s">
        <v>263</v>
      </c>
      <c r="R88" s="51" t="s">
        <v>247</v>
      </c>
      <c r="S88" s="51" t="s">
        <v>247</v>
      </c>
      <c r="T88" s="51" t="s">
        <v>924</v>
      </c>
      <c r="U88" s="51" t="s">
        <v>925</v>
      </c>
      <c r="V88" s="51" t="s">
        <v>536</v>
      </c>
    </row>
    <row r="89" spans="1:22">
      <c r="A89" s="20" t="s">
        <v>270</v>
      </c>
      <c r="B89" s="20">
        <f>'Karner 2001'!A76</f>
        <v>95</v>
      </c>
      <c r="C89" s="20">
        <f>'Karner 2001'!C76</f>
        <v>250</v>
      </c>
      <c r="I89" s="51">
        <f>'Karner 2001'!I76</f>
        <v>77500</v>
      </c>
      <c r="J89" s="51">
        <f>'Karner 2001'!M76</f>
        <v>58300</v>
      </c>
      <c r="K89" s="51">
        <f>'Karner 2001'!L76</f>
        <v>25300</v>
      </c>
      <c r="L89" s="51">
        <f>'Karner 2001'!N76</f>
        <v>83000</v>
      </c>
      <c r="M89" s="63">
        <f>L89/I89</f>
        <v>1.0709677419354839</v>
      </c>
      <c r="N89" s="63">
        <f>K89/L89</f>
        <v>0.30481927710843376</v>
      </c>
      <c r="O89" s="63" t="s">
        <v>926</v>
      </c>
      <c r="P89" s="51" t="s">
        <v>535</v>
      </c>
      <c r="Q89" s="51" t="s">
        <v>263</v>
      </c>
      <c r="R89" s="51" t="s">
        <v>247</v>
      </c>
      <c r="S89" s="51" t="s">
        <v>247</v>
      </c>
      <c r="T89" s="51" t="s">
        <v>924</v>
      </c>
      <c r="U89" s="51" t="s">
        <v>925</v>
      </c>
      <c r="V89" s="51" t="s">
        <v>536</v>
      </c>
    </row>
    <row r="90" spans="1:22">
      <c r="A90" s="20" t="s">
        <v>270</v>
      </c>
      <c r="B90" s="20">
        <f>'Karner 2001'!A85</f>
        <v>96</v>
      </c>
      <c r="C90" s="20">
        <f>'Karner 2001'!C85</f>
        <v>250</v>
      </c>
      <c r="I90" s="51">
        <f>'Karner 2001'!I85</f>
        <v>62800</v>
      </c>
      <c r="J90" s="51">
        <f>'Karner 2001'!M85</f>
        <v>24400</v>
      </c>
      <c r="K90" s="51">
        <f>'Karner 2001'!L85</f>
        <v>19700</v>
      </c>
      <c r="L90" s="51">
        <f>'Karner 2001'!N85</f>
        <v>43000</v>
      </c>
      <c r="M90" s="63">
        <f>L90/I90</f>
        <v>0.6847133757961783</v>
      </c>
      <c r="N90" s="63">
        <f>K90/L90</f>
        <v>0.45813953488372094</v>
      </c>
      <c r="O90" s="63" t="s">
        <v>926</v>
      </c>
      <c r="P90" s="51" t="s">
        <v>535</v>
      </c>
      <c r="Q90" s="51" t="s">
        <v>263</v>
      </c>
      <c r="R90" s="51" t="s">
        <v>247</v>
      </c>
      <c r="S90" s="51" t="s">
        <v>247</v>
      </c>
      <c r="T90" s="51" t="s">
        <v>924</v>
      </c>
      <c r="U90" s="51" t="s">
        <v>925</v>
      </c>
      <c r="V90" s="51" t="s">
        <v>536</v>
      </c>
    </row>
    <row r="91" spans="1:22">
      <c r="A91" s="20" t="s">
        <v>270</v>
      </c>
      <c r="B91" s="20">
        <f>'Karner 2001'!A95</f>
        <v>97</v>
      </c>
      <c r="C91" s="20">
        <f>'Karner 2001'!C95</f>
        <v>250</v>
      </c>
      <c r="I91" s="51">
        <f>'Karner 2001'!I95</f>
        <v>129000</v>
      </c>
      <c r="J91" s="51">
        <f>'Karner 2001'!M95</f>
        <v>64600</v>
      </c>
      <c r="K91" s="51">
        <f>'Karner 2001'!L95</f>
        <v>27300</v>
      </c>
      <c r="L91" s="51">
        <f>'Karner 2001'!N95</f>
        <v>90900</v>
      </c>
      <c r="M91" s="63">
        <f>L91/I91</f>
        <v>0.70465116279069773</v>
      </c>
      <c r="N91" s="63">
        <f>K91/L91</f>
        <v>0.30033003300330036</v>
      </c>
      <c r="O91" s="63" t="s">
        <v>926</v>
      </c>
      <c r="P91" s="51" t="s">
        <v>535</v>
      </c>
      <c r="Q91" s="51" t="s">
        <v>263</v>
      </c>
      <c r="R91" s="51" t="s">
        <v>247</v>
      </c>
      <c r="S91" s="51" t="s">
        <v>247</v>
      </c>
      <c r="T91" s="51" t="s">
        <v>924</v>
      </c>
      <c r="U91" s="51" t="s">
        <v>925</v>
      </c>
      <c r="V91" s="51" t="s">
        <v>536</v>
      </c>
    </row>
    <row r="92" spans="1:22">
      <c r="A92" s="20" t="s">
        <v>270</v>
      </c>
      <c r="B92" s="20">
        <f>'Karner 2001'!A106</f>
        <v>98</v>
      </c>
      <c r="C92" s="20">
        <f>'Karner 2001'!C106</f>
        <v>250</v>
      </c>
      <c r="I92" s="51">
        <f>'Karner 2001'!I106</f>
        <v>125000</v>
      </c>
      <c r="J92" s="51">
        <f>'Karner 2001'!M106</f>
        <v>69000</v>
      </c>
      <c r="K92" s="51">
        <f>'Karner 2001'!L106</f>
        <v>38800</v>
      </c>
      <c r="L92" s="51">
        <f>'Karner 2001'!N106</f>
        <v>107000</v>
      </c>
      <c r="M92" s="63">
        <f>L92/I92</f>
        <v>0.85599999999999998</v>
      </c>
      <c r="N92" s="63">
        <f>K92/L92</f>
        <v>0.36261682242990656</v>
      </c>
      <c r="O92" s="63" t="s">
        <v>926</v>
      </c>
      <c r="P92" s="51" t="s">
        <v>535</v>
      </c>
      <c r="Q92" s="51" t="s">
        <v>263</v>
      </c>
      <c r="R92" s="51" t="s">
        <v>247</v>
      </c>
      <c r="S92" s="51" t="s">
        <v>247</v>
      </c>
      <c r="T92" s="51" t="s">
        <v>924</v>
      </c>
      <c r="U92" s="51" t="s">
        <v>925</v>
      </c>
      <c r="V92" s="51" t="s">
        <v>536</v>
      </c>
    </row>
    <row r="93" spans="1:22">
      <c r="A93" s="20" t="s">
        <v>270</v>
      </c>
      <c r="B93" s="20">
        <f>'Karner 2001'!A117</f>
        <v>99</v>
      </c>
      <c r="C93" s="20">
        <f>'Karner 2001'!C117</f>
        <v>250</v>
      </c>
      <c r="O93" s="63" t="s">
        <v>926</v>
      </c>
      <c r="P93" s="51" t="s">
        <v>535</v>
      </c>
      <c r="Q93" s="51" t="s">
        <v>263</v>
      </c>
      <c r="R93" s="51" t="s">
        <v>247</v>
      </c>
      <c r="S93" s="51" t="s">
        <v>247</v>
      </c>
      <c r="T93" s="51" t="s">
        <v>924</v>
      </c>
      <c r="U93" s="51" t="s">
        <v>925</v>
      </c>
      <c r="V93" s="51" t="s">
        <v>536</v>
      </c>
    </row>
    <row r="94" spans="1:22">
      <c r="A94" s="20" t="s">
        <v>270</v>
      </c>
      <c r="B94" s="20">
        <f>'Karner 2001'!A128</f>
        <v>100</v>
      </c>
      <c r="C94" s="20">
        <f>'Karner 2001'!C128</f>
        <v>250</v>
      </c>
      <c r="I94" s="51">
        <f>'Karner 2001'!I128</f>
        <v>103000</v>
      </c>
      <c r="J94" s="51">
        <f>'Karner 2001'!M128</f>
        <v>39100</v>
      </c>
      <c r="K94" s="51">
        <f>'Karner 2001'!L128</f>
        <v>59800</v>
      </c>
      <c r="L94" s="51">
        <f>'Karner 2001'!N128</f>
        <v>97000</v>
      </c>
      <c r="M94" s="63">
        <f>L94/I94</f>
        <v>0.94174757281553401</v>
      </c>
      <c r="N94" s="63">
        <f>K94/L94</f>
        <v>0.61649484536082477</v>
      </c>
      <c r="O94" s="63" t="s">
        <v>926</v>
      </c>
      <c r="P94" s="51" t="s">
        <v>535</v>
      </c>
      <c r="Q94" s="51" t="s">
        <v>263</v>
      </c>
      <c r="R94" s="51" t="s">
        <v>247</v>
      </c>
      <c r="S94" s="51" t="s">
        <v>247</v>
      </c>
      <c r="T94" s="51" t="s">
        <v>924</v>
      </c>
      <c r="U94" s="51" t="s">
        <v>925</v>
      </c>
      <c r="V94" s="51" t="s">
        <v>536</v>
      </c>
    </row>
    <row r="95" spans="1:22">
      <c r="A95" s="20" t="s">
        <v>270</v>
      </c>
      <c r="B95" s="20">
        <f>'Karner 2001'!A16</f>
        <v>87</v>
      </c>
      <c r="C95" s="20">
        <f>'Karner 2001'!C16</f>
        <v>300</v>
      </c>
      <c r="I95" s="51">
        <f>'Karner 2001'!I16</f>
        <v>56100</v>
      </c>
      <c r="J95" s="51">
        <f>'Karner 2001'!M16</f>
        <v>34900</v>
      </c>
      <c r="K95" s="51">
        <f>'Karner 2001'!L16</f>
        <v>20800</v>
      </c>
      <c r="L95" s="51">
        <f>'Karner 2001'!N16</f>
        <v>55700</v>
      </c>
      <c r="M95" s="63">
        <f>L95/I95</f>
        <v>0.99286987522281644</v>
      </c>
      <c r="N95" s="63">
        <f>K95/L95</f>
        <v>0.3734290843806104</v>
      </c>
      <c r="O95" s="63" t="s">
        <v>926</v>
      </c>
      <c r="P95" s="51" t="s">
        <v>535</v>
      </c>
      <c r="Q95" s="51" t="s">
        <v>263</v>
      </c>
      <c r="R95" s="51" t="s">
        <v>247</v>
      </c>
      <c r="S95" s="51" t="s">
        <v>247</v>
      </c>
      <c r="T95" s="51" t="s">
        <v>924</v>
      </c>
      <c r="U95" s="51" t="s">
        <v>925</v>
      </c>
      <c r="V95" s="51" t="s">
        <v>536</v>
      </c>
    </row>
    <row r="96" spans="1:22">
      <c r="A96" s="20" t="s">
        <v>270</v>
      </c>
      <c r="B96" s="20">
        <f>'Karner 2001'!A22</f>
        <v>88</v>
      </c>
      <c r="C96" s="20">
        <f>'Karner 2001'!C22</f>
        <v>300</v>
      </c>
      <c r="I96" s="51">
        <f>'Karner 2001'!I22</f>
        <v>34500</v>
      </c>
      <c r="J96" s="51">
        <f>'Karner 2001'!M22</f>
        <v>21300</v>
      </c>
      <c r="K96" s="51">
        <f>'Karner 2001'!L22</f>
        <v>5520</v>
      </c>
      <c r="L96" s="51">
        <f>'Karner 2001'!N22</f>
        <v>25400</v>
      </c>
      <c r="M96" s="63">
        <f>L96/I96</f>
        <v>0.73623188405797102</v>
      </c>
      <c r="N96" s="63">
        <f>K96/L96</f>
        <v>0.21732283464566929</v>
      </c>
      <c r="O96" s="63" t="s">
        <v>926</v>
      </c>
      <c r="P96" s="51" t="s">
        <v>535</v>
      </c>
      <c r="Q96" s="51" t="s">
        <v>263</v>
      </c>
      <c r="R96" s="51" t="s">
        <v>247</v>
      </c>
      <c r="S96" s="51" t="s">
        <v>247</v>
      </c>
      <c r="T96" s="51" t="s">
        <v>924</v>
      </c>
      <c r="U96" s="51" t="s">
        <v>925</v>
      </c>
      <c r="V96" s="51" t="s">
        <v>536</v>
      </c>
    </row>
    <row r="97" spans="1:22">
      <c r="A97" s="20" t="s">
        <v>270</v>
      </c>
      <c r="B97" s="20">
        <f>'Karner 2001'!A96</f>
        <v>97</v>
      </c>
      <c r="C97" s="20">
        <f>'Karner 2001'!C96</f>
        <v>500</v>
      </c>
      <c r="I97" s="51">
        <f>'Karner 2001'!I96</f>
        <v>47600</v>
      </c>
      <c r="J97" s="51">
        <f>'Karner 2001'!M96</f>
        <v>28900</v>
      </c>
      <c r="K97" s="51">
        <f>'Karner 2001'!L96</f>
        <v>15400</v>
      </c>
      <c r="L97" s="51">
        <f>'Karner 2001'!N96</f>
        <v>42800</v>
      </c>
      <c r="M97" s="63">
        <f>L97/I97</f>
        <v>0.89915966386554624</v>
      </c>
      <c r="N97" s="63">
        <f>K97/L97</f>
        <v>0.35981308411214952</v>
      </c>
      <c r="O97" s="63" t="s">
        <v>926</v>
      </c>
      <c r="P97" s="51" t="s">
        <v>535</v>
      </c>
      <c r="Q97" s="51" t="s">
        <v>263</v>
      </c>
      <c r="R97" s="51" t="s">
        <v>247</v>
      </c>
      <c r="S97" s="51" t="s">
        <v>247</v>
      </c>
      <c r="T97" s="51" t="s">
        <v>924</v>
      </c>
      <c r="U97" s="51" t="s">
        <v>925</v>
      </c>
      <c r="V97" s="51" t="s">
        <v>536</v>
      </c>
    </row>
    <row r="98" spans="1:22">
      <c r="A98" s="20" t="s">
        <v>270</v>
      </c>
      <c r="B98" s="20">
        <f>'Karner 2001'!A107</f>
        <v>98</v>
      </c>
      <c r="C98" s="20">
        <f>'Karner 2001'!C107</f>
        <v>500</v>
      </c>
      <c r="I98" s="51">
        <f>'Karner 2001'!I107</f>
        <v>52200</v>
      </c>
      <c r="J98" s="51">
        <f>'Karner 2001'!M107</f>
        <v>29400</v>
      </c>
      <c r="K98" s="51">
        <f>'Karner 2001'!L107</f>
        <v>14400</v>
      </c>
      <c r="L98" s="51">
        <f>'Karner 2001'!N107</f>
        <v>43300</v>
      </c>
      <c r="M98" s="63">
        <f>L98/I98</f>
        <v>0.82950191570881227</v>
      </c>
      <c r="N98" s="63">
        <f>K98/L98</f>
        <v>0.33256351039260967</v>
      </c>
      <c r="O98" s="63" t="s">
        <v>926</v>
      </c>
      <c r="P98" s="51" t="s">
        <v>535</v>
      </c>
      <c r="Q98" s="51" t="s">
        <v>263</v>
      </c>
      <c r="R98" s="51" t="s">
        <v>247</v>
      </c>
      <c r="S98" s="51" t="s">
        <v>247</v>
      </c>
      <c r="T98" s="51" t="s">
        <v>924</v>
      </c>
      <c r="U98" s="51" t="s">
        <v>925</v>
      </c>
      <c r="V98" s="51" t="s">
        <v>536</v>
      </c>
    </row>
    <row r="99" spans="1:22">
      <c r="A99" s="20" t="s">
        <v>270</v>
      </c>
      <c r="B99" s="20">
        <f>'Karner 2001'!A118</f>
        <v>99</v>
      </c>
      <c r="C99" s="20">
        <f>'Karner 2001'!C118</f>
        <v>500</v>
      </c>
      <c r="I99" s="51">
        <f>'Karner 2001'!I118</f>
        <v>80700</v>
      </c>
      <c r="J99" s="51">
        <f>'Karner 2001'!M118</f>
        <v>43500</v>
      </c>
      <c r="K99" s="51">
        <f>'Karner 2001'!L118</f>
        <v>32500</v>
      </c>
      <c r="L99" s="51">
        <f>'Karner 2001'!N118</f>
        <v>75800</v>
      </c>
      <c r="M99" s="63">
        <f>L99/I99</f>
        <v>0.9392812887236679</v>
      </c>
      <c r="N99" s="63">
        <f>K99/L99</f>
        <v>0.4287598944591029</v>
      </c>
      <c r="O99" s="63" t="s">
        <v>926</v>
      </c>
      <c r="P99" s="51" t="s">
        <v>535</v>
      </c>
      <c r="Q99" s="51" t="s">
        <v>263</v>
      </c>
      <c r="R99" s="51" t="s">
        <v>247</v>
      </c>
      <c r="S99" s="51" t="s">
        <v>247</v>
      </c>
      <c r="T99" s="51" t="s">
        <v>924</v>
      </c>
      <c r="U99" s="51" t="s">
        <v>925</v>
      </c>
      <c r="V99" s="51" t="s">
        <v>536</v>
      </c>
    </row>
    <row r="100" spans="1:22">
      <c r="A100" s="20" t="s">
        <v>270</v>
      </c>
      <c r="B100" s="20">
        <f>'Karner 2001'!A129</f>
        <v>100</v>
      </c>
      <c r="C100" s="20">
        <f>'Karner 2001'!C129</f>
        <v>500</v>
      </c>
      <c r="I100" s="51">
        <f>'Karner 2001'!I129</f>
        <v>48800</v>
      </c>
      <c r="J100" s="51">
        <f>'Karner 2001'!M129</f>
        <v>18500</v>
      </c>
      <c r="K100" s="51">
        <f>'Karner 2001'!L129</f>
        <v>27900</v>
      </c>
      <c r="L100" s="51">
        <f>'Karner 2001'!N129</f>
        <v>45600</v>
      </c>
      <c r="M100" s="63">
        <f>L100/I100</f>
        <v>0.93442622950819676</v>
      </c>
      <c r="N100" s="63">
        <f>K100/L100</f>
        <v>0.61184210526315785</v>
      </c>
      <c r="O100" s="63" t="s">
        <v>926</v>
      </c>
      <c r="P100" s="51" t="s">
        <v>535</v>
      </c>
      <c r="Q100" s="51" t="s">
        <v>263</v>
      </c>
      <c r="R100" s="51" t="s">
        <v>247</v>
      </c>
      <c r="S100" s="51" t="s">
        <v>247</v>
      </c>
      <c r="T100" s="51" t="s">
        <v>924</v>
      </c>
      <c r="U100" s="51" t="s">
        <v>925</v>
      </c>
      <c r="V100" s="51" t="s">
        <v>536</v>
      </c>
    </row>
    <row r="101" spans="1:22">
      <c r="A101" s="20" t="s">
        <v>270</v>
      </c>
      <c r="B101" s="20">
        <f>'Karner 2001'!A17</f>
        <v>87</v>
      </c>
      <c r="C101" s="20">
        <f>'Karner 2001'!C17</f>
        <v>1000</v>
      </c>
      <c r="I101" s="51">
        <f>'Karner 2001'!I17</f>
        <v>9210</v>
      </c>
      <c r="J101" s="51">
        <f>'Karner 2001'!M17</f>
        <v>5180</v>
      </c>
      <c r="K101" s="51">
        <f>'Karner 2001'!L17</f>
        <v>2610</v>
      </c>
      <c r="L101" s="51">
        <f>'Karner 2001'!N17</f>
        <v>7330</v>
      </c>
      <c r="M101" s="63">
        <f>L101/I101</f>
        <v>0.7958740499457112</v>
      </c>
      <c r="N101" s="63">
        <f>K101/L101</f>
        <v>0.35607094133697137</v>
      </c>
      <c r="O101" s="63" t="s">
        <v>926</v>
      </c>
      <c r="P101" s="51" t="s">
        <v>535</v>
      </c>
      <c r="Q101" s="51" t="s">
        <v>263</v>
      </c>
      <c r="R101" s="51" t="s">
        <v>247</v>
      </c>
      <c r="S101" s="51" t="s">
        <v>247</v>
      </c>
      <c r="T101" s="51" t="s">
        <v>924</v>
      </c>
      <c r="U101" s="51" t="s">
        <v>925</v>
      </c>
      <c r="V101" s="51" t="s">
        <v>536</v>
      </c>
    </row>
    <row r="102" spans="1:22">
      <c r="A102" s="20" t="s">
        <v>270</v>
      </c>
      <c r="B102" s="20">
        <f>'Karner 2001'!A23</f>
        <v>88</v>
      </c>
      <c r="C102" s="20">
        <f>'Karner 2001'!C23</f>
        <v>1000</v>
      </c>
      <c r="I102" s="51">
        <f>'Karner 2001'!I23</f>
        <v>14400</v>
      </c>
      <c r="J102" s="51">
        <f>'Karner 2001'!M23</f>
        <v>5960</v>
      </c>
      <c r="K102" s="51">
        <f>'Karner 2001'!L23</f>
        <v>2630</v>
      </c>
      <c r="L102" s="51">
        <f>'Karner 2001'!N23</f>
        <v>8090</v>
      </c>
      <c r="M102" s="63">
        <f>L102/I102</f>
        <v>0.56180555555555556</v>
      </c>
      <c r="N102" s="63">
        <f>K102/L102</f>
        <v>0.32509270704573545</v>
      </c>
      <c r="O102" s="63" t="s">
        <v>926</v>
      </c>
      <c r="P102" s="51" t="s">
        <v>535</v>
      </c>
      <c r="Q102" s="51" t="s">
        <v>263</v>
      </c>
      <c r="R102" s="51" t="s">
        <v>247</v>
      </c>
      <c r="S102" s="51" t="s">
        <v>247</v>
      </c>
      <c r="T102" s="51" t="s">
        <v>924</v>
      </c>
      <c r="U102" s="51" t="s">
        <v>925</v>
      </c>
      <c r="V102" s="51" t="s">
        <v>536</v>
      </c>
    </row>
    <row r="103" spans="1:22">
      <c r="A103" s="20" t="s">
        <v>270</v>
      </c>
      <c r="B103" s="20">
        <f>'Karner 2001'!A29</f>
        <v>89</v>
      </c>
      <c r="C103" s="20">
        <f>'Karner 2001'!C29</f>
        <v>1000</v>
      </c>
      <c r="I103" s="51">
        <f>'Karner 2001'!I29</f>
        <v>9780</v>
      </c>
      <c r="J103" s="51">
        <f>'Karner 2001'!M29</f>
        <v>4790</v>
      </c>
      <c r="K103" s="51">
        <f>'Karner 2001'!L29</f>
        <v>4260</v>
      </c>
      <c r="L103" s="51">
        <f>'Karner 2001'!N29</f>
        <v>8390</v>
      </c>
      <c r="M103" s="63">
        <f>L103/I103</f>
        <v>0.85787321063394684</v>
      </c>
      <c r="N103" s="63">
        <f>K103/L103</f>
        <v>0.50774731823599528</v>
      </c>
      <c r="O103" s="63" t="s">
        <v>926</v>
      </c>
      <c r="P103" s="51" t="s">
        <v>535</v>
      </c>
      <c r="Q103" s="51" t="s">
        <v>263</v>
      </c>
      <c r="R103" s="51" t="s">
        <v>247</v>
      </c>
      <c r="S103" s="51" t="s">
        <v>247</v>
      </c>
      <c r="T103" s="51" t="s">
        <v>924</v>
      </c>
      <c r="U103" s="51" t="s">
        <v>925</v>
      </c>
      <c r="V103" s="51" t="s">
        <v>536</v>
      </c>
    </row>
    <row r="104" spans="1:22">
      <c r="A104" s="20" t="s">
        <v>270</v>
      </c>
      <c r="B104" s="20">
        <f>'Karner 2001'!A35</f>
        <v>90</v>
      </c>
      <c r="C104" s="20">
        <f>'Karner 2001'!C35</f>
        <v>1000</v>
      </c>
      <c r="I104" s="51">
        <f>'Karner 2001'!I35</f>
        <v>16700</v>
      </c>
      <c r="J104" s="51">
        <f>'Karner 2001'!M35</f>
        <v>9250</v>
      </c>
      <c r="K104" s="51">
        <f>'Karner 2001'!L35</f>
        <v>4910</v>
      </c>
      <c r="L104" s="51">
        <f>'Karner 2001'!N35</f>
        <v>13400</v>
      </c>
      <c r="M104" s="63">
        <f>L104/I104</f>
        <v>0.80239520958083832</v>
      </c>
      <c r="N104" s="63">
        <f>K104/L104</f>
        <v>0.36641791044776117</v>
      </c>
      <c r="O104" s="63" t="s">
        <v>926</v>
      </c>
      <c r="P104" s="51" t="s">
        <v>535</v>
      </c>
      <c r="Q104" s="51" t="s">
        <v>263</v>
      </c>
      <c r="R104" s="51" t="s">
        <v>247</v>
      </c>
      <c r="S104" s="51" t="s">
        <v>247</v>
      </c>
      <c r="T104" s="51" t="s">
        <v>924</v>
      </c>
      <c r="U104" s="51" t="s">
        <v>925</v>
      </c>
      <c r="V104" s="51" t="s">
        <v>536</v>
      </c>
    </row>
    <row r="105" spans="1:22">
      <c r="A105" s="20" t="s">
        <v>270</v>
      </c>
      <c r="B105" s="20">
        <f>'Karner 2001'!A41</f>
        <v>91</v>
      </c>
      <c r="C105" s="20">
        <f>'Karner 2001'!C41</f>
        <v>1000</v>
      </c>
      <c r="I105" s="51">
        <f>'Karner 2001'!I41</f>
        <v>18600</v>
      </c>
      <c r="J105" s="51">
        <f>'Karner 2001'!M41</f>
        <v>9610</v>
      </c>
      <c r="K105" s="51">
        <f>'Karner 2001'!L41</f>
        <v>4710</v>
      </c>
      <c r="L105" s="51">
        <f>'Karner 2001'!N41</f>
        <v>13700</v>
      </c>
      <c r="M105" s="63">
        <f>L105/I105</f>
        <v>0.73655913978494625</v>
      </c>
      <c r="N105" s="63">
        <f>K105/L105</f>
        <v>0.3437956204379562</v>
      </c>
      <c r="O105" s="63" t="s">
        <v>926</v>
      </c>
      <c r="P105" s="51" t="s">
        <v>535</v>
      </c>
      <c r="Q105" s="51" t="s">
        <v>263</v>
      </c>
      <c r="R105" s="51" t="s">
        <v>247</v>
      </c>
      <c r="S105" s="51" t="s">
        <v>247</v>
      </c>
      <c r="T105" s="51" t="s">
        <v>924</v>
      </c>
      <c r="U105" s="51" t="s">
        <v>925</v>
      </c>
      <c r="V105" s="51" t="s">
        <v>536</v>
      </c>
    </row>
    <row r="106" spans="1:22">
      <c r="A106" s="20" t="s">
        <v>270</v>
      </c>
      <c r="B106" s="20">
        <f>'Karner 2001'!A50</f>
        <v>92</v>
      </c>
      <c r="C106" s="20">
        <f>'Karner 2001'!C50</f>
        <v>1000</v>
      </c>
      <c r="I106" s="51">
        <f>'Karner 2001'!I50</f>
        <v>23000</v>
      </c>
      <c r="J106" s="51">
        <f>'Karner 2001'!M50</f>
        <v>8730</v>
      </c>
      <c r="K106" s="51">
        <f>'Karner 2001'!L50</f>
        <v>8630</v>
      </c>
      <c r="L106" s="51">
        <f>'Karner 2001'!N50</f>
        <v>17100</v>
      </c>
      <c r="M106" s="63">
        <f>L106/I106</f>
        <v>0.74347826086956526</v>
      </c>
      <c r="N106" s="63">
        <f>K106/L106</f>
        <v>0.50467836257309939</v>
      </c>
      <c r="O106" s="63" t="s">
        <v>926</v>
      </c>
      <c r="P106" s="51" t="s">
        <v>535</v>
      </c>
      <c r="Q106" s="51" t="s">
        <v>263</v>
      </c>
      <c r="R106" s="51" t="s">
        <v>247</v>
      </c>
      <c r="S106" s="51" t="s">
        <v>247</v>
      </c>
      <c r="T106" s="51" t="s">
        <v>924</v>
      </c>
      <c r="U106" s="51" t="s">
        <v>925</v>
      </c>
      <c r="V106" s="51" t="s">
        <v>536</v>
      </c>
    </row>
    <row r="107" spans="1:22">
      <c r="A107" s="20" t="s">
        <v>270</v>
      </c>
      <c r="B107" s="20">
        <f>'Karner 2001'!A59</f>
        <v>93</v>
      </c>
      <c r="C107" s="20">
        <f>'Karner 2001'!C59</f>
        <v>1000</v>
      </c>
      <c r="I107" s="51">
        <f>'Karner 2001'!I59</f>
        <v>26100</v>
      </c>
      <c r="J107" s="51">
        <f>'Karner 2001'!M59</f>
        <v>15000</v>
      </c>
      <c r="K107" s="51">
        <f>'Karner 2001'!L59</f>
        <v>9390</v>
      </c>
      <c r="L107" s="51">
        <f>'Karner 2001'!N59</f>
        <v>24100</v>
      </c>
      <c r="M107" s="63">
        <f>L107/I107</f>
        <v>0.92337164750957856</v>
      </c>
      <c r="N107" s="63">
        <f>K107/L107</f>
        <v>0.38962655601659751</v>
      </c>
      <c r="O107" s="63" t="s">
        <v>926</v>
      </c>
      <c r="P107" s="51" t="s">
        <v>535</v>
      </c>
      <c r="Q107" s="51" t="s">
        <v>263</v>
      </c>
      <c r="R107" s="51" t="s">
        <v>247</v>
      </c>
      <c r="S107" s="51" t="s">
        <v>247</v>
      </c>
      <c r="T107" s="51" t="s">
        <v>924</v>
      </c>
      <c r="U107" s="51" t="s">
        <v>925</v>
      </c>
      <c r="V107" s="51" t="s">
        <v>536</v>
      </c>
    </row>
    <row r="108" spans="1:22">
      <c r="A108" s="20" t="s">
        <v>270</v>
      </c>
      <c r="B108" s="20">
        <f>'Karner 2001'!A68</f>
        <v>94</v>
      </c>
      <c r="C108" s="20">
        <f>'Karner 2001'!C68</f>
        <v>1000</v>
      </c>
      <c r="I108" s="51">
        <f>'Karner 2001'!I68</f>
        <v>23300</v>
      </c>
      <c r="J108" s="51">
        <f>'Karner 2001'!M68</f>
        <v>11600</v>
      </c>
      <c r="K108" s="51">
        <f>'Karner 2001'!L68</f>
        <v>4120</v>
      </c>
      <c r="L108" s="51">
        <f>'Karner 2001'!N68</f>
        <v>15300</v>
      </c>
      <c r="M108" s="63">
        <f>L108/I108</f>
        <v>0.6566523605150214</v>
      </c>
      <c r="N108" s="63">
        <f>K108/L108</f>
        <v>0.26928104575163397</v>
      </c>
      <c r="O108" s="63" t="s">
        <v>926</v>
      </c>
      <c r="P108" s="51" t="s">
        <v>535</v>
      </c>
      <c r="Q108" s="51" t="s">
        <v>263</v>
      </c>
      <c r="R108" s="51" t="s">
        <v>247</v>
      </c>
      <c r="S108" s="51" t="s">
        <v>247</v>
      </c>
      <c r="T108" s="51" t="s">
        <v>924</v>
      </c>
      <c r="U108" s="51" t="s">
        <v>925</v>
      </c>
      <c r="V108" s="51" t="s">
        <v>536</v>
      </c>
    </row>
    <row r="109" spans="1:22">
      <c r="A109" s="20" t="s">
        <v>270</v>
      </c>
      <c r="B109" s="20">
        <f>'Karner 2001'!A77</f>
        <v>95</v>
      </c>
      <c r="C109" s="20">
        <f>'Karner 2001'!C77</f>
        <v>1000</v>
      </c>
      <c r="I109" s="51">
        <f>'Karner 2001'!I77</f>
        <v>25800</v>
      </c>
      <c r="J109" s="51">
        <f>'Karner 2001'!M77</f>
        <v>8650</v>
      </c>
      <c r="K109" s="51">
        <f>'Karner 2001'!L77</f>
        <v>7400</v>
      </c>
      <c r="L109" s="51">
        <f>'Karner 2001'!N77</f>
        <v>16000</v>
      </c>
      <c r="M109" s="63">
        <f>L109/I109</f>
        <v>0.62015503875968991</v>
      </c>
      <c r="N109" s="63">
        <f>K109/L109</f>
        <v>0.46250000000000002</v>
      </c>
      <c r="O109" s="63" t="s">
        <v>926</v>
      </c>
      <c r="P109" s="51" t="s">
        <v>535</v>
      </c>
      <c r="Q109" s="51" t="s">
        <v>263</v>
      </c>
      <c r="R109" s="51" t="s">
        <v>247</v>
      </c>
      <c r="S109" s="51" t="s">
        <v>247</v>
      </c>
      <c r="T109" s="51" t="s">
        <v>924</v>
      </c>
      <c r="U109" s="51" t="s">
        <v>925</v>
      </c>
      <c r="V109" s="51" t="s">
        <v>536</v>
      </c>
    </row>
    <row r="110" spans="1:22">
      <c r="A110" s="20" t="s">
        <v>270</v>
      </c>
      <c r="B110" s="20">
        <f>'Karner 2001'!A86</f>
        <v>96</v>
      </c>
      <c r="C110" s="20">
        <f>'Karner 2001'!C86</f>
        <v>1000</v>
      </c>
      <c r="I110" s="51">
        <f>'Karner 2001'!I86</f>
        <v>15800</v>
      </c>
      <c r="J110" s="51">
        <f>'Karner 2001'!M86</f>
        <v>9080</v>
      </c>
      <c r="K110" s="51">
        <f>'Karner 2001'!L86</f>
        <v>5330</v>
      </c>
      <c r="L110" s="51">
        <f>'Karner 2001'!N86</f>
        <v>13900</v>
      </c>
      <c r="M110" s="63">
        <f>L110/I110</f>
        <v>0.879746835443038</v>
      </c>
      <c r="N110" s="63">
        <f>K110/L110</f>
        <v>0.38345323741007192</v>
      </c>
      <c r="O110" s="63" t="s">
        <v>926</v>
      </c>
      <c r="P110" s="51" t="s">
        <v>535</v>
      </c>
      <c r="Q110" s="51" t="s">
        <v>263</v>
      </c>
      <c r="R110" s="51" t="s">
        <v>247</v>
      </c>
      <c r="S110" s="51" t="s">
        <v>247</v>
      </c>
      <c r="T110" s="51" t="s">
        <v>924</v>
      </c>
      <c r="U110" s="51" t="s">
        <v>925</v>
      </c>
      <c r="V110" s="51" t="s">
        <v>536</v>
      </c>
    </row>
    <row r="111" spans="1:22">
      <c r="A111" s="20" t="s">
        <v>270</v>
      </c>
      <c r="B111" s="20">
        <f>'Karner 2001'!A97</f>
        <v>97</v>
      </c>
      <c r="C111" s="20">
        <f>'Karner 2001'!C97</f>
        <v>1000</v>
      </c>
      <c r="I111" s="51">
        <f>'Karner 2001'!I97</f>
        <v>21700</v>
      </c>
      <c r="J111" s="51">
        <f>'Karner 2001'!M97</f>
        <v>8250</v>
      </c>
      <c r="K111" s="51">
        <f>'Karner 2001'!L97</f>
        <v>8840</v>
      </c>
      <c r="L111" s="51">
        <f>'Karner 2001'!N97</f>
        <v>16300</v>
      </c>
      <c r="M111" s="63">
        <f>L111/I111</f>
        <v>0.75115207373271886</v>
      </c>
      <c r="N111" s="63">
        <f>K111/L111</f>
        <v>0.54233128834355826</v>
      </c>
      <c r="O111" s="63" t="s">
        <v>926</v>
      </c>
      <c r="P111" s="51" t="s">
        <v>535</v>
      </c>
      <c r="Q111" s="51" t="s">
        <v>263</v>
      </c>
      <c r="R111" s="51" t="s">
        <v>247</v>
      </c>
      <c r="S111" s="51" t="s">
        <v>247</v>
      </c>
      <c r="T111" s="51" t="s">
        <v>924</v>
      </c>
      <c r="U111" s="51" t="s">
        <v>925</v>
      </c>
      <c r="V111" s="51" t="s">
        <v>536</v>
      </c>
    </row>
    <row r="112" spans="1:22">
      <c r="A112" s="20" t="s">
        <v>270</v>
      </c>
      <c r="B112" s="20">
        <f>'Karner 2001'!A108</f>
        <v>98</v>
      </c>
      <c r="C112" s="20">
        <f>'Karner 2001'!C108</f>
        <v>1000</v>
      </c>
      <c r="I112" s="51">
        <f>'Karner 2001'!I108</f>
        <v>38400</v>
      </c>
      <c r="J112" s="51">
        <f>'Karner 2001'!M108</f>
        <v>19100</v>
      </c>
      <c r="K112" s="51">
        <f>'Karner 2001'!L108</f>
        <v>10500</v>
      </c>
      <c r="L112" s="51">
        <f>'Karner 2001'!N108</f>
        <v>29500</v>
      </c>
      <c r="M112" s="63">
        <f>L112/I112</f>
        <v>0.76822916666666663</v>
      </c>
      <c r="N112" s="63">
        <f>K112/L112</f>
        <v>0.3559322033898305</v>
      </c>
      <c r="O112" s="63" t="s">
        <v>926</v>
      </c>
      <c r="P112" s="51" t="s">
        <v>535</v>
      </c>
      <c r="Q112" s="51" t="s">
        <v>263</v>
      </c>
      <c r="R112" s="51" t="s">
        <v>247</v>
      </c>
      <c r="S112" s="51" t="s">
        <v>247</v>
      </c>
      <c r="T112" s="51" t="s">
        <v>924</v>
      </c>
      <c r="U112" s="51" t="s">
        <v>925</v>
      </c>
      <c r="V112" s="51" t="s">
        <v>536</v>
      </c>
    </row>
    <row r="113" spans="1:22">
      <c r="A113" s="20" t="s">
        <v>270</v>
      </c>
      <c r="B113" s="20">
        <f>'Karner 2001'!A119</f>
        <v>99</v>
      </c>
      <c r="C113" s="20">
        <f>'Karner 2001'!C119</f>
        <v>1000</v>
      </c>
      <c r="I113" s="51">
        <f>'Karner 2001'!I119</f>
        <v>26500</v>
      </c>
      <c r="J113" s="51">
        <f>'Karner 2001'!M119</f>
        <v>12700</v>
      </c>
      <c r="K113" s="51">
        <f>'Karner 2001'!L119</f>
        <v>6340</v>
      </c>
      <c r="L113" s="51">
        <f>'Karner 2001'!N119</f>
        <v>18700</v>
      </c>
      <c r="M113" s="63">
        <f>L113/I113</f>
        <v>0.70566037735849052</v>
      </c>
      <c r="N113" s="63">
        <f>K113/L113</f>
        <v>0.33903743315508023</v>
      </c>
      <c r="O113" s="63" t="s">
        <v>926</v>
      </c>
      <c r="P113" s="51" t="s">
        <v>535</v>
      </c>
      <c r="Q113" s="51" t="s">
        <v>263</v>
      </c>
      <c r="R113" s="51" t="s">
        <v>247</v>
      </c>
      <c r="S113" s="51" t="s">
        <v>247</v>
      </c>
      <c r="T113" s="51" t="s">
        <v>924</v>
      </c>
      <c r="U113" s="51" t="s">
        <v>925</v>
      </c>
      <c r="V113" s="51" t="s">
        <v>536</v>
      </c>
    </row>
    <row r="114" spans="1:22">
      <c r="A114" s="20" t="s">
        <v>270</v>
      </c>
      <c r="B114" s="20">
        <f>'Karner 2001'!A130</f>
        <v>100</v>
      </c>
      <c r="C114" s="20">
        <f>'Karner 2001'!C130</f>
        <v>1000</v>
      </c>
      <c r="I114" s="51">
        <f>'Karner 2001'!I130</f>
        <v>36800</v>
      </c>
      <c r="J114" s="51">
        <f>'Karner 2001'!M130</f>
        <v>12200</v>
      </c>
      <c r="K114" s="51">
        <f>'Karner 2001'!L130</f>
        <v>19000</v>
      </c>
      <c r="L114" s="51">
        <f>'Karner 2001'!N130</f>
        <v>31200</v>
      </c>
      <c r="M114" s="63">
        <f>L114/I114</f>
        <v>0.84782608695652173</v>
      </c>
      <c r="N114" s="63">
        <f>K114/L114</f>
        <v>0.60897435897435892</v>
      </c>
      <c r="O114" s="63" t="s">
        <v>926</v>
      </c>
      <c r="P114" s="51" t="s">
        <v>535</v>
      </c>
      <c r="Q114" s="51" t="s">
        <v>263</v>
      </c>
      <c r="R114" s="51" t="s">
        <v>247</v>
      </c>
      <c r="S114" s="51" t="s">
        <v>247</v>
      </c>
      <c r="T114" s="51" t="s">
        <v>924</v>
      </c>
      <c r="U114" s="51" t="s">
        <v>925</v>
      </c>
      <c r="V114" s="51" t="s">
        <v>536</v>
      </c>
    </row>
    <row r="115" spans="1:22">
      <c r="A115" s="20" t="s">
        <v>270</v>
      </c>
      <c r="B115" s="20">
        <f>'Karner 2001'!A42</f>
        <v>91</v>
      </c>
      <c r="C115" s="20">
        <f>'Karner 2001'!C42</f>
        <v>2000</v>
      </c>
      <c r="I115" s="51">
        <f>'Karner 2001'!I42</f>
        <v>16700</v>
      </c>
      <c r="J115" s="51">
        <f>'Karner 2001'!M42</f>
        <v>1340</v>
      </c>
      <c r="K115" s="51">
        <f>'Karner 2001'!L42</f>
        <v>4840</v>
      </c>
      <c r="L115" s="51">
        <f>'Karner 2001'!N42</f>
        <v>6110</v>
      </c>
      <c r="M115" s="63">
        <f>L115/I115</f>
        <v>0.3658682634730539</v>
      </c>
      <c r="N115" s="63">
        <f>K115/L115</f>
        <v>0.79214402618657942</v>
      </c>
      <c r="O115" s="63" t="s">
        <v>926</v>
      </c>
      <c r="P115" s="51" t="s">
        <v>535</v>
      </c>
      <c r="Q115" s="51" t="s">
        <v>263</v>
      </c>
      <c r="R115" s="51" t="s">
        <v>247</v>
      </c>
      <c r="S115" s="51" t="s">
        <v>247</v>
      </c>
      <c r="T115" s="51" t="s">
        <v>924</v>
      </c>
      <c r="U115" s="51" t="s">
        <v>925</v>
      </c>
      <c r="V115" s="51" t="s">
        <v>536</v>
      </c>
    </row>
    <row r="116" spans="1:22">
      <c r="A116" s="20" t="s">
        <v>270</v>
      </c>
      <c r="B116" s="20">
        <f>'Karner 2001'!A51</f>
        <v>92</v>
      </c>
      <c r="C116" s="20">
        <f>'Karner 2001'!C51</f>
        <v>2000</v>
      </c>
      <c r="I116" s="51">
        <f>'Karner 2001'!I51</f>
        <v>11200</v>
      </c>
      <c r="J116" s="51">
        <f>'Karner 2001'!M51</f>
        <v>3990</v>
      </c>
      <c r="K116" s="51">
        <f>'Karner 2001'!L51</f>
        <v>4570</v>
      </c>
      <c r="L116" s="51">
        <f>'Karner 2001'!N51</f>
        <v>8450</v>
      </c>
      <c r="M116" s="63">
        <f>L116/I116</f>
        <v>0.7544642857142857</v>
      </c>
      <c r="N116" s="63">
        <f>K116/L116</f>
        <v>0.54082840236686391</v>
      </c>
      <c r="O116" s="63" t="s">
        <v>926</v>
      </c>
      <c r="P116" s="51" t="s">
        <v>535</v>
      </c>
      <c r="Q116" s="51" t="s">
        <v>263</v>
      </c>
      <c r="R116" s="51" t="s">
        <v>247</v>
      </c>
      <c r="S116" s="51" t="s">
        <v>247</v>
      </c>
      <c r="T116" s="51" t="s">
        <v>924</v>
      </c>
      <c r="U116" s="51" t="s">
        <v>925</v>
      </c>
      <c r="V116" s="51" t="s">
        <v>536</v>
      </c>
    </row>
    <row r="117" spans="1:22">
      <c r="A117" s="20" t="s">
        <v>270</v>
      </c>
      <c r="B117" s="20">
        <f>'Karner 2001'!A60</f>
        <v>93</v>
      </c>
      <c r="C117" s="20">
        <f>'Karner 2001'!C60</f>
        <v>2000</v>
      </c>
      <c r="I117" s="51">
        <f>'Karner 2001'!I60</f>
        <v>7880</v>
      </c>
      <c r="J117" s="51">
        <f>'Karner 2001'!M60</f>
        <v>2330</v>
      </c>
      <c r="K117" s="51">
        <f>'Karner 2001'!L60</f>
        <v>3180</v>
      </c>
      <c r="L117" s="51">
        <f>'Karner 2001'!N60</f>
        <v>5460</v>
      </c>
      <c r="M117" s="63">
        <f>L117/I117</f>
        <v>0.69289340101522845</v>
      </c>
      <c r="N117" s="63">
        <f>K117/L117</f>
        <v>0.58241758241758246</v>
      </c>
      <c r="O117" s="63" t="s">
        <v>926</v>
      </c>
      <c r="P117" s="51" t="s">
        <v>535</v>
      </c>
      <c r="Q117" s="51" t="s">
        <v>263</v>
      </c>
      <c r="R117" s="51" t="s">
        <v>247</v>
      </c>
      <c r="S117" s="51" t="s">
        <v>247</v>
      </c>
      <c r="T117" s="51" t="s">
        <v>924</v>
      </c>
      <c r="U117" s="51" t="s">
        <v>925</v>
      </c>
      <c r="V117" s="51" t="s">
        <v>536</v>
      </c>
    </row>
    <row r="118" spans="1:22">
      <c r="A118" s="20" t="s">
        <v>270</v>
      </c>
      <c r="B118" s="20">
        <f>'Karner 2001'!A69</f>
        <v>94</v>
      </c>
      <c r="C118" s="20">
        <f>'Karner 2001'!C69</f>
        <v>2000</v>
      </c>
      <c r="I118" s="51">
        <f>'Karner 2001'!I69</f>
        <v>11900</v>
      </c>
      <c r="J118" s="51">
        <f>'Karner 2001'!M69</f>
        <v>4120</v>
      </c>
      <c r="K118" s="51">
        <f>'Karner 2001'!L69</f>
        <v>2250</v>
      </c>
      <c r="L118" s="51">
        <f>'Karner 2001'!N69</f>
        <v>6200</v>
      </c>
      <c r="M118" s="63">
        <f>L118/I118</f>
        <v>0.52100840336134457</v>
      </c>
      <c r="N118" s="63">
        <f>K118/L118</f>
        <v>0.36290322580645162</v>
      </c>
      <c r="O118" s="63" t="s">
        <v>926</v>
      </c>
      <c r="P118" s="51" t="s">
        <v>535</v>
      </c>
      <c r="Q118" s="51" t="s">
        <v>263</v>
      </c>
      <c r="R118" s="51" t="s">
        <v>247</v>
      </c>
      <c r="S118" s="51" t="s">
        <v>247</v>
      </c>
      <c r="T118" s="51" t="s">
        <v>924</v>
      </c>
      <c r="U118" s="51" t="s">
        <v>925</v>
      </c>
      <c r="V118" s="51" t="s">
        <v>536</v>
      </c>
    </row>
    <row r="119" spans="1:22">
      <c r="A119" s="20" t="s">
        <v>270</v>
      </c>
      <c r="B119" s="20">
        <f>'Karner 2001'!A78</f>
        <v>95</v>
      </c>
      <c r="C119" s="20">
        <f>'Karner 2001'!C78</f>
        <v>2000</v>
      </c>
      <c r="I119" s="51">
        <f>'Karner 2001'!I78</f>
        <v>11700</v>
      </c>
      <c r="J119" s="51">
        <f>'Karner 2001'!M78</f>
        <v>4760</v>
      </c>
      <c r="K119" s="51">
        <f>'Karner 2001'!L78</f>
        <v>2350</v>
      </c>
      <c r="L119" s="51">
        <f>'Karner 2001'!N78</f>
        <v>7010</v>
      </c>
      <c r="M119" s="63">
        <f>L119/I119</f>
        <v>0.59914529914529913</v>
      </c>
      <c r="N119" s="63">
        <f>K119/L119</f>
        <v>0.33523537803138376</v>
      </c>
      <c r="O119" s="63" t="s">
        <v>926</v>
      </c>
      <c r="P119" s="51" t="s">
        <v>535</v>
      </c>
      <c r="Q119" s="51" t="s">
        <v>263</v>
      </c>
      <c r="R119" s="51" t="s">
        <v>247</v>
      </c>
      <c r="S119" s="51" t="s">
        <v>247</v>
      </c>
      <c r="T119" s="51" t="s">
        <v>924</v>
      </c>
      <c r="U119" s="51" t="s">
        <v>925</v>
      </c>
      <c r="V119" s="51" t="s">
        <v>536</v>
      </c>
    </row>
    <row r="120" spans="1:22">
      <c r="A120" s="20" t="s">
        <v>270</v>
      </c>
      <c r="B120" s="20">
        <f>'Karner 2001'!A87</f>
        <v>96</v>
      </c>
      <c r="C120" s="20">
        <f>'Karner 2001'!C87</f>
        <v>2000</v>
      </c>
      <c r="I120" s="51">
        <f>'Karner 2001'!I87</f>
        <v>6800</v>
      </c>
      <c r="J120" s="51">
        <f>'Karner 2001'!M87</f>
        <v>2250</v>
      </c>
      <c r="K120" s="51">
        <f>'Karner 2001'!L87</f>
        <v>3840</v>
      </c>
      <c r="L120" s="51">
        <f>'Karner 2001'!N87</f>
        <v>5850</v>
      </c>
      <c r="M120" s="63">
        <f>L120/I120</f>
        <v>0.86029411764705888</v>
      </c>
      <c r="N120" s="63">
        <f>K120/L120</f>
        <v>0.65641025641025641</v>
      </c>
      <c r="O120" s="63" t="s">
        <v>926</v>
      </c>
      <c r="P120" s="51" t="s">
        <v>535</v>
      </c>
      <c r="Q120" s="51" t="s">
        <v>263</v>
      </c>
      <c r="R120" s="51" t="s">
        <v>247</v>
      </c>
      <c r="S120" s="51" t="s">
        <v>247</v>
      </c>
      <c r="T120" s="51" t="s">
        <v>924</v>
      </c>
      <c r="U120" s="51" t="s">
        <v>925</v>
      </c>
      <c r="V120" s="51" t="s">
        <v>536</v>
      </c>
    </row>
    <row r="121" spans="1:22">
      <c r="A121" s="20" t="s">
        <v>270</v>
      </c>
      <c r="B121" s="20">
        <f>'Karner 2001'!A98</f>
        <v>97</v>
      </c>
      <c r="C121" s="20">
        <f>'Karner 2001'!C98</f>
        <v>2000</v>
      </c>
      <c r="I121" s="51">
        <f>'Karner 2001'!I98</f>
        <v>16900</v>
      </c>
      <c r="J121" s="51">
        <f>'Karner 2001'!M98</f>
        <v>3020</v>
      </c>
      <c r="K121" s="51">
        <f>'Karner 2001'!L98</f>
        <v>7820</v>
      </c>
      <c r="L121" s="51">
        <f>'Karner 2001'!N98</f>
        <v>10600</v>
      </c>
      <c r="M121" s="63">
        <f>L121/I121</f>
        <v>0.62721893491124259</v>
      </c>
      <c r="N121" s="63">
        <f>K121/L121</f>
        <v>0.73773584905660372</v>
      </c>
      <c r="O121" s="63" t="s">
        <v>926</v>
      </c>
      <c r="P121" s="51" t="s">
        <v>535</v>
      </c>
      <c r="Q121" s="51" t="s">
        <v>263</v>
      </c>
      <c r="R121" s="51" t="s">
        <v>247</v>
      </c>
      <c r="S121" s="51" t="s">
        <v>247</v>
      </c>
      <c r="T121" s="51" t="s">
        <v>924</v>
      </c>
      <c r="U121" s="51" t="s">
        <v>925</v>
      </c>
      <c r="V121" s="51" t="s">
        <v>536</v>
      </c>
    </row>
    <row r="122" spans="1:22">
      <c r="A122" s="20" t="s">
        <v>270</v>
      </c>
      <c r="B122" s="20">
        <f>'Karner 2001'!A109</f>
        <v>98</v>
      </c>
      <c r="C122" s="20">
        <f>'Karner 2001'!C109</f>
        <v>2000</v>
      </c>
      <c r="O122" s="63" t="s">
        <v>926</v>
      </c>
      <c r="P122" s="51" t="s">
        <v>535</v>
      </c>
      <c r="Q122" s="51" t="s">
        <v>263</v>
      </c>
      <c r="R122" s="51" t="s">
        <v>247</v>
      </c>
      <c r="S122" s="51" t="s">
        <v>247</v>
      </c>
      <c r="T122" s="51" t="s">
        <v>924</v>
      </c>
      <c r="U122" s="51" t="s">
        <v>925</v>
      </c>
      <c r="V122" s="51" t="s">
        <v>536</v>
      </c>
    </row>
    <row r="123" spans="1:22">
      <c r="A123" s="20" t="s">
        <v>270</v>
      </c>
      <c r="B123" s="20">
        <f>'Karner 2001'!A120</f>
        <v>99</v>
      </c>
      <c r="C123" s="20">
        <f>'Karner 2001'!C120</f>
        <v>2000</v>
      </c>
      <c r="I123" s="51">
        <f>'Karner 2001'!I120</f>
        <v>16300</v>
      </c>
      <c r="J123" s="51">
        <f>'Karner 2001'!M120</f>
        <v>5640</v>
      </c>
      <c r="K123" s="51">
        <f>'Karner 2001'!L120</f>
        <v>7060</v>
      </c>
      <c r="L123" s="51">
        <f>'Karner 2001'!N120</f>
        <v>12300</v>
      </c>
      <c r="M123" s="63">
        <f>L123/I123</f>
        <v>0.754601226993865</v>
      </c>
      <c r="N123" s="63">
        <f>K123/L123</f>
        <v>0.57398373983739837</v>
      </c>
      <c r="O123" s="63" t="s">
        <v>926</v>
      </c>
      <c r="P123" s="51" t="s">
        <v>535</v>
      </c>
      <c r="Q123" s="51" t="s">
        <v>263</v>
      </c>
      <c r="R123" s="51" t="s">
        <v>247</v>
      </c>
      <c r="S123" s="51" t="s">
        <v>247</v>
      </c>
      <c r="T123" s="51" t="s">
        <v>924</v>
      </c>
      <c r="U123" s="51" t="s">
        <v>925</v>
      </c>
      <c r="V123" s="51" t="s">
        <v>536</v>
      </c>
    </row>
    <row r="124" spans="1:22">
      <c r="A124" s="20" t="s">
        <v>270</v>
      </c>
      <c r="B124" s="20">
        <f>'Karner 2001'!A131</f>
        <v>100</v>
      </c>
      <c r="C124" s="20">
        <f>'Karner 2001'!C131</f>
        <v>2000</v>
      </c>
      <c r="I124" s="51">
        <f>'Karner 2001'!I131</f>
        <v>14600</v>
      </c>
      <c r="J124" s="51">
        <f>'Karner 2001'!M131</f>
        <v>5010</v>
      </c>
      <c r="K124" s="51">
        <f>'Karner 2001'!L131</f>
        <v>7610</v>
      </c>
      <c r="L124" s="51">
        <f>'Karner 2001'!N131</f>
        <v>12500</v>
      </c>
      <c r="M124" s="63">
        <f>L124/I124</f>
        <v>0.85616438356164382</v>
      </c>
      <c r="N124" s="63">
        <f>K124/L124</f>
        <v>0.60880000000000001</v>
      </c>
      <c r="O124" s="63" t="s">
        <v>926</v>
      </c>
      <c r="P124" s="51" t="s">
        <v>535</v>
      </c>
      <c r="Q124" s="51" t="s">
        <v>263</v>
      </c>
      <c r="R124" s="51" t="s">
        <v>247</v>
      </c>
      <c r="S124" s="51" t="s">
        <v>247</v>
      </c>
      <c r="T124" s="51" t="s">
        <v>924</v>
      </c>
      <c r="U124" s="51" t="s">
        <v>925</v>
      </c>
      <c r="V124" s="51" t="s">
        <v>536</v>
      </c>
    </row>
    <row r="125" spans="1:22">
      <c r="A125" s="20" t="s">
        <v>270</v>
      </c>
      <c r="B125" s="20">
        <f>'Karner 2001'!A43</f>
        <v>91</v>
      </c>
      <c r="C125" s="20">
        <f>'Karner 2001'!C43</f>
        <v>3000</v>
      </c>
      <c r="I125" s="51">
        <f>'Karner 2001'!I43</f>
        <v>7890</v>
      </c>
      <c r="J125" s="51">
        <f>'Karner 2001'!M43</f>
        <v>813</v>
      </c>
      <c r="K125" s="51">
        <f>'Karner 2001'!L43</f>
        <v>2290</v>
      </c>
      <c r="L125" s="51">
        <f>'Karner 2001'!N43</f>
        <v>3020</v>
      </c>
      <c r="M125" s="63">
        <f>L125/I125</f>
        <v>0.38276299112801015</v>
      </c>
      <c r="N125" s="63">
        <f>K125/L125</f>
        <v>0.75827814569536423</v>
      </c>
      <c r="O125" s="63" t="s">
        <v>926</v>
      </c>
      <c r="P125" s="51" t="s">
        <v>535</v>
      </c>
      <c r="Q125" s="51" t="s">
        <v>263</v>
      </c>
      <c r="R125" s="51" t="s">
        <v>247</v>
      </c>
      <c r="S125" s="51" t="s">
        <v>247</v>
      </c>
      <c r="T125" s="51" t="s">
        <v>924</v>
      </c>
      <c r="U125" s="51" t="s">
        <v>925</v>
      </c>
      <c r="V125" s="51" t="s">
        <v>536</v>
      </c>
    </row>
    <row r="126" spans="1:22">
      <c r="A126" s="20" t="s">
        <v>270</v>
      </c>
      <c r="B126" s="20">
        <f>'Karner 2001'!A52</f>
        <v>92</v>
      </c>
      <c r="C126" s="20">
        <f>'Karner 2001'!C52</f>
        <v>3000</v>
      </c>
      <c r="I126" s="51">
        <f>'Karner 2001'!I52</f>
        <v>8870</v>
      </c>
      <c r="J126" s="51">
        <f>'Karner 2001'!M52</f>
        <v>2610</v>
      </c>
      <c r="K126" s="51">
        <f>'Karner 2001'!L52</f>
        <v>2620</v>
      </c>
      <c r="L126" s="51">
        <f>'Karner 2001'!N52</f>
        <v>5110</v>
      </c>
      <c r="M126" s="63">
        <f>L126/I126</f>
        <v>0.57609921082299886</v>
      </c>
      <c r="N126" s="63">
        <f>K126/L126</f>
        <v>0.51272015655577297</v>
      </c>
      <c r="O126" s="63" t="s">
        <v>926</v>
      </c>
      <c r="P126" s="51" t="s">
        <v>535</v>
      </c>
      <c r="Q126" s="51" t="s">
        <v>263</v>
      </c>
      <c r="R126" s="51" t="s">
        <v>247</v>
      </c>
      <c r="S126" s="51" t="s">
        <v>247</v>
      </c>
      <c r="T126" s="51" t="s">
        <v>924</v>
      </c>
      <c r="U126" s="51" t="s">
        <v>925</v>
      </c>
      <c r="V126" s="51" t="s">
        <v>536</v>
      </c>
    </row>
    <row r="127" spans="1:22">
      <c r="A127" s="20" t="s">
        <v>270</v>
      </c>
      <c r="B127" s="20">
        <f>'Karner 2001'!A61</f>
        <v>93</v>
      </c>
      <c r="C127" s="20">
        <f>'Karner 2001'!C61</f>
        <v>3000</v>
      </c>
      <c r="I127" s="51">
        <f>'Karner 2001'!I61</f>
        <v>7260</v>
      </c>
      <c r="J127" s="51">
        <f>'Karner 2001'!M61</f>
        <v>2900</v>
      </c>
      <c r="K127" s="51">
        <f>'Karner 2001'!L61</f>
        <v>3060</v>
      </c>
      <c r="L127" s="51">
        <f>'Karner 2001'!N61</f>
        <v>5780</v>
      </c>
      <c r="M127" s="63">
        <f>L127/I127</f>
        <v>0.79614325068870528</v>
      </c>
      <c r="N127" s="63">
        <f>K127/L127</f>
        <v>0.52941176470588236</v>
      </c>
      <c r="O127" s="63" t="s">
        <v>926</v>
      </c>
      <c r="P127" s="51" t="s">
        <v>535</v>
      </c>
      <c r="Q127" s="51" t="s">
        <v>263</v>
      </c>
      <c r="R127" s="51" t="s">
        <v>247</v>
      </c>
      <c r="S127" s="51" t="s">
        <v>247</v>
      </c>
      <c r="T127" s="51" t="s">
        <v>924</v>
      </c>
      <c r="U127" s="51" t="s">
        <v>925</v>
      </c>
      <c r="V127" s="51" t="s">
        <v>536</v>
      </c>
    </row>
    <row r="128" spans="1:22">
      <c r="A128" s="20" t="s">
        <v>270</v>
      </c>
      <c r="B128" s="20">
        <f>'Karner 2001'!A70</f>
        <v>94</v>
      </c>
      <c r="C128" s="20">
        <f>'Karner 2001'!C70</f>
        <v>3000</v>
      </c>
      <c r="I128" s="51">
        <f>'Karner 2001'!I70</f>
        <v>8390</v>
      </c>
      <c r="J128" s="51">
        <f>'Karner 2001'!M70</f>
        <v>574</v>
      </c>
      <c r="K128" s="51">
        <f>'Karner 2001'!L70</f>
        <v>1050</v>
      </c>
      <c r="L128" s="51">
        <f>'Karner 2001'!N70</f>
        <v>1580</v>
      </c>
      <c r="M128" s="63">
        <f>L128/I128</f>
        <v>0.18831942789034564</v>
      </c>
      <c r="N128" s="63">
        <f>K128/L128</f>
        <v>0.66455696202531644</v>
      </c>
      <c r="O128" s="63" t="s">
        <v>926</v>
      </c>
      <c r="P128" s="51" t="s">
        <v>535</v>
      </c>
      <c r="Q128" s="51" t="s">
        <v>263</v>
      </c>
      <c r="R128" s="51" t="s">
        <v>247</v>
      </c>
      <c r="S128" s="51" t="s">
        <v>247</v>
      </c>
      <c r="T128" s="51" t="s">
        <v>924</v>
      </c>
      <c r="U128" s="51" t="s">
        <v>925</v>
      </c>
      <c r="V128" s="51" t="s">
        <v>536</v>
      </c>
    </row>
    <row r="129" spans="1:25">
      <c r="A129" s="20" t="s">
        <v>270</v>
      </c>
      <c r="B129" s="20">
        <f>'Karner 2001'!A79</f>
        <v>95</v>
      </c>
      <c r="C129" s="20">
        <f>'Karner 2001'!C79</f>
        <v>3000</v>
      </c>
      <c r="I129" s="51">
        <f>'Karner 2001'!I79</f>
        <v>8480</v>
      </c>
      <c r="J129" s="51">
        <f>'Karner 2001'!M79</f>
        <v>3790</v>
      </c>
      <c r="K129" s="51">
        <f>'Karner 2001'!L79</f>
        <v>2560</v>
      </c>
      <c r="L129" s="51">
        <f>'Karner 2001'!N79</f>
        <v>6290</v>
      </c>
      <c r="M129" s="63">
        <f>L129/I129</f>
        <v>0.74174528301886788</v>
      </c>
      <c r="N129" s="63">
        <f>K129/L129</f>
        <v>0.40699523052464232</v>
      </c>
      <c r="O129" s="63" t="s">
        <v>926</v>
      </c>
      <c r="P129" s="51" t="s">
        <v>535</v>
      </c>
      <c r="Q129" s="51" t="s">
        <v>263</v>
      </c>
      <c r="R129" s="51" t="s">
        <v>247</v>
      </c>
      <c r="S129" s="51" t="s">
        <v>247</v>
      </c>
      <c r="T129" s="51" t="s">
        <v>924</v>
      </c>
      <c r="U129" s="51" t="s">
        <v>925</v>
      </c>
      <c r="V129" s="51" t="s">
        <v>536</v>
      </c>
    </row>
    <row r="130" spans="1:25">
      <c r="A130" s="20" t="s">
        <v>270</v>
      </c>
      <c r="B130" s="20">
        <f>'Karner 2001'!A88</f>
        <v>96</v>
      </c>
      <c r="C130" s="20">
        <f>'Karner 2001'!C88</f>
        <v>3000</v>
      </c>
      <c r="I130" s="51">
        <f>'Karner 2001'!I88</f>
        <v>6440</v>
      </c>
      <c r="J130" s="51">
        <f>'Karner 2001'!M88</f>
        <v>1780</v>
      </c>
      <c r="K130" s="51">
        <f>'Karner 2001'!L88</f>
        <v>3610</v>
      </c>
      <c r="L130" s="51">
        <f>'Karner 2001'!N88</f>
        <v>5220</v>
      </c>
      <c r="M130" s="63">
        <f>L130/I130</f>
        <v>0.81055900621118016</v>
      </c>
      <c r="N130" s="63">
        <f>K130/L130</f>
        <v>0.69157088122605359</v>
      </c>
      <c r="O130" s="63" t="s">
        <v>926</v>
      </c>
      <c r="P130" s="51" t="s">
        <v>535</v>
      </c>
      <c r="Q130" s="51" t="s">
        <v>263</v>
      </c>
      <c r="R130" s="51" t="s">
        <v>247</v>
      </c>
      <c r="S130" s="51" t="s">
        <v>247</v>
      </c>
      <c r="T130" s="51" t="s">
        <v>924</v>
      </c>
      <c r="U130" s="51" t="s">
        <v>925</v>
      </c>
      <c r="V130" s="51" t="s">
        <v>536</v>
      </c>
    </row>
    <row r="131" spans="1:25">
      <c r="A131" s="20" t="s">
        <v>270</v>
      </c>
      <c r="B131" s="20">
        <f>'Karner 2001'!A99</f>
        <v>97</v>
      </c>
      <c r="C131" s="20">
        <f>'Karner 2001'!C99</f>
        <v>3000</v>
      </c>
      <c r="I131" s="51">
        <f>'Karner 2001'!I99</f>
        <v>11300</v>
      </c>
      <c r="J131" s="51">
        <f>'Karner 2001'!M99</f>
        <v>3860</v>
      </c>
      <c r="K131" s="51">
        <f>'Karner 2001'!L99</f>
        <v>5210</v>
      </c>
      <c r="L131" s="51">
        <f>'Karner 2001'!N99</f>
        <v>8940</v>
      </c>
      <c r="M131" s="63">
        <f>L131/I131</f>
        <v>0.79115044247787614</v>
      </c>
      <c r="N131" s="63">
        <f>K131/L131</f>
        <v>0.58277404921700227</v>
      </c>
      <c r="O131" s="63" t="s">
        <v>926</v>
      </c>
      <c r="P131" s="51" t="s">
        <v>535</v>
      </c>
      <c r="Q131" s="51" t="s">
        <v>263</v>
      </c>
      <c r="R131" s="51" t="s">
        <v>247</v>
      </c>
      <c r="S131" s="51" t="s">
        <v>247</v>
      </c>
      <c r="T131" s="51" t="s">
        <v>924</v>
      </c>
      <c r="U131" s="51" t="s">
        <v>925</v>
      </c>
      <c r="V131" s="51" t="s">
        <v>536</v>
      </c>
    </row>
    <row r="132" spans="1:25">
      <c r="A132" s="20" t="s">
        <v>270</v>
      </c>
      <c r="B132" s="20">
        <f>'Karner 2001'!A110</f>
        <v>98</v>
      </c>
      <c r="C132" s="20">
        <f>'Karner 2001'!C110</f>
        <v>3000</v>
      </c>
      <c r="O132" s="63" t="s">
        <v>926</v>
      </c>
      <c r="P132" s="51" t="s">
        <v>535</v>
      </c>
      <c r="Q132" s="51" t="s">
        <v>263</v>
      </c>
      <c r="R132" s="51" t="s">
        <v>247</v>
      </c>
      <c r="S132" s="51" t="s">
        <v>247</v>
      </c>
      <c r="T132" s="51" t="s">
        <v>924</v>
      </c>
      <c r="U132" s="51" t="s">
        <v>925</v>
      </c>
      <c r="V132" s="51" t="s">
        <v>536</v>
      </c>
    </row>
    <row r="133" spans="1:25">
      <c r="A133" s="20" t="s">
        <v>270</v>
      </c>
      <c r="B133" s="20">
        <f>'Karner 2001'!A121</f>
        <v>99</v>
      </c>
      <c r="C133" s="20">
        <f>'Karner 2001'!C121</f>
        <v>3000</v>
      </c>
      <c r="I133" s="51">
        <f>'Karner 2001'!I121</f>
        <v>12600</v>
      </c>
      <c r="J133" s="51">
        <f>'Karner 2001'!M121</f>
        <v>5320</v>
      </c>
      <c r="K133" s="51">
        <f>'Karner 2001'!L121</f>
        <v>5130</v>
      </c>
      <c r="L133" s="51">
        <f>'Karner 2001'!N121</f>
        <v>10200</v>
      </c>
      <c r="M133" s="63">
        <f>L133/I133</f>
        <v>0.80952380952380953</v>
      </c>
      <c r="N133" s="63">
        <f>K133/L133</f>
        <v>0.50294117647058822</v>
      </c>
      <c r="O133" s="63" t="s">
        <v>926</v>
      </c>
      <c r="P133" s="51" t="s">
        <v>535</v>
      </c>
      <c r="Q133" s="51" t="s">
        <v>263</v>
      </c>
      <c r="R133" s="51" t="s">
        <v>247</v>
      </c>
      <c r="S133" s="51" t="s">
        <v>247</v>
      </c>
      <c r="T133" s="51" t="s">
        <v>924</v>
      </c>
      <c r="U133" s="51" t="s">
        <v>925</v>
      </c>
      <c r="V133" s="51" t="s">
        <v>536</v>
      </c>
    </row>
    <row r="134" spans="1:25">
      <c r="A134" s="20" t="s">
        <v>270</v>
      </c>
      <c r="B134" s="20">
        <f>'Karner 2001'!A132</f>
        <v>100</v>
      </c>
      <c r="C134" s="20">
        <f>'Karner 2001'!C132</f>
        <v>3000</v>
      </c>
      <c r="I134" s="51">
        <f>'Karner 2001'!I132</f>
        <v>13500</v>
      </c>
      <c r="J134" s="51">
        <f>'Karner 2001'!M132</f>
        <v>6600</v>
      </c>
      <c r="K134" s="51">
        <f>'Karner 2001'!L132</f>
        <v>5560</v>
      </c>
      <c r="L134" s="51">
        <f>'Karner 2001'!N132</f>
        <v>11900</v>
      </c>
      <c r="M134" s="63">
        <f>L134/I134</f>
        <v>0.88148148148148153</v>
      </c>
      <c r="N134" s="63">
        <f>K134/L134</f>
        <v>0.46722689075630253</v>
      </c>
      <c r="O134" s="63" t="s">
        <v>926</v>
      </c>
      <c r="P134" s="51" t="s">
        <v>535</v>
      </c>
      <c r="Q134" s="51" t="s">
        <v>263</v>
      </c>
      <c r="R134" s="51" t="s">
        <v>247</v>
      </c>
      <c r="S134" s="51" t="s">
        <v>247</v>
      </c>
      <c r="T134" s="51" t="s">
        <v>924</v>
      </c>
      <c r="U134" s="51" t="s">
        <v>925</v>
      </c>
      <c r="V134" s="51" t="s">
        <v>536</v>
      </c>
    </row>
    <row r="135" spans="1:25">
      <c r="A135" s="20" t="s">
        <v>270</v>
      </c>
      <c r="B135" s="20">
        <f>'Karner 2001'!A44</f>
        <v>91</v>
      </c>
      <c r="C135" s="20">
        <f>'Karner 2001'!C44</f>
        <v>4750</v>
      </c>
      <c r="I135" s="51">
        <f>'Karner 2001'!I44</f>
        <v>7710</v>
      </c>
      <c r="J135" s="51">
        <f>'Karner 2001'!M44</f>
        <v>1730</v>
      </c>
      <c r="K135" s="51">
        <f>'Karner 2001'!L44</f>
        <v>3620</v>
      </c>
      <c r="L135" s="51">
        <f>'Karner 2001'!N44</f>
        <v>5190</v>
      </c>
      <c r="M135" s="63">
        <f>L135/I135</f>
        <v>0.6731517509727627</v>
      </c>
      <c r="N135" s="63">
        <f>K135/L135</f>
        <v>0.69749518304431601</v>
      </c>
      <c r="O135" s="63" t="s">
        <v>926</v>
      </c>
      <c r="P135" s="51" t="s">
        <v>535</v>
      </c>
      <c r="Q135" s="51" t="s">
        <v>263</v>
      </c>
      <c r="R135" s="51" t="s">
        <v>247</v>
      </c>
      <c r="S135" s="51" t="s">
        <v>247</v>
      </c>
      <c r="T135" s="51" t="s">
        <v>924</v>
      </c>
      <c r="U135" s="51" t="s">
        <v>925</v>
      </c>
      <c r="V135" s="51" t="s">
        <v>536</v>
      </c>
    </row>
    <row r="136" spans="1:25">
      <c r="A136" s="20" t="s">
        <v>270</v>
      </c>
      <c r="B136" s="20">
        <f>'Karner 2001'!A53</f>
        <v>92</v>
      </c>
      <c r="C136" s="20">
        <f>'Karner 2001'!C53</f>
        <v>4750</v>
      </c>
      <c r="I136" s="51">
        <f>'Karner 2001'!I53</f>
        <v>8110</v>
      </c>
      <c r="J136" s="51">
        <f>'Karner 2001'!M53</f>
        <v>3510</v>
      </c>
      <c r="K136" s="51">
        <f>'Karner 2001'!L53</f>
        <v>2950</v>
      </c>
      <c r="L136" s="51">
        <f>'Karner 2001'!N53</f>
        <v>6300</v>
      </c>
      <c r="M136" s="63">
        <f>L136/I136</f>
        <v>0.77681874229346481</v>
      </c>
      <c r="N136" s="63">
        <f>K136/L136</f>
        <v>0.46825396825396826</v>
      </c>
      <c r="O136" s="63" t="s">
        <v>926</v>
      </c>
      <c r="P136" s="51" t="s">
        <v>535</v>
      </c>
      <c r="Q136" s="51" t="s">
        <v>263</v>
      </c>
      <c r="R136" s="51" t="s">
        <v>247</v>
      </c>
      <c r="S136" s="51" t="s">
        <v>247</v>
      </c>
      <c r="T136" s="51" t="s">
        <v>924</v>
      </c>
      <c r="U136" s="51" t="s">
        <v>925</v>
      </c>
      <c r="V136" s="51" t="s">
        <v>536</v>
      </c>
    </row>
    <row r="137" spans="1:25">
      <c r="A137" s="20" t="s">
        <v>270</v>
      </c>
      <c r="B137" s="20">
        <f>'Karner 2001'!A62</f>
        <v>93</v>
      </c>
      <c r="C137" s="20">
        <f>'Karner 2001'!C62</f>
        <v>4750</v>
      </c>
      <c r="I137" s="51">
        <f>'Karner 2001'!I62</f>
        <v>6520</v>
      </c>
      <c r="J137" s="51">
        <f>'Karner 2001'!M62</f>
        <v>3600</v>
      </c>
      <c r="K137" s="51">
        <f>'Karner 2001'!L62</f>
        <v>3780</v>
      </c>
      <c r="L137" s="51">
        <f>'Karner 2001'!N62</f>
        <v>7270</v>
      </c>
      <c r="M137" s="63">
        <f>L137/I137</f>
        <v>1.1150306748466257</v>
      </c>
      <c r="N137" s="63">
        <f>K137/L137</f>
        <v>0.51994497936726269</v>
      </c>
      <c r="O137" s="63" t="s">
        <v>926</v>
      </c>
      <c r="P137" s="51" t="s">
        <v>535</v>
      </c>
      <c r="Q137" s="51" t="s">
        <v>263</v>
      </c>
      <c r="R137" s="51" t="s">
        <v>247</v>
      </c>
      <c r="S137" s="51" t="s">
        <v>247</v>
      </c>
      <c r="T137" s="51" t="s">
        <v>924</v>
      </c>
      <c r="U137" s="51" t="s">
        <v>925</v>
      </c>
      <c r="V137" s="51" t="s">
        <v>536</v>
      </c>
    </row>
    <row r="138" spans="1:25">
      <c r="A138" s="20" t="s">
        <v>270</v>
      </c>
      <c r="B138" s="20">
        <f>'Karner 2001'!A71</f>
        <v>94</v>
      </c>
      <c r="C138" s="20">
        <f>'Karner 2001'!C71</f>
        <v>4750</v>
      </c>
      <c r="I138" s="51">
        <f>'Karner 2001'!I71</f>
        <v>8620</v>
      </c>
      <c r="J138" s="51">
        <f>'Karner 2001'!M71</f>
        <v>2780</v>
      </c>
      <c r="K138" s="51">
        <f>'Karner 2001'!L71</f>
        <v>2110</v>
      </c>
      <c r="L138" s="51">
        <f>'Karner 2001'!N71</f>
        <v>4600</v>
      </c>
      <c r="M138" s="63">
        <f>L138/I138</f>
        <v>0.53364269141531318</v>
      </c>
      <c r="N138" s="63">
        <f>K138/L138</f>
        <v>0.45869565217391306</v>
      </c>
      <c r="O138" s="63" t="s">
        <v>926</v>
      </c>
      <c r="P138" s="51" t="s">
        <v>535</v>
      </c>
      <c r="Q138" s="51" t="s">
        <v>263</v>
      </c>
      <c r="R138" s="51" t="s">
        <v>247</v>
      </c>
      <c r="S138" s="51" t="s">
        <v>247</v>
      </c>
      <c r="T138" s="51" t="s">
        <v>924</v>
      </c>
      <c r="U138" s="51" t="s">
        <v>925</v>
      </c>
      <c r="V138" s="51" t="s">
        <v>536</v>
      </c>
    </row>
    <row r="139" spans="1:25">
      <c r="A139" s="20" t="s">
        <v>270</v>
      </c>
      <c r="B139" s="20">
        <f>'Karner 2001'!A80</f>
        <v>95</v>
      </c>
      <c r="C139" s="20">
        <f>'Karner 2001'!C80</f>
        <v>4750</v>
      </c>
      <c r="I139" s="51">
        <f>'Karner 2001'!I80</f>
        <v>10600</v>
      </c>
      <c r="J139" s="51">
        <f>'Karner 2001'!M80</f>
        <v>5250</v>
      </c>
      <c r="K139" s="51">
        <f>'Karner 2001'!L80</f>
        <v>2570</v>
      </c>
      <c r="L139" s="51">
        <f>'Karner 2001'!N80</f>
        <v>7580</v>
      </c>
      <c r="M139" s="63">
        <f>L139/I139</f>
        <v>0.71509433962264146</v>
      </c>
      <c r="N139" s="63">
        <f>K139/L139</f>
        <v>0.33905013192612138</v>
      </c>
      <c r="O139" s="63" t="s">
        <v>926</v>
      </c>
      <c r="P139" s="51" t="s">
        <v>535</v>
      </c>
      <c r="Q139" s="51" t="s">
        <v>263</v>
      </c>
      <c r="R139" s="51" t="s">
        <v>247</v>
      </c>
      <c r="S139" s="51" t="s">
        <v>247</v>
      </c>
      <c r="T139" s="51" t="s">
        <v>924</v>
      </c>
      <c r="U139" s="51" t="s">
        <v>925</v>
      </c>
      <c r="V139" s="51" t="s">
        <v>536</v>
      </c>
    </row>
    <row r="140" spans="1:25">
      <c r="A140" s="20" t="s">
        <v>270</v>
      </c>
      <c r="B140" s="20">
        <f>'Karner 2001'!A89</f>
        <v>96</v>
      </c>
      <c r="C140" s="20">
        <f>'Karner 2001'!C89</f>
        <v>4750</v>
      </c>
      <c r="I140" s="51">
        <f>'Karner 2001'!I89</f>
        <v>4790</v>
      </c>
      <c r="J140" s="51">
        <f>'Karner 2001'!M89</f>
        <v>1110</v>
      </c>
      <c r="K140" s="51">
        <f>'Karner 2001'!L89</f>
        <v>2530</v>
      </c>
      <c r="L140" s="51">
        <f>'Karner 2001'!N89</f>
        <v>3430</v>
      </c>
      <c r="M140" s="63">
        <f>L140/I140</f>
        <v>0.71607515657620047</v>
      </c>
      <c r="N140" s="63">
        <f>K140/L140</f>
        <v>0.73760932944606417</v>
      </c>
      <c r="O140" s="63" t="s">
        <v>926</v>
      </c>
      <c r="P140" s="51" t="s">
        <v>535</v>
      </c>
      <c r="Q140" s="51" t="s">
        <v>263</v>
      </c>
      <c r="R140" s="51" t="s">
        <v>247</v>
      </c>
      <c r="S140" s="51" t="s">
        <v>247</v>
      </c>
      <c r="T140" s="51" t="s">
        <v>924</v>
      </c>
      <c r="U140" s="51" t="s">
        <v>925</v>
      </c>
      <c r="V140" s="51" t="s">
        <v>536</v>
      </c>
    </row>
    <row r="141" spans="1:25">
      <c r="A141" s="20" t="s">
        <v>270</v>
      </c>
      <c r="B141" s="20">
        <f>'Karner 2001'!A100</f>
        <v>97</v>
      </c>
      <c r="C141" s="20">
        <f>'Karner 2001'!C100</f>
        <v>4750</v>
      </c>
      <c r="I141" s="51">
        <f>'Karner 2001'!I100</f>
        <v>7030</v>
      </c>
      <c r="J141" s="51">
        <f>'Karner 2001'!M100</f>
        <v>3190</v>
      </c>
      <c r="K141" s="51">
        <f>'Karner 2001'!L100</f>
        <v>3610</v>
      </c>
      <c r="L141" s="51">
        <f>'Karner 2001'!N100</f>
        <v>6570</v>
      </c>
      <c r="M141" s="63">
        <f>L141/I141</f>
        <v>0.93456614509246083</v>
      </c>
      <c r="N141" s="63">
        <f>K141/L141</f>
        <v>0.54946727549467278</v>
      </c>
      <c r="O141" s="63" t="s">
        <v>926</v>
      </c>
      <c r="P141" s="51" t="s">
        <v>535</v>
      </c>
      <c r="Q141" s="51" t="s">
        <v>263</v>
      </c>
      <c r="R141" s="51" t="s">
        <v>247</v>
      </c>
      <c r="S141" s="51" t="s">
        <v>247</v>
      </c>
      <c r="T141" s="51" t="s">
        <v>924</v>
      </c>
      <c r="U141" s="51" t="s">
        <v>925</v>
      </c>
      <c r="V141" s="51" t="s">
        <v>536</v>
      </c>
    </row>
    <row r="142" spans="1:25">
      <c r="A142" s="20" t="s">
        <v>270</v>
      </c>
      <c r="B142" s="20">
        <f>'Karner 2001'!A111</f>
        <v>98</v>
      </c>
      <c r="C142" s="20">
        <f>'Karner 2001'!C111</f>
        <v>4750</v>
      </c>
      <c r="O142" s="63" t="s">
        <v>926</v>
      </c>
      <c r="P142" s="51" t="s">
        <v>535</v>
      </c>
      <c r="Q142" s="51" t="s">
        <v>263</v>
      </c>
      <c r="R142" s="51" t="s">
        <v>247</v>
      </c>
      <c r="S142" s="51" t="s">
        <v>247</v>
      </c>
      <c r="T142" s="51" t="s">
        <v>924</v>
      </c>
      <c r="U142" s="51" t="s">
        <v>925</v>
      </c>
      <c r="V142" s="51" t="s">
        <v>536</v>
      </c>
    </row>
    <row r="143" spans="1:25">
      <c r="A143" s="20" t="s">
        <v>270</v>
      </c>
      <c r="B143" s="20">
        <f>'Karner 2001'!A122</f>
        <v>99</v>
      </c>
      <c r="C143" s="20">
        <f>'Karner 2001'!C122</f>
        <v>4750</v>
      </c>
      <c r="I143" s="51">
        <f>'Karner 2001'!I122</f>
        <v>22100</v>
      </c>
      <c r="J143" s="51">
        <f>'Karner 2001'!M122</f>
        <v>13500</v>
      </c>
      <c r="K143" s="51">
        <f>'Karner 2001'!L122</f>
        <v>10600</v>
      </c>
      <c r="L143" s="51">
        <f>'Karner 2001'!N122</f>
        <v>23600</v>
      </c>
      <c r="M143" s="63">
        <f>L143/I143</f>
        <v>1.0678733031674208</v>
      </c>
      <c r="N143" s="63">
        <f>K143/L143</f>
        <v>0.44915254237288138</v>
      </c>
      <c r="O143" s="63" t="s">
        <v>926</v>
      </c>
      <c r="P143" s="51" t="s">
        <v>535</v>
      </c>
      <c r="Q143" s="51" t="s">
        <v>263</v>
      </c>
      <c r="R143" s="51" t="s">
        <v>247</v>
      </c>
      <c r="S143" s="51" t="s">
        <v>247</v>
      </c>
      <c r="T143" s="51" t="s">
        <v>924</v>
      </c>
      <c r="U143" s="51" t="s">
        <v>925</v>
      </c>
      <c r="V143" s="51" t="s">
        <v>536</v>
      </c>
    </row>
    <row r="144" spans="1:25">
      <c r="A144" s="20" t="s">
        <v>270</v>
      </c>
      <c r="B144" s="20">
        <f>'Karner 2001'!A133</f>
        <v>100</v>
      </c>
      <c r="C144" s="20">
        <f>'Karner 2001'!C133</f>
        <v>4750</v>
      </c>
      <c r="I144" s="51">
        <f>'Karner 2001'!I133</f>
        <v>16300</v>
      </c>
      <c r="J144" s="51">
        <f>'Karner 2001'!M133</f>
        <v>7070</v>
      </c>
      <c r="K144" s="51">
        <f>'Karner 2001'!L133</f>
        <v>7760</v>
      </c>
      <c r="L144" s="51">
        <f>'Karner 2001'!N133</f>
        <v>14600</v>
      </c>
      <c r="M144" s="63">
        <f>L144/I144</f>
        <v>0.89570552147239269</v>
      </c>
      <c r="N144" s="63">
        <f>K144/L144</f>
        <v>0.53150684931506853</v>
      </c>
      <c r="O144" s="63" t="s">
        <v>926</v>
      </c>
      <c r="P144" s="51" t="s">
        <v>535</v>
      </c>
      <c r="Q144" s="51" t="s">
        <v>263</v>
      </c>
      <c r="R144" s="51" t="s">
        <v>247</v>
      </c>
      <c r="S144" s="51" t="s">
        <v>247</v>
      </c>
      <c r="T144" s="51" t="s">
        <v>924</v>
      </c>
      <c r="U144" s="51" t="s">
        <v>925</v>
      </c>
      <c r="V144" s="51" t="s">
        <v>536</v>
      </c>
      <c r="X144" s="51" t="s">
        <v>929</v>
      </c>
      <c r="Y144" s="51" t="s">
        <v>930</v>
      </c>
    </row>
    <row r="145" spans="1:25">
      <c r="A145" s="20" t="s">
        <v>660</v>
      </c>
      <c r="B145" s="20" t="s">
        <v>889</v>
      </c>
      <c r="C145" s="20">
        <f>'Al Ali 2009'!A5</f>
        <v>25</v>
      </c>
      <c r="I145" s="51">
        <f>'Al Ali 2009'!E5</f>
        <v>1006814.06356577</v>
      </c>
      <c r="J145" s="51">
        <f>'Al Ali 2009'!F5</f>
        <v>748643.60595620936</v>
      </c>
      <c r="K145" s="51">
        <f>'Al Ali 2009'!G5</f>
        <v>91732.680492772037</v>
      </c>
      <c r="L145" s="51">
        <f>J145+K145</f>
        <v>840376.28644898138</v>
      </c>
      <c r="M145" s="63">
        <f>L145/I145</f>
        <v>0.83468866482920745</v>
      </c>
      <c r="N145" s="63">
        <f>K145/L145</f>
        <v>0.10915667418507181</v>
      </c>
      <c r="O145" s="63" t="s">
        <v>396</v>
      </c>
      <c r="P145" s="51" t="s">
        <v>535</v>
      </c>
      <c r="Q145" s="51" t="s">
        <v>534</v>
      </c>
      <c r="R145" s="51" t="s">
        <v>537</v>
      </c>
      <c r="S145" s="51" t="s">
        <v>538</v>
      </c>
      <c r="T145" s="20" t="s">
        <v>887</v>
      </c>
      <c r="U145" s="20" t="s">
        <v>888</v>
      </c>
      <c r="V145" s="51" t="s">
        <v>536</v>
      </c>
      <c r="X145" s="31">
        <f>AVERAGE(M145:M630)</f>
        <v>0.67211848830242327</v>
      </c>
      <c r="Y145" s="31">
        <f>STDEV(M145:M630)</f>
        <v>0.24790054042910217</v>
      </c>
    </row>
    <row r="146" spans="1:25">
      <c r="A146" s="20" t="s">
        <v>660</v>
      </c>
      <c r="B146" s="20" t="s">
        <v>889</v>
      </c>
      <c r="C146" s="20">
        <f>'Al Ali 2009'!A6</f>
        <v>100</v>
      </c>
      <c r="I146" s="51">
        <f>'Al Ali 2009'!E6</f>
        <v>705236.97645737499</v>
      </c>
      <c r="J146" s="51">
        <f>'Al Ali 2009'!F6</f>
        <v>434866.52855608345</v>
      </c>
      <c r="K146" s="51">
        <f>'Al Ali 2009'!G6</f>
        <v>112726.9035242024</v>
      </c>
      <c r="L146" s="51">
        <f>J146+K146</f>
        <v>547593.43208028586</v>
      </c>
      <c r="M146" s="63">
        <f>L146/I146</f>
        <v>0.77646727321505216</v>
      </c>
      <c r="N146" s="63">
        <f>K146/L146</f>
        <v>0.20585875746529197</v>
      </c>
      <c r="O146" s="63" t="s">
        <v>396</v>
      </c>
      <c r="P146" s="51" t="s">
        <v>535</v>
      </c>
      <c r="Q146" s="51" t="s">
        <v>534</v>
      </c>
      <c r="R146" s="51" t="s">
        <v>537</v>
      </c>
      <c r="S146" s="51" t="s">
        <v>538</v>
      </c>
      <c r="T146" s="20" t="s">
        <v>887</v>
      </c>
      <c r="U146" s="20" t="s">
        <v>888</v>
      </c>
      <c r="V146" s="51" t="s">
        <v>536</v>
      </c>
      <c r="Y146" s="51"/>
    </row>
    <row r="147" spans="1:25">
      <c r="A147" s="20" t="s">
        <v>660</v>
      </c>
      <c r="B147" s="20" t="s">
        <v>889</v>
      </c>
      <c r="C147" s="20">
        <f>'Al Ali 2009'!A7</f>
        <v>500</v>
      </c>
      <c r="I147" s="51">
        <f>'Al Ali 2009'!E7</f>
        <v>102463.122067506</v>
      </c>
      <c r="J147" s="51">
        <f>'Al Ali 2009'!F7</f>
        <v>53193.071682904207</v>
      </c>
      <c r="K147" s="51">
        <f>'Al Ali 2009'!G7</f>
        <v>27834.910029861145</v>
      </c>
      <c r="L147" s="51">
        <f>J147+K147</f>
        <v>81027.981712765351</v>
      </c>
      <c r="M147" s="63">
        <f>L147/I147</f>
        <v>0.7908014130135671</v>
      </c>
      <c r="N147" s="63">
        <f>K147/L147</f>
        <v>0.34352219370997811</v>
      </c>
      <c r="O147" s="63" t="s">
        <v>396</v>
      </c>
      <c r="P147" s="51" t="s">
        <v>535</v>
      </c>
      <c r="Q147" s="51" t="s">
        <v>534</v>
      </c>
      <c r="R147" s="51" t="s">
        <v>537</v>
      </c>
      <c r="S147" s="51" t="s">
        <v>538</v>
      </c>
      <c r="T147" s="20" t="s">
        <v>887</v>
      </c>
      <c r="U147" s="20" t="s">
        <v>888</v>
      </c>
      <c r="V147" s="51" t="s">
        <v>536</v>
      </c>
      <c r="X147" s="20" t="s">
        <v>931</v>
      </c>
      <c r="Y147" s="51"/>
    </row>
    <row r="148" spans="1:25">
      <c r="A148" s="20" t="s">
        <v>660</v>
      </c>
      <c r="B148" s="20" t="s">
        <v>889</v>
      </c>
      <c r="C148" s="20">
        <f>'Al Ali 2009'!A8</f>
        <v>1000</v>
      </c>
      <c r="I148" s="51">
        <f>'Al Ali 2009'!E8</f>
        <v>69325.69019091739</v>
      </c>
      <c r="J148" s="51">
        <f>'Al Ali 2009'!F8</f>
        <v>33161.079514496749</v>
      </c>
      <c r="K148" s="51">
        <f>'Al Ali 2009'!G8</f>
        <v>20777.141545957231</v>
      </c>
      <c r="L148" s="51">
        <f>J148+K148</f>
        <v>53938.22106045398</v>
      </c>
      <c r="M148" s="63">
        <f>L148/I148</f>
        <v>0.77804088083237899</v>
      </c>
      <c r="N148" s="63">
        <f>K148/L148</f>
        <v>0.38520257319332429</v>
      </c>
      <c r="O148" s="63" t="s">
        <v>396</v>
      </c>
      <c r="P148" s="51" t="s">
        <v>535</v>
      </c>
      <c r="Q148" s="51" t="s">
        <v>534</v>
      </c>
      <c r="R148" s="51" t="s">
        <v>537</v>
      </c>
      <c r="S148" s="51" t="s">
        <v>538</v>
      </c>
      <c r="T148" s="20" t="s">
        <v>887</v>
      </c>
      <c r="U148" s="20" t="s">
        <v>888</v>
      </c>
      <c r="V148" s="51" t="s">
        <v>536</v>
      </c>
      <c r="X148" s="31">
        <f>AVERAGE(M631:M1046)</f>
        <v>0.69448832152147411</v>
      </c>
      <c r="Y148" s="31">
        <f>STDEV(M631:M1046)</f>
        <v>0.11302419549030666</v>
      </c>
    </row>
    <row r="149" spans="1:25">
      <c r="A149" s="20" t="s">
        <v>660</v>
      </c>
      <c r="B149" s="20" t="s">
        <v>889</v>
      </c>
      <c r="C149" s="20">
        <f>'Al Ali 2009'!A9</f>
        <v>1800</v>
      </c>
      <c r="I149" s="51">
        <f>'Al Ali 2009'!E9</f>
        <v>63786.2492335032</v>
      </c>
      <c r="J149" s="51">
        <f>'Al Ali 2009'!F9</f>
        <v>26317.852958306852</v>
      </c>
      <c r="K149" s="51">
        <f>'Al Ali 2009'!G9</f>
        <v>20321.32706787693</v>
      </c>
      <c r="L149" s="51">
        <f>J149+K149</f>
        <v>46639.180026183778</v>
      </c>
      <c r="M149" s="63">
        <f>L149/I149</f>
        <v>0.73117922101754396</v>
      </c>
      <c r="N149" s="63">
        <f>K149/L149</f>
        <v>0.43571364368902499</v>
      </c>
      <c r="O149" s="63" t="s">
        <v>396</v>
      </c>
      <c r="P149" s="51" t="s">
        <v>535</v>
      </c>
      <c r="Q149" s="51" t="s">
        <v>534</v>
      </c>
      <c r="R149" s="51" t="s">
        <v>537</v>
      </c>
      <c r="S149" s="51" t="s">
        <v>538</v>
      </c>
      <c r="T149" s="20" t="s">
        <v>887</v>
      </c>
      <c r="U149" s="20" t="s">
        <v>888</v>
      </c>
      <c r="V149" s="51" t="s">
        <v>536</v>
      </c>
    </row>
    <row r="150" spans="1:25">
      <c r="A150" s="20" t="s">
        <v>660</v>
      </c>
      <c r="B150" s="20" t="s">
        <v>889</v>
      </c>
      <c r="C150" s="20">
        <f>'Al Ali 2009'!A10</f>
        <v>2000</v>
      </c>
      <c r="I150" s="51">
        <f>'Al Ali 2009'!E10</f>
        <v>57320.812175745203</v>
      </c>
      <c r="J150" s="51">
        <f>'Al Ali 2009'!F10</f>
        <v>21571.106647496996</v>
      </c>
      <c r="K150" s="51">
        <f>'Al Ali 2009'!G10</f>
        <v>21422.260944212703</v>
      </c>
      <c r="L150" s="51">
        <f>J150+K150</f>
        <v>42993.367591709699</v>
      </c>
      <c r="M150" s="63">
        <f>L150/I150</f>
        <v>0.75004812318241998</v>
      </c>
      <c r="N150" s="63">
        <f>K150/L150</f>
        <v>0.49826896901054812</v>
      </c>
      <c r="O150" s="63" t="s">
        <v>396</v>
      </c>
      <c r="P150" s="51" t="s">
        <v>535</v>
      </c>
      <c r="Q150" s="51" t="s">
        <v>534</v>
      </c>
      <c r="R150" s="51" t="s">
        <v>537</v>
      </c>
      <c r="S150" s="51" t="s">
        <v>538</v>
      </c>
      <c r="T150" s="20" t="s">
        <v>887</v>
      </c>
      <c r="U150" s="20" t="s">
        <v>888</v>
      </c>
      <c r="V150" s="51" t="s">
        <v>536</v>
      </c>
    </row>
    <row r="151" spans="1:25">
      <c r="A151" s="20" t="s">
        <v>660</v>
      </c>
      <c r="B151" s="20" t="s">
        <v>889</v>
      </c>
      <c r="C151" s="20">
        <f>'Al Ali 2009'!A11</f>
        <v>2200</v>
      </c>
      <c r="I151" s="51">
        <f>'Al Ali 2009'!E11</f>
        <v>37287.878683486299</v>
      </c>
      <c r="J151" s="51">
        <f>'Al Ali 2009'!F11</f>
        <v>13440.542669034938</v>
      </c>
      <c r="K151" s="51">
        <f>'Al Ali 2009'!G11</f>
        <v>14131.854646562639</v>
      </c>
      <c r="L151" s="51">
        <f>J151+K151</f>
        <v>27572.397315597576</v>
      </c>
      <c r="M151" s="63">
        <f>L151/I151</f>
        <v>0.73944665905085605</v>
      </c>
      <c r="N151" s="63">
        <f>K151/L151</f>
        <v>0.51253630523336158</v>
      </c>
      <c r="O151" s="63" t="s">
        <v>396</v>
      </c>
      <c r="P151" s="51" t="s">
        <v>535</v>
      </c>
      <c r="Q151" s="51" t="s">
        <v>534</v>
      </c>
      <c r="R151" s="51" t="s">
        <v>537</v>
      </c>
      <c r="S151" s="51" t="s">
        <v>538</v>
      </c>
      <c r="T151" s="20" t="s">
        <v>887</v>
      </c>
      <c r="U151" s="20" t="s">
        <v>888</v>
      </c>
      <c r="V151" s="51" t="s">
        <v>536</v>
      </c>
    </row>
    <row r="152" spans="1:25">
      <c r="A152" s="20" t="s">
        <v>260</v>
      </c>
      <c r="B152" s="20" t="str">
        <f>'Bouvier 2002'!A28</f>
        <v>Choptank River estuary</v>
      </c>
      <c r="C152" s="20">
        <f>'Bouvier 2002'!F28</f>
        <v>0</v>
      </c>
      <c r="M152" s="63">
        <f>'Bouvier 2002'!G28</f>
        <v>4.8738730836246004E-2</v>
      </c>
      <c r="O152" s="63" t="s">
        <v>262</v>
      </c>
      <c r="P152" s="51" t="s">
        <v>535</v>
      </c>
      <c r="Q152" s="51" t="s">
        <v>263</v>
      </c>
      <c r="R152" s="51" t="s">
        <v>247</v>
      </c>
      <c r="S152" s="51" t="s">
        <v>247</v>
      </c>
      <c r="T152" s="51" t="s">
        <v>412</v>
      </c>
      <c r="U152" s="51" t="s">
        <v>414</v>
      </c>
      <c r="V152" s="51" t="s">
        <v>536</v>
      </c>
    </row>
    <row r="153" spans="1:25">
      <c r="A153" s="20" t="s">
        <v>260</v>
      </c>
      <c r="B153" s="20" t="str">
        <f>'Bouvier 2002'!A24</f>
        <v>Choptank River estuary</v>
      </c>
      <c r="C153" s="20">
        <f>'Bouvier 2002'!F24</f>
        <v>0</v>
      </c>
      <c r="M153" s="63">
        <f>'Bouvier 2002'!G24</f>
        <v>5.5644236008694496E-2</v>
      </c>
      <c r="O153" s="63" t="s">
        <v>262</v>
      </c>
      <c r="P153" s="51" t="s">
        <v>535</v>
      </c>
      <c r="Q153" s="51" t="s">
        <v>263</v>
      </c>
      <c r="R153" s="51" t="s">
        <v>247</v>
      </c>
      <c r="S153" s="51" t="s">
        <v>247</v>
      </c>
      <c r="T153" s="51" t="s">
        <v>412</v>
      </c>
      <c r="U153" s="51" t="s">
        <v>414</v>
      </c>
      <c r="V153" s="51" t="s">
        <v>536</v>
      </c>
    </row>
    <row r="154" spans="1:25">
      <c r="A154" s="20" t="s">
        <v>260</v>
      </c>
      <c r="B154" s="20" t="str">
        <f>'Bouvier 2002'!A23</f>
        <v>Choptank River estuary</v>
      </c>
      <c r="C154" s="20">
        <f>'Bouvier 2002'!F23</f>
        <v>0</v>
      </c>
      <c r="M154" s="63">
        <f>'Bouvier 2002'!G23</f>
        <v>5.8540006092587402E-2</v>
      </c>
      <c r="O154" s="63" t="s">
        <v>262</v>
      </c>
      <c r="P154" s="51" t="s">
        <v>535</v>
      </c>
      <c r="Q154" s="51" t="s">
        <v>263</v>
      </c>
      <c r="R154" s="51" t="s">
        <v>247</v>
      </c>
      <c r="S154" s="51" t="s">
        <v>247</v>
      </c>
      <c r="T154" s="51" t="s">
        <v>412</v>
      </c>
      <c r="U154" s="51" t="s">
        <v>414</v>
      </c>
      <c r="V154" s="51" t="s">
        <v>536</v>
      </c>
    </row>
    <row r="155" spans="1:25">
      <c r="A155" s="20" t="s">
        <v>260</v>
      </c>
      <c r="B155" s="20" t="str">
        <f>'Bouvier 2002'!A27</f>
        <v>Choptank River estuary</v>
      </c>
      <c r="C155" s="20">
        <f>'Bouvier 2002'!F27</f>
        <v>0</v>
      </c>
      <c r="M155" s="63">
        <f>'Bouvier 2002'!G27</f>
        <v>5.9127761208737709E-2</v>
      </c>
      <c r="O155" s="63" t="s">
        <v>262</v>
      </c>
      <c r="P155" s="51" t="s">
        <v>535</v>
      </c>
      <c r="Q155" s="51" t="s">
        <v>263</v>
      </c>
      <c r="R155" s="51" t="s">
        <v>247</v>
      </c>
      <c r="S155" s="51" t="s">
        <v>247</v>
      </c>
      <c r="T155" s="51" t="s">
        <v>412</v>
      </c>
      <c r="U155" s="51" t="s">
        <v>414</v>
      </c>
      <c r="V155" s="51" t="s">
        <v>536</v>
      </c>
    </row>
    <row r="156" spans="1:25">
      <c r="A156" s="20" t="s">
        <v>260</v>
      </c>
      <c r="B156" s="20" t="str">
        <f>'Bouvier 2002'!A39</f>
        <v>Choptank River estuary</v>
      </c>
      <c r="C156" s="20">
        <f>'Bouvier 2002'!F39</f>
        <v>0</v>
      </c>
      <c r="M156" s="63">
        <f>'Bouvier 2002'!G39</f>
        <v>6.0846560846560802E-2</v>
      </c>
      <c r="O156" s="63" t="s">
        <v>262</v>
      </c>
      <c r="P156" s="51" t="s">
        <v>535</v>
      </c>
      <c r="Q156" s="51" t="s">
        <v>263</v>
      </c>
      <c r="R156" s="51" t="s">
        <v>247</v>
      </c>
      <c r="S156" s="51" t="s">
        <v>247</v>
      </c>
      <c r="T156" s="51" t="s">
        <v>412</v>
      </c>
      <c r="U156" s="51" t="s">
        <v>414</v>
      </c>
      <c r="V156" s="51" t="s">
        <v>536</v>
      </c>
    </row>
    <row r="157" spans="1:25">
      <c r="A157" s="20" t="s">
        <v>260</v>
      </c>
      <c r="B157" s="20" t="str">
        <f>'Bouvier 2002'!A29</f>
        <v>Choptank River estuary</v>
      </c>
      <c r="C157" s="20">
        <f>'Bouvier 2002'!F29</f>
        <v>0</v>
      </c>
      <c r="M157" s="63">
        <f>'Bouvier 2002'!G29</f>
        <v>6.3533780507371407E-2</v>
      </c>
      <c r="O157" s="63" t="s">
        <v>262</v>
      </c>
      <c r="P157" s="51" t="s">
        <v>535</v>
      </c>
      <c r="Q157" s="51" t="s">
        <v>263</v>
      </c>
      <c r="R157" s="51" t="s">
        <v>247</v>
      </c>
      <c r="S157" s="51" t="s">
        <v>247</v>
      </c>
      <c r="T157" s="51" t="s">
        <v>412</v>
      </c>
      <c r="U157" s="51" t="s">
        <v>414</v>
      </c>
      <c r="V157" s="51" t="s">
        <v>536</v>
      </c>
    </row>
    <row r="158" spans="1:25">
      <c r="A158" s="20" t="s">
        <v>260</v>
      </c>
      <c r="B158" s="20" t="str">
        <f>'Bouvier 2002'!A38</f>
        <v>Choptank River estuary</v>
      </c>
      <c r="C158" s="20">
        <f>'Bouvier 2002'!F38</f>
        <v>0</v>
      </c>
      <c r="M158" s="63">
        <f>'Bouvier 2002'!G38</f>
        <v>7.4074074074074001E-2</v>
      </c>
      <c r="O158" s="63" t="s">
        <v>262</v>
      </c>
      <c r="P158" s="51" t="s">
        <v>535</v>
      </c>
      <c r="Q158" s="51" t="s">
        <v>263</v>
      </c>
      <c r="R158" s="51" t="s">
        <v>247</v>
      </c>
      <c r="S158" s="51" t="s">
        <v>247</v>
      </c>
      <c r="T158" s="51" t="s">
        <v>412</v>
      </c>
      <c r="U158" s="51" t="s">
        <v>414</v>
      </c>
      <c r="V158" s="51" t="s">
        <v>536</v>
      </c>
    </row>
    <row r="159" spans="1:25">
      <c r="A159" s="20" t="s">
        <v>260</v>
      </c>
      <c r="B159" s="20" t="str">
        <f>'Bouvier 2002'!A50</f>
        <v>Choptank River estuary</v>
      </c>
      <c r="C159" s="20">
        <f>'Bouvier 2002'!F50</f>
        <v>0</v>
      </c>
      <c r="M159" s="63">
        <f>'Bouvier 2002'!G50</f>
        <v>8.9947089947089789E-2</v>
      </c>
      <c r="O159" s="63" t="s">
        <v>262</v>
      </c>
      <c r="P159" s="51" t="s">
        <v>535</v>
      </c>
      <c r="Q159" s="51" t="s">
        <v>263</v>
      </c>
      <c r="R159" s="51" t="s">
        <v>247</v>
      </c>
      <c r="S159" s="51" t="s">
        <v>247</v>
      </c>
      <c r="T159" s="51" t="s">
        <v>412</v>
      </c>
      <c r="U159" s="51" t="s">
        <v>414</v>
      </c>
      <c r="V159" s="51" t="s">
        <v>536</v>
      </c>
    </row>
    <row r="160" spans="1:25">
      <c r="A160" s="20" t="s">
        <v>260</v>
      </c>
      <c r="B160" s="20" t="str">
        <f>'Bouvier 2002'!A44</f>
        <v>Choptank River estuary</v>
      </c>
      <c r="C160" s="20">
        <f>'Bouvier 2002'!F44</f>
        <v>0</v>
      </c>
      <c r="M160" s="63">
        <f>'Bouvier 2002'!G44</f>
        <v>0.11640211640211601</v>
      </c>
      <c r="O160" s="63" t="s">
        <v>262</v>
      </c>
      <c r="P160" s="51" t="s">
        <v>535</v>
      </c>
      <c r="Q160" s="51" t="s">
        <v>263</v>
      </c>
      <c r="R160" s="51" t="s">
        <v>247</v>
      </c>
      <c r="S160" s="51" t="s">
        <v>247</v>
      </c>
      <c r="T160" s="51" t="s">
        <v>412</v>
      </c>
      <c r="U160" s="51" t="s">
        <v>414</v>
      </c>
      <c r="V160" s="51" t="s">
        <v>536</v>
      </c>
    </row>
    <row r="161" spans="1:22">
      <c r="A161" s="20" t="s">
        <v>260</v>
      </c>
      <c r="B161" s="20" t="str">
        <f>'Bouvier 2002'!A30</f>
        <v>Choptank River estuary</v>
      </c>
      <c r="C161" s="20">
        <f>'Bouvier 2002'!F30</f>
        <v>0</v>
      </c>
      <c r="M161" s="63">
        <f>'Bouvier 2002'!G30</f>
        <v>0.12250702210932321</v>
      </c>
      <c r="O161" s="63" t="s">
        <v>262</v>
      </c>
      <c r="P161" s="51" t="s">
        <v>535</v>
      </c>
      <c r="Q161" s="51" t="s">
        <v>263</v>
      </c>
      <c r="R161" s="51" t="s">
        <v>247</v>
      </c>
      <c r="S161" s="51" t="s">
        <v>247</v>
      </c>
      <c r="T161" s="51" t="s">
        <v>412</v>
      </c>
      <c r="U161" s="51" t="s">
        <v>414</v>
      </c>
      <c r="V161" s="51" t="s">
        <v>536</v>
      </c>
    </row>
    <row r="162" spans="1:22">
      <c r="A162" s="20" t="s">
        <v>260</v>
      </c>
      <c r="B162" s="20" t="str">
        <f>'Bouvier 2002'!A31</f>
        <v>Choptank River estuary</v>
      </c>
      <c r="C162" s="20">
        <f>'Bouvier 2002'!F31</f>
        <v>0</v>
      </c>
      <c r="M162" s="63">
        <f>'Bouvier 2002'!G31</f>
        <v>0.1358495102853465</v>
      </c>
      <c r="O162" s="63" t="s">
        <v>262</v>
      </c>
      <c r="P162" s="51" t="s">
        <v>535</v>
      </c>
      <c r="Q162" s="51" t="s">
        <v>263</v>
      </c>
      <c r="R162" s="51" t="s">
        <v>247</v>
      </c>
      <c r="S162" s="51" t="s">
        <v>247</v>
      </c>
      <c r="T162" s="51" t="s">
        <v>412</v>
      </c>
      <c r="U162" s="51" t="s">
        <v>414</v>
      </c>
      <c r="V162" s="51" t="s">
        <v>536</v>
      </c>
    </row>
    <row r="163" spans="1:22">
      <c r="A163" s="20" t="s">
        <v>260</v>
      </c>
      <c r="B163" s="20" t="str">
        <f>'Bouvier 2002'!A16</f>
        <v>Choptank River estuary</v>
      </c>
      <c r="C163" s="20">
        <f>'Bouvier 2002'!F16</f>
        <v>0</v>
      </c>
      <c r="M163" s="63">
        <f>'Bouvier 2002'!G16</f>
        <v>0.1645631916096314</v>
      </c>
      <c r="O163" s="63" t="s">
        <v>262</v>
      </c>
      <c r="P163" s="51" t="s">
        <v>535</v>
      </c>
      <c r="Q163" s="51" t="s">
        <v>263</v>
      </c>
      <c r="R163" s="51" t="s">
        <v>247</v>
      </c>
      <c r="S163" s="51" t="s">
        <v>247</v>
      </c>
      <c r="T163" s="51" t="s">
        <v>412</v>
      </c>
      <c r="U163" s="51" t="s">
        <v>414</v>
      </c>
      <c r="V163" s="51" t="s">
        <v>536</v>
      </c>
    </row>
    <row r="164" spans="1:22">
      <c r="A164" s="20" t="s">
        <v>260</v>
      </c>
      <c r="B164" s="20" t="str">
        <f>'Bouvier 2002'!A40</f>
        <v>Choptank River estuary</v>
      </c>
      <c r="C164" s="20">
        <f>'Bouvier 2002'!F40</f>
        <v>0</v>
      </c>
      <c r="M164" s="63">
        <f>'Bouvier 2002'!G40</f>
        <v>0.179894179894179</v>
      </c>
      <c r="O164" s="63" t="s">
        <v>262</v>
      </c>
      <c r="P164" s="51" t="s">
        <v>535</v>
      </c>
      <c r="Q164" s="51" t="s">
        <v>263</v>
      </c>
      <c r="R164" s="51" t="s">
        <v>247</v>
      </c>
      <c r="S164" s="51" t="s">
        <v>247</v>
      </c>
      <c r="T164" s="51" t="s">
        <v>412</v>
      </c>
      <c r="U164" s="51" t="s">
        <v>414</v>
      </c>
      <c r="V164" s="51" t="s">
        <v>536</v>
      </c>
    </row>
    <row r="165" spans="1:22">
      <c r="A165" s="20" t="s">
        <v>260</v>
      </c>
      <c r="B165" s="20" t="str">
        <f>'Bouvier 2002'!A17</f>
        <v>Choptank River estuary</v>
      </c>
      <c r="C165" s="20">
        <f>'Bouvier 2002'!F17</f>
        <v>0</v>
      </c>
      <c r="M165" s="63">
        <f>'Bouvier 2002'!G17</f>
        <v>0.19256664996829909</v>
      </c>
      <c r="O165" s="63" t="s">
        <v>262</v>
      </c>
      <c r="P165" s="51" t="s">
        <v>535</v>
      </c>
      <c r="Q165" s="51" t="s">
        <v>263</v>
      </c>
      <c r="R165" s="51" t="s">
        <v>247</v>
      </c>
      <c r="S165" s="51" t="s">
        <v>247</v>
      </c>
      <c r="T165" s="51" t="s">
        <v>412</v>
      </c>
      <c r="U165" s="51" t="s">
        <v>414</v>
      </c>
      <c r="V165" s="51" t="s">
        <v>536</v>
      </c>
    </row>
    <row r="166" spans="1:22">
      <c r="A166" s="20" t="s">
        <v>260</v>
      </c>
      <c r="B166" s="20" t="str">
        <f>'Bouvier 2002'!A43</f>
        <v>Choptank River estuary</v>
      </c>
      <c r="C166" s="20">
        <f>'Bouvier 2002'!F43</f>
        <v>0</v>
      </c>
      <c r="M166" s="63">
        <f>'Bouvier 2002'!G43</f>
        <v>0.21164021164021102</v>
      </c>
      <c r="O166" s="63" t="s">
        <v>262</v>
      </c>
      <c r="P166" s="51" t="s">
        <v>535</v>
      </c>
      <c r="Q166" s="51" t="s">
        <v>263</v>
      </c>
      <c r="R166" s="51" t="s">
        <v>247</v>
      </c>
      <c r="S166" s="51" t="s">
        <v>247</v>
      </c>
      <c r="T166" s="51" t="s">
        <v>412</v>
      </c>
      <c r="U166" s="51" t="s">
        <v>414</v>
      </c>
      <c r="V166" s="51" t="s">
        <v>536</v>
      </c>
    </row>
    <row r="167" spans="1:22">
      <c r="A167" s="20" t="s">
        <v>260</v>
      </c>
      <c r="B167" s="20" t="str">
        <f>'Bouvier 2002'!A15</f>
        <v>Choptank River estuary</v>
      </c>
      <c r="C167" s="20">
        <f>'Bouvier 2002'!F15</f>
        <v>0</v>
      </c>
      <c r="M167" s="63">
        <f>'Bouvier 2002'!G15</f>
        <v>0.2159198172347051</v>
      </c>
      <c r="O167" s="63" t="s">
        <v>262</v>
      </c>
      <c r="P167" s="51" t="s">
        <v>535</v>
      </c>
      <c r="Q167" s="51" t="s">
        <v>263</v>
      </c>
      <c r="R167" s="51" t="s">
        <v>247</v>
      </c>
      <c r="S167" s="51" t="s">
        <v>247</v>
      </c>
      <c r="T167" s="51" t="s">
        <v>412</v>
      </c>
      <c r="U167" s="51" t="s">
        <v>414</v>
      </c>
      <c r="V167" s="51" t="s">
        <v>536</v>
      </c>
    </row>
    <row r="168" spans="1:22">
      <c r="A168" s="20" t="s">
        <v>260</v>
      </c>
      <c r="B168" s="20" t="str">
        <f>'Bouvier 2002'!A51</f>
        <v>Choptank River estuary</v>
      </c>
      <c r="C168" s="20">
        <f>'Bouvier 2002'!F51</f>
        <v>0</v>
      </c>
      <c r="M168" s="63">
        <f>'Bouvier 2002'!G51</f>
        <v>0.23015873015873001</v>
      </c>
      <c r="O168" s="63" t="s">
        <v>262</v>
      </c>
      <c r="P168" s="51" t="s">
        <v>535</v>
      </c>
      <c r="Q168" s="51" t="s">
        <v>263</v>
      </c>
      <c r="R168" s="51" t="s">
        <v>247</v>
      </c>
      <c r="S168" s="51" t="s">
        <v>247</v>
      </c>
      <c r="T168" s="51" t="s">
        <v>412</v>
      </c>
      <c r="U168" s="51" t="s">
        <v>414</v>
      </c>
      <c r="V168" s="51" t="s">
        <v>536</v>
      </c>
    </row>
    <row r="169" spans="1:22">
      <c r="A169" s="20" t="s">
        <v>260</v>
      </c>
      <c r="B169" s="20" t="str">
        <f>'Bouvier 2002'!A34</f>
        <v>Choptank River estuary</v>
      </c>
      <c r="C169" s="20">
        <f>'Bouvier 2002'!F34</f>
        <v>0</v>
      </c>
      <c r="M169" s="63">
        <f>'Bouvier 2002'!G34</f>
        <v>0.238095238095238</v>
      </c>
      <c r="O169" s="63" t="s">
        <v>262</v>
      </c>
      <c r="P169" s="51" t="s">
        <v>535</v>
      </c>
      <c r="Q169" s="51" t="s">
        <v>263</v>
      </c>
      <c r="R169" s="51" t="s">
        <v>247</v>
      </c>
      <c r="S169" s="51" t="s">
        <v>247</v>
      </c>
      <c r="T169" s="51" t="s">
        <v>412</v>
      </c>
      <c r="U169" s="51" t="s">
        <v>414</v>
      </c>
      <c r="V169" s="51" t="s">
        <v>536</v>
      </c>
    </row>
    <row r="170" spans="1:22">
      <c r="A170" s="20" t="s">
        <v>260</v>
      </c>
      <c r="B170" s="20" t="str">
        <f>'Bouvier 2002'!A26</f>
        <v>Choptank River estuary</v>
      </c>
      <c r="C170" s="20">
        <f>'Bouvier 2002'!F26</f>
        <v>0</v>
      </c>
      <c r="M170" s="63">
        <f>'Bouvier 2002'!G26</f>
        <v>0.24327929820903382</v>
      </c>
      <c r="O170" s="63" t="s">
        <v>262</v>
      </c>
      <c r="P170" s="51" t="s">
        <v>535</v>
      </c>
      <c r="Q170" s="51" t="s">
        <v>263</v>
      </c>
      <c r="R170" s="51" t="s">
        <v>247</v>
      </c>
      <c r="S170" s="51" t="s">
        <v>247</v>
      </c>
      <c r="T170" s="51" t="s">
        <v>412</v>
      </c>
      <c r="U170" s="51" t="s">
        <v>414</v>
      </c>
      <c r="V170" s="51" t="s">
        <v>536</v>
      </c>
    </row>
    <row r="171" spans="1:22">
      <c r="A171" s="20" t="s">
        <v>260</v>
      </c>
      <c r="B171" s="20" t="str">
        <f>'Bouvier 2002'!A53</f>
        <v>Choptank River estuary</v>
      </c>
      <c r="C171" s="20">
        <f>'Bouvier 2002'!F53</f>
        <v>0</v>
      </c>
      <c r="M171" s="63">
        <f>'Bouvier 2002'!G53</f>
        <v>0.272486772486772</v>
      </c>
      <c r="O171" s="63" t="s">
        <v>262</v>
      </c>
      <c r="P171" s="51" t="s">
        <v>535</v>
      </c>
      <c r="Q171" s="51" t="s">
        <v>263</v>
      </c>
      <c r="R171" s="51" t="s">
        <v>247</v>
      </c>
      <c r="S171" s="51" t="s">
        <v>247</v>
      </c>
      <c r="T171" s="51" t="s">
        <v>412</v>
      </c>
      <c r="U171" s="51" t="s">
        <v>414</v>
      </c>
      <c r="V171" s="51" t="s">
        <v>536</v>
      </c>
    </row>
    <row r="172" spans="1:22">
      <c r="A172" s="20" t="s">
        <v>260</v>
      </c>
      <c r="B172" s="20" t="str">
        <f>'Bouvier 2002'!A35</f>
        <v>Choptank River estuary</v>
      </c>
      <c r="C172" s="20">
        <f>'Bouvier 2002'!F35</f>
        <v>0</v>
      </c>
      <c r="M172" s="63">
        <f>'Bouvier 2002'!G35</f>
        <v>0.28306878306878303</v>
      </c>
      <c r="O172" s="63" t="s">
        <v>262</v>
      </c>
      <c r="P172" s="51" t="s">
        <v>535</v>
      </c>
      <c r="Q172" s="51" t="s">
        <v>263</v>
      </c>
      <c r="R172" s="51" t="s">
        <v>247</v>
      </c>
      <c r="S172" s="51" t="s">
        <v>247</v>
      </c>
      <c r="T172" s="51" t="s">
        <v>412</v>
      </c>
      <c r="U172" s="51" t="s">
        <v>414</v>
      </c>
      <c r="V172" s="51" t="s">
        <v>536</v>
      </c>
    </row>
    <row r="173" spans="1:22">
      <c r="A173" s="20" t="s">
        <v>260</v>
      </c>
      <c r="B173" s="20" t="str">
        <f>'Bouvier 2002'!A49</f>
        <v>Choptank River estuary</v>
      </c>
      <c r="C173" s="20">
        <f>'Bouvier 2002'!F49</f>
        <v>0</v>
      </c>
      <c r="M173" s="63">
        <f>'Bouvier 2002'!G49</f>
        <v>0.29100529100529099</v>
      </c>
      <c r="O173" s="63" t="s">
        <v>262</v>
      </c>
      <c r="P173" s="51" t="s">
        <v>535</v>
      </c>
      <c r="Q173" s="51" t="s">
        <v>263</v>
      </c>
      <c r="R173" s="51" t="s">
        <v>247</v>
      </c>
      <c r="S173" s="51" t="s">
        <v>247</v>
      </c>
      <c r="T173" s="51" t="s">
        <v>412</v>
      </c>
      <c r="U173" s="51" t="s">
        <v>414</v>
      </c>
      <c r="V173" s="51" t="s">
        <v>536</v>
      </c>
    </row>
    <row r="174" spans="1:22">
      <c r="A174" s="20" t="s">
        <v>260</v>
      </c>
      <c r="B174" s="20" t="str">
        <f>'Bouvier 2002'!A47</f>
        <v>Choptank River estuary</v>
      </c>
      <c r="C174" s="20">
        <f>'Bouvier 2002'!F47</f>
        <v>0</v>
      </c>
      <c r="M174" s="63">
        <f>'Bouvier 2002'!G47</f>
        <v>0.32804232804232797</v>
      </c>
      <c r="O174" s="63" t="s">
        <v>262</v>
      </c>
      <c r="P174" s="51" t="s">
        <v>535</v>
      </c>
      <c r="Q174" s="51" t="s">
        <v>263</v>
      </c>
      <c r="R174" s="51" t="s">
        <v>247</v>
      </c>
      <c r="S174" s="51" t="s">
        <v>247</v>
      </c>
      <c r="T174" s="51" t="s">
        <v>412</v>
      </c>
      <c r="U174" s="51" t="s">
        <v>414</v>
      </c>
      <c r="V174" s="51" t="s">
        <v>536</v>
      </c>
    </row>
    <row r="175" spans="1:22">
      <c r="A175" s="20" t="s">
        <v>260</v>
      </c>
      <c r="B175" s="20" t="str">
        <f>'Bouvier 2002'!A45</f>
        <v>Choptank River estuary</v>
      </c>
      <c r="C175" s="20">
        <f>'Bouvier 2002'!F45</f>
        <v>0</v>
      </c>
      <c r="M175" s="63">
        <f>'Bouvier 2002'!G45</f>
        <v>0.33068783068782998</v>
      </c>
      <c r="O175" s="63" t="s">
        <v>262</v>
      </c>
      <c r="P175" s="51" t="s">
        <v>535</v>
      </c>
      <c r="Q175" s="51" t="s">
        <v>263</v>
      </c>
      <c r="R175" s="51" t="s">
        <v>247</v>
      </c>
      <c r="S175" s="51" t="s">
        <v>247</v>
      </c>
      <c r="T175" s="51" t="s">
        <v>412</v>
      </c>
      <c r="U175" s="51" t="s">
        <v>414</v>
      </c>
      <c r="V175" s="51" t="s">
        <v>536</v>
      </c>
    </row>
    <row r="176" spans="1:22">
      <c r="A176" s="20" t="s">
        <v>260</v>
      </c>
      <c r="B176" s="20" t="str">
        <f>'Bouvier 2002'!A18</f>
        <v>Choptank River estuary</v>
      </c>
      <c r="C176" s="20">
        <f>'Bouvier 2002'!F18</f>
        <v>0</v>
      </c>
      <c r="M176" s="63">
        <f>'Bouvier 2002'!G18</f>
        <v>0.33596494348451456</v>
      </c>
      <c r="O176" s="63" t="s">
        <v>262</v>
      </c>
      <c r="P176" s="51" t="s">
        <v>535</v>
      </c>
      <c r="Q176" s="51" t="s">
        <v>263</v>
      </c>
      <c r="R176" s="51" t="s">
        <v>247</v>
      </c>
      <c r="S176" s="51" t="s">
        <v>247</v>
      </c>
      <c r="T176" s="51" t="s">
        <v>412</v>
      </c>
      <c r="U176" s="51" t="s">
        <v>414</v>
      </c>
      <c r="V176" s="51" t="s">
        <v>536</v>
      </c>
    </row>
    <row r="177" spans="1:22">
      <c r="A177" s="20" t="s">
        <v>260</v>
      </c>
      <c r="B177" s="20" t="str">
        <f>'Bouvier 2002'!A46</f>
        <v>Choptank River estuary</v>
      </c>
      <c r="C177" s="20">
        <f>'Bouvier 2002'!F46</f>
        <v>0</v>
      </c>
      <c r="M177" s="63">
        <f>'Bouvier 2002'!G46</f>
        <v>0.341269841269841</v>
      </c>
      <c r="O177" s="63" t="s">
        <v>262</v>
      </c>
      <c r="P177" s="51" t="s">
        <v>535</v>
      </c>
      <c r="Q177" s="51" t="s">
        <v>263</v>
      </c>
      <c r="R177" s="51" t="s">
        <v>247</v>
      </c>
      <c r="S177" s="51" t="s">
        <v>247</v>
      </c>
      <c r="T177" s="51" t="s">
        <v>412</v>
      </c>
      <c r="U177" s="51" t="s">
        <v>414</v>
      </c>
      <c r="V177" s="51" t="s">
        <v>536</v>
      </c>
    </row>
    <row r="178" spans="1:22">
      <c r="A178" s="20" t="s">
        <v>260</v>
      </c>
      <c r="B178" s="20" t="str">
        <f>'Bouvier 2002'!A32</f>
        <v>Choptank River estuary</v>
      </c>
      <c r="C178" s="20">
        <f>'Bouvier 2002'!F32</f>
        <v>0</v>
      </c>
      <c r="M178" s="63">
        <f>'Bouvier 2002'!G32</f>
        <v>0.35650166805988648</v>
      </c>
      <c r="O178" s="63" t="s">
        <v>262</v>
      </c>
      <c r="P178" s="51" t="s">
        <v>535</v>
      </c>
      <c r="Q178" s="51" t="s">
        <v>263</v>
      </c>
      <c r="R178" s="51" t="s">
        <v>247</v>
      </c>
      <c r="S178" s="51" t="s">
        <v>247</v>
      </c>
      <c r="T178" s="51" t="s">
        <v>412</v>
      </c>
      <c r="U178" s="51" t="s">
        <v>414</v>
      </c>
      <c r="V178" s="51" t="s">
        <v>536</v>
      </c>
    </row>
    <row r="179" spans="1:22">
      <c r="A179" s="20" t="s">
        <v>260</v>
      </c>
      <c r="B179" s="20" t="str">
        <f>'Bouvier 2002'!A25</f>
        <v>Choptank River estuary</v>
      </c>
      <c r="C179" s="20">
        <f>'Bouvier 2002'!F25</f>
        <v>0</v>
      </c>
      <c r="M179" s="63">
        <f>'Bouvier 2002'!G25</f>
        <v>0.35724585257703789</v>
      </c>
      <c r="O179" s="63" t="s">
        <v>262</v>
      </c>
      <c r="P179" s="51" t="s">
        <v>535</v>
      </c>
      <c r="Q179" s="51" t="s">
        <v>263</v>
      </c>
      <c r="R179" s="51" t="s">
        <v>247</v>
      </c>
      <c r="S179" s="51" t="s">
        <v>247</v>
      </c>
      <c r="T179" s="51" t="s">
        <v>412</v>
      </c>
      <c r="U179" s="51" t="s">
        <v>414</v>
      </c>
      <c r="V179" s="51" t="s">
        <v>536</v>
      </c>
    </row>
    <row r="180" spans="1:22">
      <c r="A180" s="20" t="s">
        <v>260</v>
      </c>
      <c r="B180" s="20" t="str">
        <f>'Bouvier 2002'!A36</f>
        <v>Choptank River estuary</v>
      </c>
      <c r="C180" s="20">
        <f>'Bouvier 2002'!F36</f>
        <v>0</v>
      </c>
      <c r="M180" s="63">
        <f>'Bouvier 2002'!G36</f>
        <v>0.38095238095238004</v>
      </c>
      <c r="O180" s="63" t="s">
        <v>262</v>
      </c>
      <c r="P180" s="51" t="s">
        <v>535</v>
      </c>
      <c r="Q180" s="51" t="s">
        <v>263</v>
      </c>
      <c r="R180" s="51" t="s">
        <v>247</v>
      </c>
      <c r="S180" s="51" t="s">
        <v>247</v>
      </c>
      <c r="T180" s="51" t="s">
        <v>412</v>
      </c>
      <c r="U180" s="51" t="s">
        <v>414</v>
      </c>
      <c r="V180" s="51" t="s">
        <v>536</v>
      </c>
    </row>
    <row r="181" spans="1:22">
      <c r="A181" s="20" t="s">
        <v>260</v>
      </c>
      <c r="B181" s="20" t="str">
        <f>'Bouvier 2002'!A42</f>
        <v>Choptank River estuary</v>
      </c>
      <c r="C181" s="20">
        <f>'Bouvier 2002'!F42</f>
        <v>0</v>
      </c>
      <c r="M181" s="63">
        <f>'Bouvier 2002'!G42</f>
        <v>0.39153439153439101</v>
      </c>
      <c r="O181" s="63" t="s">
        <v>262</v>
      </c>
      <c r="P181" s="51" t="s">
        <v>535</v>
      </c>
      <c r="Q181" s="51" t="s">
        <v>263</v>
      </c>
      <c r="R181" s="51" t="s">
        <v>247</v>
      </c>
      <c r="S181" s="51" t="s">
        <v>247</v>
      </c>
      <c r="T181" s="51" t="s">
        <v>412</v>
      </c>
      <c r="U181" s="51" t="s">
        <v>414</v>
      </c>
      <c r="V181" s="51" t="s">
        <v>536</v>
      </c>
    </row>
    <row r="182" spans="1:22">
      <c r="A182" s="20" t="s">
        <v>260</v>
      </c>
      <c r="B182" s="20" t="str">
        <f>'Bouvier 2002'!A52</f>
        <v>Choptank River estuary</v>
      </c>
      <c r="C182" s="20">
        <f>'Bouvier 2002'!F52</f>
        <v>0</v>
      </c>
      <c r="M182" s="63">
        <f>'Bouvier 2002'!G52</f>
        <v>0.43915343915343896</v>
      </c>
      <c r="O182" s="63" t="s">
        <v>262</v>
      </c>
      <c r="P182" s="51" t="s">
        <v>535</v>
      </c>
      <c r="Q182" s="51" t="s">
        <v>263</v>
      </c>
      <c r="R182" s="51" t="s">
        <v>247</v>
      </c>
      <c r="S182" s="51" t="s">
        <v>247</v>
      </c>
      <c r="T182" s="51" t="s">
        <v>412</v>
      </c>
      <c r="U182" s="51" t="s">
        <v>414</v>
      </c>
      <c r="V182" s="51" t="s">
        <v>536</v>
      </c>
    </row>
    <row r="183" spans="1:22">
      <c r="A183" s="20" t="s">
        <v>260</v>
      </c>
      <c r="B183" s="20" t="str">
        <f>'Bouvier 2002'!A54</f>
        <v>Choptank River estuary</v>
      </c>
      <c r="C183" s="20">
        <f>'Bouvier 2002'!F54</f>
        <v>0</v>
      </c>
      <c r="M183" s="63">
        <f>'Bouvier 2002'!G54</f>
        <v>0.44444444444444398</v>
      </c>
      <c r="O183" s="63" t="s">
        <v>262</v>
      </c>
      <c r="P183" s="51" t="s">
        <v>535</v>
      </c>
      <c r="Q183" s="51" t="s">
        <v>263</v>
      </c>
      <c r="R183" s="51" t="s">
        <v>247</v>
      </c>
      <c r="S183" s="51" t="s">
        <v>247</v>
      </c>
      <c r="T183" s="51" t="s">
        <v>412</v>
      </c>
      <c r="U183" s="51" t="s">
        <v>414</v>
      </c>
      <c r="V183" s="51" t="s">
        <v>536</v>
      </c>
    </row>
    <row r="184" spans="1:22">
      <c r="A184" s="20" t="s">
        <v>260</v>
      </c>
      <c r="B184" s="20" t="str">
        <f>'Bouvier 2002'!A37</f>
        <v>Choptank River estuary</v>
      </c>
      <c r="C184" s="20">
        <f>'Bouvier 2002'!F37</f>
        <v>0</v>
      </c>
      <c r="M184" s="63">
        <f>'Bouvier 2002'!G37</f>
        <v>0.49470899470899399</v>
      </c>
      <c r="O184" s="63" t="s">
        <v>262</v>
      </c>
      <c r="P184" s="51" t="s">
        <v>535</v>
      </c>
      <c r="Q184" s="51" t="s">
        <v>263</v>
      </c>
      <c r="R184" s="51" t="s">
        <v>247</v>
      </c>
      <c r="S184" s="51" t="s">
        <v>247</v>
      </c>
      <c r="T184" s="51" t="s">
        <v>412</v>
      </c>
      <c r="U184" s="51" t="s">
        <v>414</v>
      </c>
      <c r="V184" s="51" t="s">
        <v>536</v>
      </c>
    </row>
    <row r="185" spans="1:22">
      <c r="A185" s="20" t="s">
        <v>260</v>
      </c>
      <c r="B185" s="20" t="str">
        <f>'Bouvier 2002'!A22</f>
        <v>Choptank River estuary</v>
      </c>
      <c r="C185" s="20">
        <f>'Bouvier 2002'!F22</f>
        <v>0</v>
      </c>
      <c r="M185" s="63">
        <f>'Bouvier 2002'!G22</f>
        <v>0.52100723009373662</v>
      </c>
      <c r="O185" s="63" t="s">
        <v>262</v>
      </c>
      <c r="P185" s="51" t="s">
        <v>535</v>
      </c>
      <c r="Q185" s="51" t="s">
        <v>263</v>
      </c>
      <c r="R185" s="51" t="s">
        <v>247</v>
      </c>
      <c r="S185" s="51" t="s">
        <v>247</v>
      </c>
      <c r="T185" s="51" t="s">
        <v>412</v>
      </c>
      <c r="U185" s="51" t="s">
        <v>414</v>
      </c>
      <c r="V185" s="51" t="s">
        <v>536</v>
      </c>
    </row>
    <row r="186" spans="1:22">
      <c r="A186" s="20" t="s">
        <v>260</v>
      </c>
      <c r="B186" s="20" t="str">
        <f>'Bouvier 2002'!A14</f>
        <v>Choptank River estuary</v>
      </c>
      <c r="C186" s="20">
        <f>'Bouvier 2002'!F14</f>
        <v>0</v>
      </c>
      <c r="M186" s="63">
        <f>'Bouvier 2002'!G14</f>
        <v>0.56685964511665998</v>
      </c>
      <c r="O186" s="63" t="s">
        <v>262</v>
      </c>
      <c r="P186" s="51" t="s">
        <v>535</v>
      </c>
      <c r="Q186" s="51" t="s">
        <v>263</v>
      </c>
      <c r="R186" s="51" t="s">
        <v>247</v>
      </c>
      <c r="S186" s="51" t="s">
        <v>247</v>
      </c>
      <c r="T186" s="51" t="s">
        <v>412</v>
      </c>
      <c r="U186" s="51" t="s">
        <v>414</v>
      </c>
      <c r="V186" s="51" t="s">
        <v>536</v>
      </c>
    </row>
    <row r="187" spans="1:22">
      <c r="A187" s="20" t="s">
        <v>260</v>
      </c>
      <c r="B187" s="20" t="str">
        <f>'Bouvier 2002'!A48</f>
        <v>Choptank River estuary</v>
      </c>
      <c r="C187" s="20">
        <f>'Bouvier 2002'!F48</f>
        <v>0</v>
      </c>
      <c r="M187" s="63">
        <f>'Bouvier 2002'!G48</f>
        <v>0.58465608465608399</v>
      </c>
      <c r="O187" s="63" t="s">
        <v>262</v>
      </c>
      <c r="P187" s="51" t="s">
        <v>535</v>
      </c>
      <c r="Q187" s="51" t="s">
        <v>263</v>
      </c>
      <c r="R187" s="51" t="s">
        <v>247</v>
      </c>
      <c r="S187" s="51" t="s">
        <v>247</v>
      </c>
      <c r="T187" s="51" t="s">
        <v>412</v>
      </c>
      <c r="U187" s="51" t="s">
        <v>414</v>
      </c>
      <c r="V187" s="51" t="s">
        <v>536</v>
      </c>
    </row>
    <row r="188" spans="1:22">
      <c r="A188" s="20" t="s">
        <v>260</v>
      </c>
      <c r="B188" s="20" t="str">
        <f>'Bouvier 2002'!A41</f>
        <v>Choptank River estuary</v>
      </c>
      <c r="C188" s="20">
        <f>'Bouvier 2002'!F41</f>
        <v>0</v>
      </c>
      <c r="M188" s="63">
        <f>'Bouvier 2002'!G41</f>
        <v>0.61111111111111105</v>
      </c>
      <c r="O188" s="63" t="s">
        <v>262</v>
      </c>
      <c r="P188" s="51" t="s">
        <v>535</v>
      </c>
      <c r="Q188" s="51" t="s">
        <v>263</v>
      </c>
      <c r="R188" s="51" t="s">
        <v>247</v>
      </c>
      <c r="S188" s="51" t="s">
        <v>247</v>
      </c>
      <c r="T188" s="51" t="s">
        <v>412</v>
      </c>
      <c r="U188" s="51" t="s">
        <v>414</v>
      </c>
      <c r="V188" s="51" t="s">
        <v>536</v>
      </c>
    </row>
    <row r="189" spans="1:22">
      <c r="A189" s="20" t="s">
        <v>260</v>
      </c>
      <c r="B189" s="20" t="str">
        <f>'Bouvier 2002'!A12</f>
        <v>Choptank River estuary</v>
      </c>
      <c r="C189" s="20">
        <f>'Bouvier 2002'!F12</f>
        <v>0</v>
      </c>
      <c r="M189" s="63">
        <f>'Bouvier 2002'!G12</f>
        <v>0.62542493685403833</v>
      </c>
      <c r="O189" s="63" t="s">
        <v>262</v>
      </c>
      <c r="P189" s="51" t="s">
        <v>535</v>
      </c>
      <c r="Q189" s="51" t="s">
        <v>263</v>
      </c>
      <c r="R189" s="51" t="s">
        <v>247</v>
      </c>
      <c r="S189" s="51" t="s">
        <v>247</v>
      </c>
      <c r="T189" s="51" t="s">
        <v>412</v>
      </c>
      <c r="U189" s="51" t="s">
        <v>414</v>
      </c>
      <c r="V189" s="51" t="s">
        <v>536</v>
      </c>
    </row>
    <row r="190" spans="1:22">
      <c r="A190" s="20" t="s">
        <v>260</v>
      </c>
      <c r="B190" s="20" t="str">
        <f>'Bouvier 2002'!A13</f>
        <v>Choptank River estuary</v>
      </c>
      <c r="C190" s="20">
        <f>'Bouvier 2002'!F13</f>
        <v>0</v>
      </c>
      <c r="M190" s="63">
        <f>'Bouvier 2002'!G13</f>
        <v>0.63045522317890501</v>
      </c>
      <c r="O190" s="63" t="s">
        <v>262</v>
      </c>
      <c r="P190" s="51" t="s">
        <v>535</v>
      </c>
      <c r="Q190" s="51" t="s">
        <v>263</v>
      </c>
      <c r="R190" s="51" t="s">
        <v>247</v>
      </c>
      <c r="S190" s="51" t="s">
        <v>247</v>
      </c>
      <c r="T190" s="51" t="s">
        <v>412</v>
      </c>
      <c r="U190" s="51" t="s">
        <v>414</v>
      </c>
      <c r="V190" s="51" t="s">
        <v>536</v>
      </c>
    </row>
    <row r="191" spans="1:22">
      <c r="A191" s="20" t="s">
        <v>260</v>
      </c>
      <c r="B191" s="20" t="str">
        <f>'Bouvier 2002'!A33</f>
        <v>Choptank River estuary</v>
      </c>
      <c r="C191" s="20">
        <f>'Bouvier 2002'!F33</f>
        <v>0</v>
      </c>
      <c r="M191" s="63">
        <f>'Bouvier 2002'!G33</f>
        <v>0.70936448735924673</v>
      </c>
      <c r="O191" s="63" t="s">
        <v>262</v>
      </c>
      <c r="P191" s="51" t="s">
        <v>535</v>
      </c>
      <c r="Q191" s="51" t="s">
        <v>263</v>
      </c>
      <c r="R191" s="51" t="s">
        <v>247</v>
      </c>
      <c r="S191" s="51" t="s">
        <v>247</v>
      </c>
      <c r="T191" s="51" t="s">
        <v>412</v>
      </c>
      <c r="U191" s="51" t="s">
        <v>414</v>
      </c>
      <c r="V191" s="51" t="s">
        <v>536</v>
      </c>
    </row>
    <row r="192" spans="1:22">
      <c r="A192" s="20" t="s">
        <v>260</v>
      </c>
      <c r="B192" s="20" t="str">
        <f>'Bouvier 2002'!A19</f>
        <v>Choptank River estuary</v>
      </c>
      <c r="C192" s="20">
        <f>'Bouvier 2002'!F19</f>
        <v>0</v>
      </c>
      <c r="M192" s="63">
        <f>'Bouvier 2002'!G19</f>
        <v>0.79575450269018733</v>
      </c>
      <c r="O192" s="63" t="s">
        <v>262</v>
      </c>
      <c r="P192" s="51" t="s">
        <v>535</v>
      </c>
      <c r="Q192" s="51" t="s">
        <v>263</v>
      </c>
      <c r="R192" s="51" t="s">
        <v>247</v>
      </c>
      <c r="S192" s="51" t="s">
        <v>247</v>
      </c>
      <c r="T192" s="51" t="s">
        <v>412</v>
      </c>
      <c r="U192" s="51" t="s">
        <v>414</v>
      </c>
      <c r="V192" s="51" t="s">
        <v>536</v>
      </c>
    </row>
    <row r="193" spans="1:22">
      <c r="A193" s="20" t="s">
        <v>260</v>
      </c>
      <c r="B193" s="20" t="str">
        <f>'Bouvier 2002'!A21</f>
        <v>Choptank River estuary</v>
      </c>
      <c r="C193" s="20">
        <f>'Bouvier 2002'!F21</f>
        <v>0</v>
      </c>
      <c r="M193" s="63">
        <f>'Bouvier 2002'!G21</f>
        <v>0.83688261091602412</v>
      </c>
      <c r="O193" s="63" t="s">
        <v>262</v>
      </c>
      <c r="P193" s="51" t="s">
        <v>535</v>
      </c>
      <c r="Q193" s="51" t="s">
        <v>263</v>
      </c>
      <c r="R193" s="51" t="s">
        <v>247</v>
      </c>
      <c r="S193" s="51" t="s">
        <v>247</v>
      </c>
      <c r="T193" s="51" t="s">
        <v>412</v>
      </c>
      <c r="U193" s="51" t="s">
        <v>414</v>
      </c>
      <c r="V193" s="51" t="s">
        <v>536</v>
      </c>
    </row>
    <row r="194" spans="1:22">
      <c r="A194" s="20" t="s">
        <v>260</v>
      </c>
      <c r="B194" s="20" t="str">
        <f>'Bouvier 2002'!A20</f>
        <v>Choptank River estuary</v>
      </c>
      <c r="C194" s="20">
        <f>'Bouvier 2002'!F20</f>
        <v>0</v>
      </c>
      <c r="M194" s="63">
        <f>'Bouvier 2002'!G20</f>
        <v>0.9208600861710271</v>
      </c>
      <c r="O194" s="63" t="s">
        <v>262</v>
      </c>
      <c r="P194" s="51" t="s">
        <v>535</v>
      </c>
      <c r="Q194" s="51" t="s">
        <v>263</v>
      </c>
      <c r="R194" s="51" t="s">
        <v>247</v>
      </c>
      <c r="S194" s="51" t="s">
        <v>247</v>
      </c>
      <c r="T194" s="51" t="s">
        <v>412</v>
      </c>
      <c r="U194" s="51" t="s">
        <v>414</v>
      </c>
      <c r="V194" s="51" t="s">
        <v>536</v>
      </c>
    </row>
    <row r="195" spans="1:22">
      <c r="A195" s="20" t="s">
        <v>260</v>
      </c>
      <c r="B195" s="20" t="str">
        <f>'Bouvier 2002'!A9</f>
        <v>Pocomoke River estuary</v>
      </c>
      <c r="C195" s="20">
        <f>'Bouvier 2002'!F9</f>
        <v>0</v>
      </c>
      <c r="M195" s="63">
        <f>'Bouvier 2002'!G9</f>
        <v>2.1367521367521399E-2</v>
      </c>
      <c r="O195" s="63" t="s">
        <v>262</v>
      </c>
      <c r="P195" s="51" t="s">
        <v>535</v>
      </c>
      <c r="Q195" s="51" t="s">
        <v>263</v>
      </c>
      <c r="R195" s="51" t="s">
        <v>247</v>
      </c>
      <c r="S195" s="51" t="s">
        <v>247</v>
      </c>
      <c r="T195" s="51" t="s">
        <v>412</v>
      </c>
      <c r="U195" s="51" t="s">
        <v>414</v>
      </c>
      <c r="V195" s="51" t="s">
        <v>536</v>
      </c>
    </row>
    <row r="196" spans="1:22">
      <c r="A196" s="20" t="s">
        <v>260</v>
      </c>
      <c r="B196" s="20" t="str">
        <f>'Bouvier 2002'!A7</f>
        <v>Pocomoke River estuary</v>
      </c>
      <c r="C196" s="20">
        <f>'Bouvier 2002'!F7</f>
        <v>0</v>
      </c>
      <c r="M196" s="63">
        <f>'Bouvier 2002'!G7</f>
        <v>0.11253561253561201</v>
      </c>
      <c r="O196" s="63" t="s">
        <v>262</v>
      </c>
      <c r="P196" s="51" t="s">
        <v>535</v>
      </c>
      <c r="Q196" s="51" t="s">
        <v>263</v>
      </c>
      <c r="R196" s="51" t="s">
        <v>247</v>
      </c>
      <c r="S196" s="51" t="s">
        <v>247</v>
      </c>
      <c r="T196" s="51" t="s">
        <v>412</v>
      </c>
      <c r="U196" s="51" t="s">
        <v>414</v>
      </c>
      <c r="V196" s="51" t="s">
        <v>536</v>
      </c>
    </row>
    <row r="197" spans="1:22">
      <c r="A197" s="20" t="s">
        <v>260</v>
      </c>
      <c r="B197" s="20" t="str">
        <f>'Bouvier 2002'!A10</f>
        <v>Pocomoke River estuary</v>
      </c>
      <c r="C197" s="20">
        <f>'Bouvier 2002'!F10</f>
        <v>0</v>
      </c>
      <c r="M197" s="63">
        <f>'Bouvier 2002'!G10</f>
        <v>0.17236467236467198</v>
      </c>
      <c r="O197" s="63" t="s">
        <v>262</v>
      </c>
      <c r="P197" s="51" t="s">
        <v>535</v>
      </c>
      <c r="Q197" s="51" t="s">
        <v>263</v>
      </c>
      <c r="R197" s="51" t="s">
        <v>247</v>
      </c>
      <c r="S197" s="51" t="s">
        <v>247</v>
      </c>
      <c r="T197" s="51" t="s">
        <v>412</v>
      </c>
      <c r="U197" s="51" t="s">
        <v>414</v>
      </c>
      <c r="V197" s="51" t="s">
        <v>536</v>
      </c>
    </row>
    <row r="198" spans="1:22">
      <c r="A198" s="20" t="s">
        <v>260</v>
      </c>
      <c r="B198" s="20" t="str">
        <f>'Bouvier 2002'!A8</f>
        <v>Pocomoke River estuary</v>
      </c>
      <c r="C198" s="20">
        <f>'Bouvier 2002'!F8</f>
        <v>0</v>
      </c>
      <c r="M198" s="63">
        <f>'Bouvier 2002'!G8</f>
        <v>0.173789173789173</v>
      </c>
      <c r="O198" s="63" t="s">
        <v>262</v>
      </c>
      <c r="P198" s="51" t="s">
        <v>535</v>
      </c>
      <c r="Q198" s="51" t="s">
        <v>263</v>
      </c>
      <c r="R198" s="51" t="s">
        <v>247</v>
      </c>
      <c r="S198" s="51" t="s">
        <v>247</v>
      </c>
      <c r="T198" s="51" t="s">
        <v>412</v>
      </c>
      <c r="U198" s="51" t="s">
        <v>414</v>
      </c>
      <c r="V198" s="51" t="s">
        <v>536</v>
      </c>
    </row>
    <row r="199" spans="1:22">
      <c r="A199" s="20" t="s">
        <v>260</v>
      </c>
      <c r="B199" s="20" t="str">
        <f>'Bouvier 2002'!A6</f>
        <v>Pocomoke River estuary</v>
      </c>
      <c r="C199" s="20">
        <f>'Bouvier 2002'!F6</f>
        <v>0</v>
      </c>
      <c r="M199" s="63">
        <f>'Bouvier 2002'!G6</f>
        <v>0.269230769230769</v>
      </c>
      <c r="O199" s="63" t="s">
        <v>262</v>
      </c>
      <c r="P199" s="51" t="s">
        <v>535</v>
      </c>
      <c r="Q199" s="51" t="s">
        <v>263</v>
      </c>
      <c r="R199" s="51" t="s">
        <v>247</v>
      </c>
      <c r="S199" s="51" t="s">
        <v>247</v>
      </c>
      <c r="T199" s="51" t="s">
        <v>412</v>
      </c>
      <c r="U199" s="51" t="s">
        <v>414</v>
      </c>
      <c r="V199" s="51" t="s">
        <v>536</v>
      </c>
    </row>
    <row r="200" spans="1:22">
      <c r="A200" s="20" t="s">
        <v>260</v>
      </c>
      <c r="B200" s="20" t="str">
        <f>'Bouvier 2002'!A11</f>
        <v>Pocomoke River estuary</v>
      </c>
      <c r="C200" s="20">
        <f>'Bouvier 2002'!F11</f>
        <v>0</v>
      </c>
      <c r="M200" s="63">
        <f>'Bouvier 2002'!G11</f>
        <v>0.31908831908831897</v>
      </c>
      <c r="O200" s="63" t="s">
        <v>262</v>
      </c>
      <c r="P200" s="51" t="s">
        <v>535</v>
      </c>
      <c r="Q200" s="51" t="s">
        <v>263</v>
      </c>
      <c r="R200" s="51" t="s">
        <v>247</v>
      </c>
      <c r="S200" s="51" t="s">
        <v>247</v>
      </c>
      <c r="T200" s="51" t="s">
        <v>412</v>
      </c>
      <c r="U200" s="51" t="s">
        <v>414</v>
      </c>
      <c r="V200" s="51" t="s">
        <v>536</v>
      </c>
    </row>
    <row r="201" spans="1:22">
      <c r="A201" s="20" t="s">
        <v>260</v>
      </c>
      <c r="B201" s="20" t="str">
        <f>'Bouvier 2002'!A5</f>
        <v>Pocomoke River estuary</v>
      </c>
      <c r="C201" s="20">
        <f>'Bouvier 2002'!F5</f>
        <v>0</v>
      </c>
      <c r="M201" s="63">
        <f>'Bouvier 2002'!G5</f>
        <v>0.43162393162393103</v>
      </c>
      <c r="O201" s="63" t="s">
        <v>262</v>
      </c>
      <c r="P201" s="51" t="s">
        <v>535</v>
      </c>
      <c r="Q201" s="51" t="s">
        <v>263</v>
      </c>
      <c r="R201" s="51" t="s">
        <v>247</v>
      </c>
      <c r="S201" s="51" t="s">
        <v>247</v>
      </c>
      <c r="T201" s="51" t="s">
        <v>412</v>
      </c>
      <c r="U201" s="51" t="s">
        <v>414</v>
      </c>
      <c r="V201" s="51" t="s">
        <v>536</v>
      </c>
    </row>
    <row r="202" spans="1:22">
      <c r="A202" s="20" t="s">
        <v>260</v>
      </c>
      <c r="B202" s="20" t="str">
        <f>'Bouvier 2002'!A4</f>
        <v>Pocomoke River estuary</v>
      </c>
      <c r="C202" s="20">
        <f>'Bouvier 2002'!F4</f>
        <v>0</v>
      </c>
      <c r="M202" s="63">
        <f>'Bouvier 2002'!G4</f>
        <v>0.62393162393162305</v>
      </c>
      <c r="O202" s="63" t="s">
        <v>262</v>
      </c>
      <c r="P202" s="51" t="s">
        <v>535</v>
      </c>
      <c r="Q202" s="51" t="s">
        <v>263</v>
      </c>
      <c r="R202" s="51" t="s">
        <v>247</v>
      </c>
      <c r="S202" s="51" t="s">
        <v>247</v>
      </c>
      <c r="T202" s="51" t="s">
        <v>412</v>
      </c>
      <c r="U202" s="51" t="s">
        <v>414</v>
      </c>
      <c r="V202" s="51" t="s">
        <v>536</v>
      </c>
    </row>
    <row r="203" spans="1:22">
      <c r="A203" s="20" t="s">
        <v>411</v>
      </c>
      <c r="B203" s="20">
        <f>'Garneau 2008'!B6</f>
        <v>718</v>
      </c>
      <c r="C203" s="20">
        <v>3</v>
      </c>
      <c r="I203" s="51">
        <f>'Garneau 2008'!D6</f>
        <v>1210000</v>
      </c>
      <c r="J203" s="51">
        <f>'Garneau 2008'!F6</f>
        <v>1016400</v>
      </c>
      <c r="K203" s="51">
        <f>'Garneau 2008'!H6</f>
        <v>52030</v>
      </c>
      <c r="L203" s="51">
        <f>J203+K203</f>
        <v>1068430</v>
      </c>
      <c r="M203" s="63">
        <f>L203/I203</f>
        <v>0.88300000000000001</v>
      </c>
      <c r="N203" s="63">
        <f>K203/L203</f>
        <v>4.8697621744054363E-2</v>
      </c>
      <c r="O203" s="63" t="s">
        <v>396</v>
      </c>
      <c r="P203" s="51" t="s">
        <v>416</v>
      </c>
      <c r="Q203" s="51" t="s">
        <v>405</v>
      </c>
      <c r="R203" s="51" t="s">
        <v>246</v>
      </c>
      <c r="S203" s="51" t="s">
        <v>246</v>
      </c>
      <c r="T203" s="20" t="s">
        <v>413</v>
      </c>
      <c r="U203" s="20" t="s">
        <v>415</v>
      </c>
      <c r="V203" s="51" t="s">
        <v>536</v>
      </c>
    </row>
    <row r="204" spans="1:22">
      <c r="A204" s="20" t="s">
        <v>411</v>
      </c>
      <c r="B204" s="20">
        <f>'Garneau 2008'!B7</f>
        <v>803</v>
      </c>
      <c r="C204" s="20">
        <v>3</v>
      </c>
      <c r="I204" s="51">
        <f>'Garneau 2008'!D7</f>
        <v>1200000</v>
      </c>
      <c r="J204" s="51">
        <f>'Garneau 2008'!F7</f>
        <v>516000</v>
      </c>
      <c r="K204" s="51">
        <f>'Garneau 2008'!H7</f>
        <v>2400</v>
      </c>
      <c r="L204" s="51">
        <f>J204+K204</f>
        <v>518400</v>
      </c>
      <c r="M204" s="63">
        <f>L204/I204</f>
        <v>0.432</v>
      </c>
      <c r="N204" s="63">
        <f>K204/L204</f>
        <v>4.6296296296296294E-3</v>
      </c>
      <c r="O204" s="63" t="s">
        <v>396</v>
      </c>
      <c r="P204" s="51" t="s">
        <v>416</v>
      </c>
      <c r="Q204" s="51" t="s">
        <v>405</v>
      </c>
      <c r="R204" s="51" t="s">
        <v>246</v>
      </c>
      <c r="S204" s="51" t="s">
        <v>246</v>
      </c>
      <c r="T204" s="20" t="s">
        <v>413</v>
      </c>
      <c r="U204" s="20" t="s">
        <v>414</v>
      </c>
      <c r="V204" s="51" t="s">
        <v>536</v>
      </c>
    </row>
    <row r="205" spans="1:22">
      <c r="A205" s="20" t="s">
        <v>410</v>
      </c>
      <c r="B205" s="20">
        <f>'Garneau 2008'!B8</f>
        <v>906</v>
      </c>
      <c r="C205" s="20">
        <v>3</v>
      </c>
      <c r="I205" s="51">
        <f>'Garneau 2008'!D8</f>
        <v>570000</v>
      </c>
      <c r="J205" s="51">
        <f>'Garneau 2008'!F8</f>
        <v>416100</v>
      </c>
      <c r="K205" s="51">
        <f>'Garneau 2008'!H8</f>
        <v>2280</v>
      </c>
      <c r="L205" s="51">
        <f>J205+K205</f>
        <v>418380</v>
      </c>
      <c r="M205" s="63">
        <f>L205/I205</f>
        <v>0.73399999999999999</v>
      </c>
      <c r="N205" s="63">
        <f>K205/L205</f>
        <v>5.4495912806539508E-3</v>
      </c>
      <c r="O205" s="63" t="s">
        <v>396</v>
      </c>
      <c r="P205" s="51" t="s">
        <v>416</v>
      </c>
      <c r="Q205" s="51" t="s">
        <v>405</v>
      </c>
      <c r="R205" s="51" t="s">
        <v>246</v>
      </c>
      <c r="S205" s="51" t="s">
        <v>246</v>
      </c>
      <c r="T205" s="20" t="s">
        <v>412</v>
      </c>
      <c r="U205" s="20" t="s">
        <v>414</v>
      </c>
      <c r="V205" s="51" t="s">
        <v>536</v>
      </c>
    </row>
    <row r="206" spans="1:22">
      <c r="A206" s="20" t="s">
        <v>410</v>
      </c>
      <c r="B206" s="20">
        <f>'Garneau 2008'!B9</f>
        <v>912</v>
      </c>
      <c r="C206" s="20">
        <v>3</v>
      </c>
      <c r="I206" s="51">
        <f>'Garneau 2008'!D9</f>
        <v>700000</v>
      </c>
      <c r="J206" s="51">
        <f>'Garneau 2008'!F9</f>
        <v>546000</v>
      </c>
      <c r="K206" s="51">
        <f>'Garneau 2008'!H9</f>
        <v>38500</v>
      </c>
      <c r="L206" s="51">
        <f>J206+K206</f>
        <v>584500</v>
      </c>
      <c r="M206" s="63">
        <f>L206/I206</f>
        <v>0.83499999999999996</v>
      </c>
      <c r="N206" s="63">
        <f>K206/L206</f>
        <v>6.5868263473053898E-2</v>
      </c>
      <c r="O206" s="63" t="s">
        <v>396</v>
      </c>
      <c r="P206" s="51" t="s">
        <v>416</v>
      </c>
      <c r="Q206" s="51" t="s">
        <v>405</v>
      </c>
      <c r="R206" s="51" t="s">
        <v>246</v>
      </c>
      <c r="S206" s="51" t="s">
        <v>246</v>
      </c>
      <c r="T206" s="20" t="s">
        <v>412</v>
      </c>
      <c r="U206" s="20" t="s">
        <v>414</v>
      </c>
      <c r="V206" s="51" t="s">
        <v>536</v>
      </c>
    </row>
    <row r="207" spans="1:22">
      <c r="A207" s="20" t="s">
        <v>410</v>
      </c>
      <c r="B207" s="20">
        <f>'Garneau 2008'!B10</f>
        <v>915</v>
      </c>
      <c r="C207" s="20">
        <v>3</v>
      </c>
      <c r="I207" s="51">
        <f>'Garneau 2008'!D10</f>
        <v>650000</v>
      </c>
      <c r="J207" s="51">
        <f>'Garneau 2008'!F10</f>
        <v>526500</v>
      </c>
      <c r="K207" s="51">
        <f>'Garneau 2008'!H10</f>
        <v>9100</v>
      </c>
      <c r="L207" s="51">
        <f>J207+K207</f>
        <v>535600</v>
      </c>
      <c r="M207" s="63">
        <f>L207/I207</f>
        <v>0.82399999999999995</v>
      </c>
      <c r="N207" s="63">
        <f>K207/L207</f>
        <v>1.6990291262135922E-2</v>
      </c>
      <c r="O207" s="63" t="s">
        <v>396</v>
      </c>
      <c r="P207" s="51" t="s">
        <v>416</v>
      </c>
      <c r="Q207" s="51" t="s">
        <v>405</v>
      </c>
      <c r="R207" s="51" t="s">
        <v>246</v>
      </c>
      <c r="S207" s="51" t="s">
        <v>246</v>
      </c>
      <c r="T207" s="20" t="s">
        <v>412</v>
      </c>
      <c r="U207" s="20" t="s">
        <v>414</v>
      </c>
      <c r="V207" s="51" t="s">
        <v>536</v>
      </c>
    </row>
    <row r="208" spans="1:22">
      <c r="A208" s="20" t="s">
        <v>410</v>
      </c>
      <c r="B208" s="20">
        <f>'Garneau 2008'!B11</f>
        <v>917</v>
      </c>
      <c r="C208" s="20">
        <v>3</v>
      </c>
      <c r="I208" s="51">
        <f>'Garneau 2008'!D11</f>
        <v>780000</v>
      </c>
      <c r="J208" s="51">
        <f>'Garneau 2008'!F11</f>
        <v>351000</v>
      </c>
      <c r="K208" s="51">
        <f>'Garneau 2008'!H11</f>
        <v>17939.999999999996</v>
      </c>
      <c r="L208" s="51">
        <f>J208+K208</f>
        <v>368940</v>
      </c>
      <c r="M208" s="63">
        <f>L208/I208</f>
        <v>0.47299999999999998</v>
      </c>
      <c r="N208" s="63">
        <f>K208/L208</f>
        <v>4.8625792811839312E-2</v>
      </c>
      <c r="O208" s="63" t="s">
        <v>396</v>
      </c>
      <c r="P208" s="51" t="s">
        <v>416</v>
      </c>
      <c r="Q208" s="51" t="s">
        <v>405</v>
      </c>
      <c r="R208" s="51" t="s">
        <v>246</v>
      </c>
      <c r="S208" s="51" t="s">
        <v>246</v>
      </c>
      <c r="T208" s="20" t="s">
        <v>412</v>
      </c>
      <c r="U208" s="20" t="s">
        <v>414</v>
      </c>
      <c r="V208" s="51" t="s">
        <v>536</v>
      </c>
    </row>
    <row r="209" spans="1:22">
      <c r="A209" s="20" t="s">
        <v>410</v>
      </c>
      <c r="B209" s="20">
        <f>'Garneau 2008'!B12</f>
        <v>918</v>
      </c>
      <c r="C209" s="20">
        <v>3</v>
      </c>
      <c r="I209" s="51">
        <f>'Garneau 2008'!D12</f>
        <v>1380000</v>
      </c>
      <c r="J209" s="51">
        <f>'Garneau 2008'!F12</f>
        <v>648600</v>
      </c>
      <c r="K209" s="51">
        <f>'Garneau 2008'!H12</f>
        <v>28980</v>
      </c>
      <c r="L209" s="51">
        <f>J209+K209</f>
        <v>677580</v>
      </c>
      <c r="M209" s="63">
        <f>L209/I209</f>
        <v>0.49099999999999999</v>
      </c>
      <c r="N209" s="63">
        <f>K209/L209</f>
        <v>4.2769857433808553E-2</v>
      </c>
      <c r="O209" s="63" t="s">
        <v>396</v>
      </c>
      <c r="P209" s="51" t="s">
        <v>416</v>
      </c>
      <c r="Q209" s="51" t="s">
        <v>405</v>
      </c>
      <c r="R209" s="51" t="s">
        <v>246</v>
      </c>
      <c r="S209" s="51" t="s">
        <v>246</v>
      </c>
      <c r="T209" s="20" t="s">
        <v>412</v>
      </c>
      <c r="U209" s="20" t="s">
        <v>414</v>
      </c>
      <c r="V209" s="51" t="s">
        <v>536</v>
      </c>
    </row>
    <row r="210" spans="1:22">
      <c r="A210" s="20" t="s">
        <v>72</v>
      </c>
      <c r="B210" s="20">
        <f>'Kirchman 2007'!C57</f>
        <v>1</v>
      </c>
      <c r="C210" s="20">
        <f>'Kirchman 2007'!G57</f>
        <v>0</v>
      </c>
      <c r="I210" s="51">
        <f>'Kirchman 2007'!H57</f>
        <v>1009539.0070921985</v>
      </c>
      <c r="J210" s="51">
        <f>'Kirchman 2007'!J57*10^5</f>
        <v>826075.29536056321</v>
      </c>
      <c r="K210" s="51">
        <f>'Kirchman 2007'!M57*10^5</f>
        <v>23190.958311253482</v>
      </c>
      <c r="L210" s="51">
        <f>J210+K210</f>
        <v>849266.25367181667</v>
      </c>
      <c r="M210" s="63">
        <f>L210/I210</f>
        <v>0.84124164366662801</v>
      </c>
      <c r="N210" s="63">
        <f>K210/L210</f>
        <v>2.7307052659854305E-2</v>
      </c>
      <c r="O210" s="63" t="s">
        <v>75</v>
      </c>
      <c r="P210" s="51" t="s">
        <v>76</v>
      </c>
      <c r="Q210" s="51" t="s">
        <v>534</v>
      </c>
      <c r="R210" s="51" t="s">
        <v>77</v>
      </c>
      <c r="S210" s="51" t="s">
        <v>78</v>
      </c>
      <c r="T210" s="51" t="s">
        <v>412</v>
      </c>
      <c r="U210" s="20" t="s">
        <v>104</v>
      </c>
      <c r="V210" s="20" t="s">
        <v>444</v>
      </c>
    </row>
    <row r="211" spans="1:22">
      <c r="A211" s="20" t="s">
        <v>72</v>
      </c>
      <c r="B211" s="20">
        <f>'Kirchman 2007'!C158</f>
        <v>1</v>
      </c>
      <c r="C211" s="20">
        <f>'Kirchman 2007'!G158</f>
        <v>0</v>
      </c>
      <c r="I211" s="51">
        <f>'Kirchman 2007'!H158</f>
        <v>576879.43262411351</v>
      </c>
      <c r="J211" s="51">
        <f>'Kirchman 2007'!J158*10^5</f>
        <v>217703.29166662594</v>
      </c>
      <c r="K211" s="51">
        <f>'Kirchman 2007'!M158*10^5</f>
        <v>264073.81782146631</v>
      </c>
      <c r="L211" s="51">
        <f>J211+K211</f>
        <v>481777.10948809225</v>
      </c>
      <c r="M211" s="63">
        <f>L211/I211</f>
        <v>0.83514350181732233</v>
      </c>
      <c r="N211" s="63">
        <f>K211/L211</f>
        <v>0.54812445967400869</v>
      </c>
      <c r="O211" s="63" t="s">
        <v>75</v>
      </c>
      <c r="P211" s="51" t="s">
        <v>76</v>
      </c>
      <c r="Q211" s="51" t="s">
        <v>534</v>
      </c>
      <c r="R211" s="51" t="s">
        <v>77</v>
      </c>
      <c r="S211" s="51" t="s">
        <v>78</v>
      </c>
      <c r="T211" s="51" t="s">
        <v>412</v>
      </c>
      <c r="U211" s="20" t="s">
        <v>104</v>
      </c>
      <c r="V211" s="20" t="s">
        <v>444</v>
      </c>
    </row>
    <row r="212" spans="1:22">
      <c r="A212" s="20" t="s">
        <v>72</v>
      </c>
      <c r="B212" s="20">
        <f>'Kirchman 2007'!C50</f>
        <v>6</v>
      </c>
      <c r="C212" s="20">
        <f>'Kirchman 2007'!G50</f>
        <v>0</v>
      </c>
      <c r="I212" s="51">
        <f>'Kirchman 2007'!H50</f>
        <v>587277.65459472779</v>
      </c>
      <c r="J212" s="51">
        <f>'Kirchman 2007'!J50*10^5</f>
        <v>434820.82730996312</v>
      </c>
      <c r="K212" s="51">
        <f>'Kirchman 2007'!M50*10^5</f>
        <v>19901.14259940372</v>
      </c>
      <c r="L212" s="51">
        <f>J212+K212</f>
        <v>454721.96990936686</v>
      </c>
      <c r="M212" s="63">
        <f>L212/I212</f>
        <v>0.77428787959447265</v>
      </c>
      <c r="N212" s="63">
        <f>K212/L212</f>
        <v>4.3765518088713255E-2</v>
      </c>
      <c r="O212" s="63" t="s">
        <v>75</v>
      </c>
      <c r="P212" s="51" t="s">
        <v>76</v>
      </c>
      <c r="Q212" s="51" t="s">
        <v>534</v>
      </c>
      <c r="R212" s="51" t="s">
        <v>77</v>
      </c>
      <c r="S212" s="51" t="s">
        <v>78</v>
      </c>
      <c r="T212" s="51" t="s">
        <v>412</v>
      </c>
      <c r="U212" s="20" t="s">
        <v>104</v>
      </c>
      <c r="V212" s="20" t="s">
        <v>444</v>
      </c>
    </row>
    <row r="213" spans="1:22">
      <c r="A213" s="20" t="s">
        <v>72</v>
      </c>
      <c r="B213" s="20">
        <f>'Kirchman 2007'!C58</f>
        <v>6</v>
      </c>
      <c r="C213" s="20">
        <f>'Kirchman 2007'!G58</f>
        <v>0</v>
      </c>
      <c r="I213" s="51">
        <f>'Kirchman 2007'!H58</f>
        <v>440017.73049645388</v>
      </c>
      <c r="J213" s="51">
        <f>'Kirchman 2007'!J58*10^5</f>
        <v>314643.4128530912</v>
      </c>
      <c r="K213" s="51">
        <f>'Kirchman 2007'!M58*10^5</f>
        <v>23285.008152326438</v>
      </c>
      <c r="L213" s="51">
        <f>J213+K213</f>
        <v>337928.42100541765</v>
      </c>
      <c r="M213" s="63">
        <f>L213/I213</f>
        <v>0.76798819134889618</v>
      </c>
      <c r="N213" s="63">
        <f>K213/L213</f>
        <v>6.8905148856814077E-2</v>
      </c>
      <c r="O213" s="63" t="s">
        <v>75</v>
      </c>
      <c r="P213" s="51" t="s">
        <v>76</v>
      </c>
      <c r="Q213" s="51" t="s">
        <v>534</v>
      </c>
      <c r="R213" s="51" t="s">
        <v>77</v>
      </c>
      <c r="S213" s="51" t="s">
        <v>78</v>
      </c>
      <c r="T213" s="51" t="s">
        <v>412</v>
      </c>
      <c r="U213" s="20" t="s">
        <v>104</v>
      </c>
      <c r="V213" s="20" t="s">
        <v>444</v>
      </c>
    </row>
    <row r="214" spans="1:22">
      <c r="A214" s="20" t="s">
        <v>72</v>
      </c>
      <c r="B214" s="20">
        <f>'Kirchman 2007'!C47</f>
        <v>7</v>
      </c>
      <c r="C214" s="20">
        <f>'Kirchman 2007'!G47</f>
        <v>0</v>
      </c>
      <c r="I214" s="51">
        <f>'Kirchman 2007'!H47</f>
        <v>322287.23404255317</v>
      </c>
      <c r="J214" s="51">
        <f>'Kirchman 2007'!J47*10^5</f>
        <v>277472.37992421346</v>
      </c>
      <c r="K214" s="51">
        <f>'Kirchman 2007'!M47*10^5</f>
        <v>17829.476584537624</v>
      </c>
      <c r="L214" s="51">
        <f>J214+K214</f>
        <v>295301.85650875105</v>
      </c>
      <c r="M214" s="63">
        <f>L214/I214</f>
        <v>0.91626917022025423</v>
      </c>
      <c r="N214" s="63">
        <f>K214/L214</f>
        <v>6.0377123243751975E-2</v>
      </c>
      <c r="O214" s="63" t="s">
        <v>75</v>
      </c>
      <c r="P214" s="51" t="s">
        <v>76</v>
      </c>
      <c r="Q214" s="51" t="s">
        <v>534</v>
      </c>
      <c r="R214" s="51" t="s">
        <v>77</v>
      </c>
      <c r="S214" s="51" t="s">
        <v>78</v>
      </c>
      <c r="T214" s="51" t="s">
        <v>412</v>
      </c>
      <c r="U214" s="20" t="s">
        <v>104</v>
      </c>
      <c r="V214" s="20" t="s">
        <v>444</v>
      </c>
    </row>
    <row r="215" spans="1:22">
      <c r="A215" s="20" t="s">
        <v>72</v>
      </c>
      <c r="B215" s="20">
        <f>'Kirchman 2007'!C151</f>
        <v>8</v>
      </c>
      <c r="C215" s="20">
        <f>'Kirchman 2007'!G151</f>
        <v>0</v>
      </c>
      <c r="I215" s="51">
        <f>'Kirchman 2007'!H151</f>
        <v>848199.06380881998</v>
      </c>
      <c r="J215" s="51">
        <f>'Kirchman 2007'!J151*10^5</f>
        <v>144652.09982614129</v>
      </c>
      <c r="K215" s="51">
        <f>'Kirchman 2007'!M151*10^5</f>
        <v>186423.57631148616</v>
      </c>
      <c r="L215" s="51">
        <f>J215+K215</f>
        <v>331075.67613762745</v>
      </c>
      <c r="M215" s="63">
        <f>L215/I215</f>
        <v>0.39032780188525451</v>
      </c>
      <c r="N215" s="63">
        <f>K215/L215</f>
        <v>0.56308448414673107</v>
      </c>
      <c r="O215" s="63" t="s">
        <v>75</v>
      </c>
      <c r="P215" s="51" t="s">
        <v>76</v>
      </c>
      <c r="Q215" s="51" t="s">
        <v>534</v>
      </c>
      <c r="R215" s="51" t="s">
        <v>77</v>
      </c>
      <c r="S215" s="51" t="s">
        <v>78</v>
      </c>
      <c r="T215" s="51" t="s">
        <v>412</v>
      </c>
      <c r="U215" s="20" t="s">
        <v>104</v>
      </c>
      <c r="V215" s="20" t="s">
        <v>444</v>
      </c>
    </row>
    <row r="216" spans="1:22">
      <c r="A216" s="20" t="s">
        <v>72</v>
      </c>
      <c r="B216" s="20">
        <f>'Kirchman 2007'!C75</f>
        <v>12</v>
      </c>
      <c r="C216" s="20">
        <f>'Kirchman 2007'!G75</f>
        <v>0</v>
      </c>
      <c r="I216" s="51">
        <f>'Kirchman 2007'!H75</f>
        <v>319343.9716312057</v>
      </c>
      <c r="J216" s="51">
        <f>'Kirchman 2007'!J75*10^5</f>
        <v>260335.07157578683</v>
      </c>
      <c r="K216" s="51">
        <f>'Kirchman 2007'!M75*10^5</f>
        <v>35867.118580081325</v>
      </c>
      <c r="L216" s="51">
        <f>J216+K216</f>
        <v>296202.19015586819</v>
      </c>
      <c r="M216" s="63">
        <f>L216/I216</f>
        <v>0.92753336987346424</v>
      </c>
      <c r="N216" s="63">
        <f>K216/L216</f>
        <v>0.12108998438265176</v>
      </c>
      <c r="O216" s="63" t="s">
        <v>75</v>
      </c>
      <c r="P216" s="51" t="s">
        <v>76</v>
      </c>
      <c r="Q216" s="51" t="s">
        <v>534</v>
      </c>
      <c r="R216" s="51" t="s">
        <v>77</v>
      </c>
      <c r="S216" s="51" t="s">
        <v>78</v>
      </c>
      <c r="T216" s="51" t="s">
        <v>412</v>
      </c>
      <c r="U216" s="20" t="s">
        <v>104</v>
      </c>
      <c r="V216" s="20" t="s">
        <v>444</v>
      </c>
    </row>
    <row r="217" spans="1:22">
      <c r="A217" s="20" t="s">
        <v>72</v>
      </c>
      <c r="B217" s="20">
        <f>'Kirchman 2007'!C153</f>
        <v>14</v>
      </c>
      <c r="C217" s="20">
        <f>'Kirchman 2007'!G153</f>
        <v>0</v>
      </c>
      <c r="I217" s="51">
        <f>'Kirchman 2007'!H153</f>
        <v>2182660.7538802666</v>
      </c>
      <c r="J217" s="51">
        <f>'Kirchman 2007'!J153*10^5</f>
        <v>1939264.7164658059</v>
      </c>
      <c r="K217" s="51">
        <f>'Kirchman 2007'!M153*10^5</f>
        <v>203865.18852954154</v>
      </c>
      <c r="L217" s="51">
        <f>J217+K217</f>
        <v>2143129.9049953474</v>
      </c>
      <c r="M217" s="63">
        <f>L217/I217</f>
        <v>0.98188868846675215</v>
      </c>
      <c r="N217" s="63">
        <f>K217/L217</f>
        <v>9.5124979617128777E-2</v>
      </c>
      <c r="O217" s="63" t="s">
        <v>75</v>
      </c>
      <c r="P217" s="51" t="s">
        <v>76</v>
      </c>
      <c r="Q217" s="51" t="s">
        <v>534</v>
      </c>
      <c r="R217" s="51" t="s">
        <v>77</v>
      </c>
      <c r="S217" s="51" t="s">
        <v>78</v>
      </c>
      <c r="T217" s="51" t="s">
        <v>412</v>
      </c>
      <c r="U217" s="20" t="s">
        <v>104</v>
      </c>
      <c r="V217" s="20" t="s">
        <v>444</v>
      </c>
    </row>
    <row r="218" spans="1:22">
      <c r="A218" s="20" t="s">
        <v>72</v>
      </c>
      <c r="B218" s="20">
        <f>'Kirchman 2007'!C132</f>
        <v>16</v>
      </c>
      <c r="C218" s="20">
        <f>'Kirchman 2007'!G132</f>
        <v>0</v>
      </c>
      <c r="I218" s="51">
        <f>'Kirchman 2007'!H132</f>
        <v>476808.51063829788</v>
      </c>
      <c r="J218" s="51">
        <f>'Kirchman 2007'!J132*10^5</f>
        <v>254958.52512875313</v>
      </c>
      <c r="K218" s="51">
        <f>'Kirchman 2007'!M132*10^5</f>
        <v>104435.18949813815</v>
      </c>
      <c r="L218" s="51">
        <f>J218+K218</f>
        <v>359393.71462689131</v>
      </c>
      <c r="M218" s="63">
        <f>L218/I218</f>
        <v>0.75374853134600139</v>
      </c>
      <c r="N218" s="63">
        <f>K218/L218</f>
        <v>0.29058713396409486</v>
      </c>
      <c r="O218" s="63" t="s">
        <v>75</v>
      </c>
      <c r="P218" s="51" t="s">
        <v>76</v>
      </c>
      <c r="Q218" s="51" t="s">
        <v>534</v>
      </c>
      <c r="R218" s="51" t="s">
        <v>77</v>
      </c>
      <c r="S218" s="51" t="s">
        <v>78</v>
      </c>
      <c r="T218" s="51" t="s">
        <v>412</v>
      </c>
      <c r="U218" s="20" t="s">
        <v>104</v>
      </c>
      <c r="V218" s="20" t="s">
        <v>444</v>
      </c>
    </row>
    <row r="219" spans="1:22">
      <c r="A219" s="20" t="s">
        <v>72</v>
      </c>
      <c r="B219" s="20">
        <f>'Kirchman 2007'!C82</f>
        <v>17</v>
      </c>
      <c r="C219" s="20">
        <f>'Kirchman 2007'!G82</f>
        <v>0</v>
      </c>
      <c r="I219" s="51">
        <f>'Kirchman 2007'!H82</f>
        <v>286968.08510638296</v>
      </c>
      <c r="J219" s="51">
        <f>'Kirchman 2007'!J82*10^5</f>
        <v>238198.83575177813</v>
      </c>
      <c r="K219" s="51">
        <f>'Kirchman 2007'!M82*10^5</f>
        <v>41198.711372635284</v>
      </c>
      <c r="L219" s="51">
        <f>J219+K219</f>
        <v>279397.54712441342</v>
      </c>
      <c r="M219" s="63">
        <f>L219/I219</f>
        <v>0.97361888525282159</v>
      </c>
      <c r="N219" s="63">
        <f>K219/L219</f>
        <v>0.14745552277268145</v>
      </c>
      <c r="O219" s="63" t="s">
        <v>75</v>
      </c>
      <c r="P219" s="51" t="s">
        <v>76</v>
      </c>
      <c r="Q219" s="51" t="s">
        <v>534</v>
      </c>
      <c r="R219" s="51" t="s">
        <v>77</v>
      </c>
      <c r="S219" s="51" t="s">
        <v>78</v>
      </c>
      <c r="T219" s="51" t="s">
        <v>412</v>
      </c>
      <c r="U219" s="20" t="s">
        <v>104</v>
      </c>
      <c r="V219" s="20" t="s">
        <v>444</v>
      </c>
    </row>
    <row r="220" spans="1:22">
      <c r="A220" s="20" t="s">
        <v>72</v>
      </c>
      <c r="B220" s="20">
        <f>'Kirchman 2007'!C156</f>
        <v>18</v>
      </c>
      <c r="C220" s="20">
        <f>'Kirchman 2007'!G156</f>
        <v>0</v>
      </c>
      <c r="I220" s="51">
        <f>'Kirchman 2007'!H156</f>
        <v>913882.97872340423</v>
      </c>
      <c r="J220" s="51">
        <f>'Kirchman 2007'!J156*10^5</f>
        <v>510257.70508058759</v>
      </c>
      <c r="K220" s="51">
        <f>'Kirchman 2007'!M156*10^5</f>
        <v>227365.62411664883</v>
      </c>
      <c r="L220" s="51">
        <f>J220+K220</f>
        <v>737623.32919723645</v>
      </c>
      <c r="M220" s="63">
        <f>L220/I220</f>
        <v>0.80713105109761052</v>
      </c>
      <c r="N220" s="63">
        <f>K220/L220</f>
        <v>0.30824082579396361</v>
      </c>
      <c r="O220" s="63" t="s">
        <v>75</v>
      </c>
      <c r="P220" s="51" t="s">
        <v>76</v>
      </c>
      <c r="Q220" s="51" t="s">
        <v>534</v>
      </c>
      <c r="R220" s="51" t="s">
        <v>77</v>
      </c>
      <c r="S220" s="51" t="s">
        <v>78</v>
      </c>
      <c r="T220" s="51" t="s">
        <v>412</v>
      </c>
      <c r="U220" s="20" t="s">
        <v>104</v>
      </c>
      <c r="V220" s="20" t="s">
        <v>444</v>
      </c>
    </row>
    <row r="221" spans="1:22">
      <c r="A221" s="20" t="s">
        <v>72</v>
      </c>
      <c r="B221" s="20">
        <f>'Kirchman 2007'!C35</f>
        <v>19</v>
      </c>
      <c r="C221" s="20">
        <f>'Kirchman 2007'!G35</f>
        <v>0</v>
      </c>
      <c r="I221" s="51">
        <f>'Kirchman 2007'!H35</f>
        <v>392925.5319148936</v>
      </c>
      <c r="J221" s="51">
        <f>'Kirchman 2007'!J35*10^5</f>
        <v>337850.65346660605</v>
      </c>
      <c r="K221" s="51">
        <f>'Kirchman 2007'!M35*10^5</f>
        <v>10893.676701915832</v>
      </c>
      <c r="L221" s="51">
        <f>J221+K221</f>
        <v>348744.3301685219</v>
      </c>
      <c r="M221" s="63">
        <f>L221/I221</f>
        <v>0.88755833317560739</v>
      </c>
      <c r="N221" s="63">
        <f>K221/L221</f>
        <v>3.1236856801805889E-2</v>
      </c>
      <c r="O221" s="63" t="s">
        <v>75</v>
      </c>
      <c r="P221" s="51" t="s">
        <v>76</v>
      </c>
      <c r="Q221" s="51" t="s">
        <v>534</v>
      </c>
      <c r="R221" s="51" t="s">
        <v>77</v>
      </c>
      <c r="S221" s="51" t="s">
        <v>78</v>
      </c>
      <c r="T221" s="51" t="s">
        <v>412</v>
      </c>
      <c r="U221" s="20" t="s">
        <v>104</v>
      </c>
      <c r="V221" s="20" t="s">
        <v>444</v>
      </c>
    </row>
    <row r="222" spans="1:22">
      <c r="A222" s="20" t="s">
        <v>72</v>
      </c>
      <c r="B222" s="20">
        <f>'Kirchman 2007'!C59</f>
        <v>20</v>
      </c>
      <c r="C222" s="20">
        <f>'Kirchman 2007'!G59</f>
        <v>0</v>
      </c>
      <c r="I222" s="51">
        <f>'Kirchman 2007'!H59</f>
        <v>1476046.09929078</v>
      </c>
      <c r="J222" s="51">
        <f>'Kirchman 2007'!J59*10^5</f>
        <v>1117121.3705192287</v>
      </c>
      <c r="K222" s="51">
        <f>'Kirchman 2007'!M59*10^5</f>
        <v>23388.762859524075</v>
      </c>
      <c r="L222" s="51">
        <f>J222+K222</f>
        <v>1140510.1333787527</v>
      </c>
      <c r="M222" s="63">
        <f>L222/I222</f>
        <v>0.77267920963088632</v>
      </c>
      <c r="N222" s="63">
        <f>K222/L222</f>
        <v>2.050728193903463E-2</v>
      </c>
      <c r="O222" s="63" t="s">
        <v>75</v>
      </c>
      <c r="P222" s="51" t="s">
        <v>76</v>
      </c>
      <c r="Q222" s="51" t="s">
        <v>534</v>
      </c>
      <c r="R222" s="51" t="s">
        <v>77</v>
      </c>
      <c r="S222" s="51" t="s">
        <v>78</v>
      </c>
      <c r="T222" s="51" t="s">
        <v>412</v>
      </c>
      <c r="U222" s="20" t="s">
        <v>104</v>
      </c>
      <c r="V222" s="20" t="s">
        <v>444</v>
      </c>
    </row>
    <row r="223" spans="1:22">
      <c r="A223" s="20" t="s">
        <v>72</v>
      </c>
      <c r="B223" s="20">
        <f>'Kirchman 2007'!C67</f>
        <v>20</v>
      </c>
      <c r="C223" s="20">
        <f>'Kirchman 2007'!G67</f>
        <v>0</v>
      </c>
      <c r="I223" s="51">
        <f>'Kirchman 2007'!H67</f>
        <v>358113.81010689348</v>
      </c>
      <c r="J223" s="51">
        <f>'Kirchman 2007'!J67*10^5</f>
        <v>293969.91809842119</v>
      </c>
      <c r="K223" s="51">
        <f>'Kirchman 2007'!M67*10^5</f>
        <v>28114.993211392037</v>
      </c>
      <c r="L223" s="51">
        <f>J223+K223</f>
        <v>322084.91130981321</v>
      </c>
      <c r="M223" s="63">
        <f>L223/I223</f>
        <v>0.89939260151311673</v>
      </c>
      <c r="N223" s="63">
        <f>K223/L223</f>
        <v>8.7290625000275929E-2</v>
      </c>
      <c r="O223" s="63" t="s">
        <v>75</v>
      </c>
      <c r="P223" s="51" t="s">
        <v>76</v>
      </c>
      <c r="Q223" s="51" t="s">
        <v>534</v>
      </c>
      <c r="R223" s="51" t="s">
        <v>77</v>
      </c>
      <c r="S223" s="51" t="s">
        <v>78</v>
      </c>
      <c r="T223" s="51" t="s">
        <v>412</v>
      </c>
      <c r="U223" s="20" t="s">
        <v>104</v>
      </c>
      <c r="V223" s="20" t="s">
        <v>444</v>
      </c>
    </row>
    <row r="224" spans="1:22">
      <c r="A224" s="20" t="s">
        <v>72</v>
      </c>
      <c r="B224" s="20">
        <f>'Kirchman 2007'!C107</f>
        <v>21</v>
      </c>
      <c r="C224" s="20">
        <f>'Kirchman 2007'!G107</f>
        <v>0</v>
      </c>
      <c r="I224" s="51">
        <f>'Kirchman 2007'!H107</f>
        <v>727214.81285369163</v>
      </c>
      <c r="J224" s="51">
        <f>'Kirchman 2007'!J107*10^5</f>
        <v>621708.81132852042</v>
      </c>
      <c r="K224" s="51">
        <f>'Kirchman 2007'!M107*10^5</f>
        <v>57250.273497580652</v>
      </c>
      <c r="L224" s="51">
        <f>J224+K224</f>
        <v>678959.08482610108</v>
      </c>
      <c r="M224" s="63">
        <f>L224/I224</f>
        <v>0.93364308980694655</v>
      </c>
      <c r="N224" s="63">
        <f>K224/L224</f>
        <v>8.4320653154297098E-2</v>
      </c>
      <c r="O224" s="63" t="s">
        <v>75</v>
      </c>
      <c r="P224" s="51" t="s">
        <v>76</v>
      </c>
      <c r="Q224" s="51" t="s">
        <v>534</v>
      </c>
      <c r="R224" s="51" t="s">
        <v>77</v>
      </c>
      <c r="S224" s="51" t="s">
        <v>78</v>
      </c>
      <c r="T224" s="51" t="s">
        <v>412</v>
      </c>
      <c r="U224" s="20" t="s">
        <v>104</v>
      </c>
      <c r="V224" s="20" t="s">
        <v>444</v>
      </c>
    </row>
    <row r="225" spans="1:22">
      <c r="A225" s="20" t="s">
        <v>72</v>
      </c>
      <c r="B225" s="20">
        <f>'Kirchman 2007'!C72</f>
        <v>24</v>
      </c>
      <c r="C225" s="20">
        <f>'Kirchman 2007'!G72</f>
        <v>0</v>
      </c>
      <c r="I225" s="51">
        <f>'Kirchman 2007'!H72</f>
        <v>1103723.4042553201</v>
      </c>
      <c r="J225" s="51">
        <f>'Kirchman 2007'!J72*10^5</f>
        <v>922510.7963653222</v>
      </c>
      <c r="K225" s="51">
        <f>'Kirchman 2007'!M72*10^5</f>
        <v>34197.347499481293</v>
      </c>
      <c r="L225" s="51">
        <f>J225+K225</f>
        <v>956708.14386480348</v>
      </c>
      <c r="M225" s="63">
        <f>L225/I225</f>
        <v>0.86680063154979714</v>
      </c>
      <c r="N225" s="63">
        <f>K225/L225</f>
        <v>3.5744806520967454E-2</v>
      </c>
      <c r="O225" s="63" t="s">
        <v>75</v>
      </c>
      <c r="P225" s="51" t="s">
        <v>76</v>
      </c>
      <c r="Q225" s="51" t="s">
        <v>534</v>
      </c>
      <c r="R225" s="51" t="s">
        <v>77</v>
      </c>
      <c r="S225" s="51" t="s">
        <v>78</v>
      </c>
      <c r="T225" s="51" t="s">
        <v>412</v>
      </c>
      <c r="U225" s="20" t="s">
        <v>104</v>
      </c>
      <c r="V225" s="20" t="s">
        <v>444</v>
      </c>
    </row>
    <row r="226" spans="1:22">
      <c r="A226" s="20" t="s">
        <v>72</v>
      </c>
      <c r="B226" s="20">
        <f>'Kirchman 2007'!C138</f>
        <v>24</v>
      </c>
      <c r="C226" s="20">
        <f>'Kirchman 2007'!G138</f>
        <v>0</v>
      </c>
      <c r="I226" s="51">
        <f>'Kirchman 2007'!H138</f>
        <v>1215861.0495195861</v>
      </c>
      <c r="J226" s="51">
        <f>'Kirchman 2007'!J138*10^5</f>
        <v>946005.15681649814</v>
      </c>
      <c r="K226" s="51">
        <f>'Kirchman 2007'!M138*10^5</f>
        <v>127581.50808127105</v>
      </c>
      <c r="L226" s="51">
        <f>J226+K226</f>
        <v>1073586.6648977692</v>
      </c>
      <c r="M226" s="63">
        <f>L226/I226</f>
        <v>0.88298466779733364</v>
      </c>
      <c r="N226" s="63">
        <f>K226/L226</f>
        <v>0.11883671086154914</v>
      </c>
      <c r="O226" s="63" t="s">
        <v>75</v>
      </c>
      <c r="P226" s="51" t="s">
        <v>76</v>
      </c>
      <c r="Q226" s="51" t="s">
        <v>534</v>
      </c>
      <c r="R226" s="51" t="s">
        <v>77</v>
      </c>
      <c r="S226" s="51" t="s">
        <v>78</v>
      </c>
      <c r="T226" s="51" t="s">
        <v>412</v>
      </c>
      <c r="U226" s="20" t="s">
        <v>104</v>
      </c>
      <c r="V226" s="20" t="s">
        <v>444</v>
      </c>
    </row>
    <row r="227" spans="1:22">
      <c r="A227" s="20" t="s">
        <v>72</v>
      </c>
      <c r="B227" s="20">
        <f>'Kirchman 2007'!C43</f>
        <v>26</v>
      </c>
      <c r="C227" s="20">
        <f>'Kirchman 2007'!G43</f>
        <v>0</v>
      </c>
      <c r="I227" s="51">
        <f>'Kirchman 2007'!H43</f>
        <v>420886.52482269501</v>
      </c>
      <c r="J227" s="51">
        <f>'Kirchman 2007'!J43*10^5</f>
        <v>383941.43430134916</v>
      </c>
      <c r="K227" s="51">
        <f>'Kirchman 2007'!M43*10^5</f>
        <v>16527.535058554542</v>
      </c>
      <c r="L227" s="51">
        <f>J227+K227</f>
        <v>400468.96935990371</v>
      </c>
      <c r="M227" s="63">
        <f>L227/I227</f>
        <v>0.95148916808065431</v>
      </c>
      <c r="N227" s="63">
        <f>K227/L227</f>
        <v>4.1270451203676541E-2</v>
      </c>
      <c r="O227" s="63" t="s">
        <v>75</v>
      </c>
      <c r="P227" s="51" t="s">
        <v>76</v>
      </c>
      <c r="Q227" s="51" t="s">
        <v>534</v>
      </c>
      <c r="R227" s="51" t="s">
        <v>77</v>
      </c>
      <c r="S227" s="51" t="s">
        <v>78</v>
      </c>
      <c r="T227" s="51" t="s">
        <v>412</v>
      </c>
      <c r="U227" s="20" t="s">
        <v>104</v>
      </c>
      <c r="V227" s="20" t="s">
        <v>444</v>
      </c>
    </row>
    <row r="228" spans="1:22">
      <c r="A228" s="20" t="s">
        <v>72</v>
      </c>
      <c r="B228" s="20">
        <f>'Kirchman 2007'!C85</f>
        <v>28</v>
      </c>
      <c r="C228" s="20">
        <f>'Kirchman 2007'!G85</f>
        <v>0</v>
      </c>
      <c r="I228" s="51">
        <f>'Kirchman 2007'!H85</f>
        <v>694609.92907801422</v>
      </c>
      <c r="J228" s="51">
        <f>'Kirchman 2007'!J85*10^5</f>
        <v>563875.26842449291</v>
      </c>
      <c r="K228" s="51">
        <f>'Kirchman 2007'!M85*10^5</f>
        <v>42566.653989985723</v>
      </c>
      <c r="L228" s="51">
        <f>J228+K228</f>
        <v>606441.92241447861</v>
      </c>
      <c r="M228" s="63">
        <f>L228/I228</f>
        <v>0.87306831795427287</v>
      </c>
      <c r="N228" s="63">
        <f>K228/L228</f>
        <v>7.0190816987901319E-2</v>
      </c>
      <c r="O228" s="63" t="s">
        <v>75</v>
      </c>
      <c r="P228" s="51" t="s">
        <v>76</v>
      </c>
      <c r="Q228" s="51" t="s">
        <v>534</v>
      </c>
      <c r="R228" s="51" t="s">
        <v>77</v>
      </c>
      <c r="S228" s="51" t="s">
        <v>78</v>
      </c>
      <c r="T228" s="51" t="s">
        <v>412</v>
      </c>
      <c r="U228" s="20" t="s">
        <v>104</v>
      </c>
      <c r="V228" s="20" t="s">
        <v>444</v>
      </c>
    </row>
    <row r="229" spans="1:22">
      <c r="A229" s="20" t="s">
        <v>72</v>
      </c>
      <c r="B229" s="20">
        <f>'Kirchman 2007'!C73</f>
        <v>30</v>
      </c>
      <c r="C229" s="20">
        <f>'Kirchman 2007'!G73</f>
        <v>0</v>
      </c>
      <c r="I229" s="51">
        <f>'Kirchman 2007'!H73</f>
        <v>412056.73758865247</v>
      </c>
      <c r="J229" s="51">
        <f>'Kirchman 2007'!J73*10^5</f>
        <v>321683.86482667015</v>
      </c>
      <c r="K229" s="51">
        <f>'Kirchman 2007'!M73*10^5</f>
        <v>34521.371653573457</v>
      </c>
      <c r="L229" s="51">
        <f>J229+K229</f>
        <v>356205.23648024362</v>
      </c>
      <c r="M229" s="63">
        <f>L229/I229</f>
        <v>0.86445677011556543</v>
      </c>
      <c r="N229" s="63">
        <f>K229/L229</f>
        <v>9.6914273340527185E-2</v>
      </c>
      <c r="O229" s="63" t="s">
        <v>75</v>
      </c>
      <c r="P229" s="51" t="s">
        <v>76</v>
      </c>
      <c r="Q229" s="51" t="s">
        <v>534</v>
      </c>
      <c r="R229" s="51" t="s">
        <v>77</v>
      </c>
      <c r="S229" s="51" t="s">
        <v>78</v>
      </c>
      <c r="T229" s="51" t="s">
        <v>412</v>
      </c>
      <c r="U229" s="20" t="s">
        <v>104</v>
      </c>
      <c r="V229" s="20" t="s">
        <v>444</v>
      </c>
    </row>
    <row r="230" spans="1:22">
      <c r="A230" s="20" t="s">
        <v>72</v>
      </c>
      <c r="B230" s="20">
        <f>'Kirchman 2007'!C136</f>
        <v>30</v>
      </c>
      <c r="C230" s="20">
        <f>'Kirchman 2007'!G136</f>
        <v>0</v>
      </c>
      <c r="I230" s="51">
        <f>'Kirchman 2007'!H136</f>
        <v>341897.01897018967</v>
      </c>
      <c r="J230" s="51">
        <f>'Kirchman 2007'!J136*10^5</f>
        <v>221156.63641674456</v>
      </c>
      <c r="K230" s="51">
        <f>'Kirchman 2007'!M136*10^5</f>
        <v>123805.0677972649</v>
      </c>
      <c r="L230" s="51">
        <f>J230+K230</f>
        <v>344961.70421400946</v>
      </c>
      <c r="M230" s="63">
        <f>L230/I230</f>
        <v>1.0089637670812421</v>
      </c>
      <c r="N230" s="63">
        <f>K230/L230</f>
        <v>0.35889510715212014</v>
      </c>
      <c r="O230" s="63" t="s">
        <v>75</v>
      </c>
      <c r="P230" s="51" t="s">
        <v>76</v>
      </c>
      <c r="Q230" s="51" t="s">
        <v>534</v>
      </c>
      <c r="R230" s="51" t="s">
        <v>77</v>
      </c>
      <c r="S230" s="51" t="s">
        <v>78</v>
      </c>
      <c r="T230" s="51" t="s">
        <v>412</v>
      </c>
      <c r="U230" s="20" t="s">
        <v>104</v>
      </c>
      <c r="V230" s="20" t="s">
        <v>444</v>
      </c>
    </row>
    <row r="231" spans="1:22">
      <c r="A231" s="20" t="s">
        <v>72</v>
      </c>
      <c r="B231" s="20">
        <f>'Kirchman 2007'!C76</f>
        <v>31</v>
      </c>
      <c r="C231" s="20">
        <f>'Kirchman 2007'!G76</f>
        <v>0</v>
      </c>
      <c r="I231" s="51">
        <f>'Kirchman 2007'!H76</f>
        <v>476808.51063829788</v>
      </c>
      <c r="J231" s="51">
        <f>'Kirchman 2007'!J76*10^5</f>
        <v>397804.49206852476</v>
      </c>
      <c r="K231" s="51">
        <f>'Kirchman 2007'!M76*10^5</f>
        <v>36061.598882015154</v>
      </c>
      <c r="L231" s="51">
        <f>J231+K231</f>
        <v>433866.09095053992</v>
      </c>
      <c r="M231" s="63">
        <f>L231/I231</f>
        <v>0.90993780788377399</v>
      </c>
      <c r="N231" s="63">
        <f>K231/L231</f>
        <v>8.31168870630319E-2</v>
      </c>
      <c r="O231" s="63" t="s">
        <v>75</v>
      </c>
      <c r="P231" s="51" t="s">
        <v>76</v>
      </c>
      <c r="Q231" s="51" t="s">
        <v>534</v>
      </c>
      <c r="R231" s="51" t="s">
        <v>77</v>
      </c>
      <c r="S231" s="51" t="s">
        <v>78</v>
      </c>
      <c r="T231" s="51" t="s">
        <v>412</v>
      </c>
      <c r="U231" s="20" t="s">
        <v>104</v>
      </c>
      <c r="V231" s="20" t="s">
        <v>444</v>
      </c>
    </row>
    <row r="232" spans="1:22">
      <c r="A232" s="20" t="s">
        <v>72</v>
      </c>
      <c r="B232" s="20">
        <f>'Kirchman 2007'!C141</f>
        <v>31</v>
      </c>
      <c r="C232" s="20">
        <f>'Kirchman 2007'!G141</f>
        <v>0</v>
      </c>
      <c r="I232" s="51">
        <f>'Kirchman 2007'!H141</f>
        <v>323493.47129834897</v>
      </c>
      <c r="J232" s="51">
        <f>'Kirchman 2007'!J141*10^5</f>
        <v>230390.86721390364</v>
      </c>
      <c r="K232" s="51">
        <f>'Kirchman 2007'!M141*10^5</f>
        <v>148729.993218944</v>
      </c>
      <c r="L232" s="51">
        <f>J232+K232</f>
        <v>379120.86043284764</v>
      </c>
      <c r="M232" s="63">
        <f>L232/I232</f>
        <v>1.171958305406402</v>
      </c>
      <c r="N232" s="63">
        <f>K232/L232</f>
        <v>0.39230232029210121</v>
      </c>
      <c r="O232" s="63" t="s">
        <v>75</v>
      </c>
      <c r="P232" s="51" t="s">
        <v>76</v>
      </c>
      <c r="Q232" s="51" t="s">
        <v>534</v>
      </c>
      <c r="R232" s="51" t="s">
        <v>77</v>
      </c>
      <c r="S232" s="51" t="s">
        <v>78</v>
      </c>
      <c r="T232" s="51" t="s">
        <v>412</v>
      </c>
      <c r="U232" s="20" t="s">
        <v>104</v>
      </c>
      <c r="V232" s="20" t="s">
        <v>444</v>
      </c>
    </row>
    <row r="233" spans="1:22">
      <c r="A233" s="20" t="s">
        <v>72</v>
      </c>
      <c r="B233" s="20">
        <f>'Kirchman 2007'!C119</f>
        <v>32</v>
      </c>
      <c r="C233" s="20">
        <f>'Kirchman 2007'!G119</f>
        <v>0</v>
      </c>
      <c r="I233" s="51">
        <f>'Kirchman 2007'!H119</f>
        <v>687251.77304964548</v>
      </c>
      <c r="J233" s="51">
        <f>'Kirchman 2007'!J119*10^5</f>
        <v>568852.64446337777</v>
      </c>
      <c r="K233" s="51">
        <f>'Kirchman 2007'!M119*10^5</f>
        <v>73627.574399470468</v>
      </c>
      <c r="L233" s="51">
        <f>J233+K233</f>
        <v>642480.21886284824</v>
      </c>
      <c r="M233" s="63">
        <f>L233/I233</f>
        <v>0.93485421799913926</v>
      </c>
      <c r="N233" s="63">
        <f>K233/L233</f>
        <v>0.11459897478211375</v>
      </c>
      <c r="O233" s="63" t="s">
        <v>75</v>
      </c>
      <c r="P233" s="51" t="s">
        <v>76</v>
      </c>
      <c r="Q233" s="51" t="s">
        <v>534</v>
      </c>
      <c r="R233" s="51" t="s">
        <v>77</v>
      </c>
      <c r="S233" s="51" t="s">
        <v>78</v>
      </c>
      <c r="T233" s="51" t="s">
        <v>412</v>
      </c>
      <c r="U233" s="20" t="s">
        <v>104</v>
      </c>
      <c r="V233" s="20" t="s">
        <v>444</v>
      </c>
    </row>
    <row r="234" spans="1:22">
      <c r="A234" s="20" t="s">
        <v>72</v>
      </c>
      <c r="B234" s="20">
        <f>'Kirchman 2007'!C20</f>
        <v>33</v>
      </c>
      <c r="C234" s="20">
        <f>'Kirchman 2007'!G20</f>
        <v>0</v>
      </c>
      <c r="I234" s="51">
        <f>'Kirchman 2007'!H20</f>
        <v>25201.684397163121</v>
      </c>
      <c r="J234" s="51">
        <f>'Kirchman 2007'!J20*10^5</f>
        <v>23801.141289460713</v>
      </c>
      <c r="K234" s="51">
        <f>'Kirchman 2007'!M20*10^5</f>
        <v>2497.3818065545584</v>
      </c>
      <c r="L234" s="51">
        <f>J234+K234</f>
        <v>26298.523096015269</v>
      </c>
      <c r="M234" s="63">
        <f>L234/I234</f>
        <v>1.0435224361025495</v>
      </c>
      <c r="N234" s="63">
        <f>K234/L234</f>
        <v>9.4962815875122647E-2</v>
      </c>
      <c r="O234" s="63" t="s">
        <v>75</v>
      </c>
      <c r="P234" s="51" t="s">
        <v>76</v>
      </c>
      <c r="Q234" s="51" t="s">
        <v>534</v>
      </c>
      <c r="R234" s="51" t="s">
        <v>77</v>
      </c>
      <c r="S234" s="51" t="s">
        <v>78</v>
      </c>
      <c r="T234" s="51" t="s">
        <v>412</v>
      </c>
      <c r="U234" s="20" t="s">
        <v>104</v>
      </c>
      <c r="V234" s="20" t="s">
        <v>444</v>
      </c>
    </row>
    <row r="235" spans="1:22">
      <c r="A235" s="20" t="s">
        <v>72</v>
      </c>
      <c r="B235" s="20">
        <f>'Kirchman 2007'!C145</f>
        <v>33</v>
      </c>
      <c r="C235" s="20">
        <f>'Kirchman 2007'!G145</f>
        <v>0</v>
      </c>
      <c r="I235" s="51">
        <f>'Kirchman 2007'!H145</f>
        <v>757890.07092198601</v>
      </c>
      <c r="J235" s="51">
        <f>'Kirchman 2007'!J145*10^5</f>
        <v>672941.90487568267</v>
      </c>
      <c r="K235" s="51">
        <f>'Kirchman 2007'!M145*10^5</f>
        <v>170057.52942413272</v>
      </c>
      <c r="L235" s="51">
        <f>J235+K235</f>
        <v>842999.43429981545</v>
      </c>
      <c r="M235" s="63">
        <f>L235/I235</f>
        <v>1.1122977680315729</v>
      </c>
      <c r="N235" s="63">
        <f>K235/L235</f>
        <v>0.20172911452233694</v>
      </c>
      <c r="O235" s="63" t="s">
        <v>75</v>
      </c>
      <c r="P235" s="51" t="s">
        <v>76</v>
      </c>
      <c r="Q235" s="51" t="s">
        <v>534</v>
      </c>
      <c r="R235" s="51" t="s">
        <v>77</v>
      </c>
      <c r="S235" s="51" t="s">
        <v>78</v>
      </c>
      <c r="T235" s="51" t="s">
        <v>412</v>
      </c>
      <c r="U235" s="20" t="s">
        <v>104</v>
      </c>
      <c r="V235" s="20" t="s">
        <v>444</v>
      </c>
    </row>
    <row r="236" spans="1:22">
      <c r="A236" s="20" t="s">
        <v>72</v>
      </c>
      <c r="B236" s="20">
        <f>'Kirchman 2007'!C139</f>
        <v>34</v>
      </c>
      <c r="C236" s="20">
        <f>'Kirchman 2007'!G139</f>
        <v>0</v>
      </c>
      <c r="I236" s="51">
        <f>'Kirchman 2007'!H139</f>
        <v>1192140.9214092141</v>
      </c>
      <c r="J236" s="51">
        <f>'Kirchman 2007'!J139*10^5</f>
        <v>928622.01415334712</v>
      </c>
      <c r="K236" s="51">
        <f>'Kirchman 2007'!M139*10^5</f>
        <v>129068.93140490727</v>
      </c>
      <c r="L236" s="51">
        <f>J236+K236</f>
        <v>1057690.9455582544</v>
      </c>
      <c r="M236" s="63">
        <f>L236/I236</f>
        <v>0.8872197292816455</v>
      </c>
      <c r="N236" s="63">
        <f>K236/L236</f>
        <v>0.12202896502700424</v>
      </c>
      <c r="O236" s="63" t="s">
        <v>75</v>
      </c>
      <c r="P236" s="51" t="s">
        <v>76</v>
      </c>
      <c r="Q236" s="51" t="s">
        <v>534</v>
      </c>
      <c r="R236" s="51" t="s">
        <v>77</v>
      </c>
      <c r="S236" s="51" t="s">
        <v>78</v>
      </c>
      <c r="T236" s="51" t="s">
        <v>412</v>
      </c>
      <c r="U236" s="20" t="s">
        <v>104</v>
      </c>
      <c r="V236" s="20" t="s">
        <v>444</v>
      </c>
    </row>
    <row r="237" spans="1:22">
      <c r="A237" s="20" t="s">
        <v>72</v>
      </c>
      <c r="B237" s="20">
        <f>'Kirchman 2007'!C49</f>
        <v>37</v>
      </c>
      <c r="C237" s="20">
        <f>'Kirchman 2007'!G49</f>
        <v>0</v>
      </c>
      <c r="I237" s="51">
        <f>'Kirchman 2007'!H49</f>
        <v>510391.72209903912</v>
      </c>
      <c r="J237" s="51">
        <f>'Kirchman 2007'!J49*10^5</f>
        <v>466145.15088664711</v>
      </c>
      <c r="K237" s="51">
        <f>'Kirchman 2007'!M49*10^5</f>
        <v>19765.857824282259</v>
      </c>
      <c r="L237" s="51">
        <f>J237+K237</f>
        <v>485911.00871092937</v>
      </c>
      <c r="M237" s="63">
        <f>L237/I237</f>
        <v>0.95203544193971201</v>
      </c>
      <c r="N237" s="63">
        <f>K237/L237</f>
        <v>4.0677937873272299E-2</v>
      </c>
      <c r="O237" s="63" t="s">
        <v>75</v>
      </c>
      <c r="P237" s="51" t="s">
        <v>76</v>
      </c>
      <c r="Q237" s="51" t="s">
        <v>534</v>
      </c>
      <c r="R237" s="51" t="s">
        <v>77</v>
      </c>
      <c r="S237" s="51" t="s">
        <v>78</v>
      </c>
      <c r="T237" s="51" t="s">
        <v>412</v>
      </c>
      <c r="U237" s="20" t="s">
        <v>104</v>
      </c>
      <c r="V237" s="20" t="s">
        <v>444</v>
      </c>
    </row>
    <row r="238" spans="1:22">
      <c r="A238" s="20" t="s">
        <v>72</v>
      </c>
      <c r="B238" s="20">
        <f>'Kirchman 2007'!C44</f>
        <v>39</v>
      </c>
      <c r="C238" s="20">
        <f>'Kirchman 2007'!G44</f>
        <v>0</v>
      </c>
      <c r="I238" s="51">
        <f>'Kirchman 2007'!H44</f>
        <v>799095.744680851</v>
      </c>
      <c r="J238" s="51">
        <f>'Kirchman 2007'!J44*10^5</f>
        <v>773274.90578168142</v>
      </c>
      <c r="K238" s="51">
        <f>'Kirchman 2007'!M44*10^5</f>
        <v>16656.33513412478</v>
      </c>
      <c r="L238" s="51">
        <f>J238+K238</f>
        <v>789931.24091580615</v>
      </c>
      <c r="M238" s="63">
        <f>L238/I238</f>
        <v>0.98853140712355436</v>
      </c>
      <c r="N238" s="63">
        <f>K238/L238</f>
        <v>2.1085803765419218E-2</v>
      </c>
      <c r="O238" s="63" t="s">
        <v>75</v>
      </c>
      <c r="P238" s="51" t="s">
        <v>76</v>
      </c>
      <c r="Q238" s="51" t="s">
        <v>534</v>
      </c>
      <c r="R238" s="51" t="s">
        <v>77</v>
      </c>
      <c r="S238" s="51" t="s">
        <v>78</v>
      </c>
      <c r="T238" s="51" t="s">
        <v>412</v>
      </c>
      <c r="U238" s="20" t="s">
        <v>104</v>
      </c>
      <c r="V238" s="20" t="s">
        <v>444</v>
      </c>
    </row>
    <row r="239" spans="1:22">
      <c r="A239" s="20" t="s">
        <v>72</v>
      </c>
      <c r="B239" s="20">
        <f>'Kirchman 2007'!C144</f>
        <v>42</v>
      </c>
      <c r="C239" s="20">
        <f>'Kirchman 2007'!G144</f>
        <v>0</v>
      </c>
      <c r="I239" s="51">
        <f>'Kirchman 2007'!H144</f>
        <v>383611.72702636116</v>
      </c>
      <c r="J239" s="51">
        <f>'Kirchman 2007'!J144*10^5</f>
        <v>304468.19393890683</v>
      </c>
      <c r="K239" s="51">
        <f>'Kirchman 2007'!M144*10^5</f>
        <v>162517.30181665442</v>
      </c>
      <c r="L239" s="51">
        <f>J239+K239</f>
        <v>466985.49575556128</v>
      </c>
      <c r="M239" s="63">
        <f>L239/I239</f>
        <v>1.217338946792601</v>
      </c>
      <c r="N239" s="63">
        <f>K239/L239</f>
        <v>0.34801359634030782</v>
      </c>
      <c r="O239" s="63" t="s">
        <v>75</v>
      </c>
      <c r="P239" s="51" t="s">
        <v>76</v>
      </c>
      <c r="Q239" s="51" t="s">
        <v>534</v>
      </c>
      <c r="R239" s="51" t="s">
        <v>77</v>
      </c>
      <c r="S239" s="51" t="s">
        <v>78</v>
      </c>
      <c r="T239" s="51" t="s">
        <v>412</v>
      </c>
      <c r="U239" s="20" t="s">
        <v>104</v>
      </c>
      <c r="V239" s="20" t="s">
        <v>444</v>
      </c>
    </row>
    <row r="240" spans="1:22">
      <c r="A240" s="20" t="s">
        <v>72</v>
      </c>
      <c r="B240" s="20">
        <f>'Kirchman 2007'!C40</f>
        <v>47</v>
      </c>
      <c r="C240" s="20">
        <f>'Kirchman 2007'!G40</f>
        <v>0</v>
      </c>
      <c r="I240" s="51">
        <f>'Kirchman 2007'!H40</f>
        <v>341079.08351810795</v>
      </c>
      <c r="J240" s="51">
        <f>'Kirchman 2007'!J40*10^5</f>
        <v>272004.38218568842</v>
      </c>
      <c r="K240" s="51">
        <f>'Kirchman 2007'!M40*10^5</f>
        <v>15631.840712148274</v>
      </c>
      <c r="L240" s="51">
        <f>J240+K240</f>
        <v>287636.22289783671</v>
      </c>
      <c r="M240" s="63">
        <f>L240/I240</f>
        <v>0.84331240699656107</v>
      </c>
      <c r="N240" s="63">
        <f>K240/L240</f>
        <v>5.4345869774894195E-2</v>
      </c>
      <c r="O240" s="63" t="s">
        <v>75</v>
      </c>
      <c r="P240" s="51" t="s">
        <v>76</v>
      </c>
      <c r="Q240" s="51" t="s">
        <v>534</v>
      </c>
      <c r="R240" s="51" t="s">
        <v>77</v>
      </c>
      <c r="S240" s="51" t="s">
        <v>78</v>
      </c>
      <c r="T240" s="51" t="s">
        <v>412</v>
      </c>
      <c r="U240" s="20" t="s">
        <v>104</v>
      </c>
      <c r="V240" s="20" t="s">
        <v>444</v>
      </c>
    </row>
    <row r="241" spans="1:22">
      <c r="A241" s="20" t="s">
        <v>72</v>
      </c>
      <c r="B241" s="20">
        <f>'Kirchman 2007'!C55</f>
        <v>50</v>
      </c>
      <c r="C241" s="20">
        <f>'Kirchman 2007'!G55</f>
        <v>0</v>
      </c>
      <c r="I241" s="51">
        <f>'Kirchman 2007'!H55</f>
        <v>328810.05173688103</v>
      </c>
      <c r="J241" s="51">
        <f>'Kirchman 2007'!J55*10^5</f>
        <v>261308.75637546857</v>
      </c>
      <c r="K241" s="51">
        <f>'Kirchman 2007'!M55*10^5</f>
        <v>22838.595333972582</v>
      </c>
      <c r="L241" s="51">
        <f>J241+K241</f>
        <v>284147.35170944117</v>
      </c>
      <c r="M241" s="63">
        <f>L241/I241</f>
        <v>0.86416869012514352</v>
      </c>
      <c r="N241" s="63">
        <f>K241/L241</f>
        <v>8.037588665378978E-2</v>
      </c>
      <c r="O241" s="63" t="s">
        <v>75</v>
      </c>
      <c r="P241" s="51" t="s">
        <v>76</v>
      </c>
      <c r="Q241" s="51" t="s">
        <v>534</v>
      </c>
      <c r="R241" s="51" t="s">
        <v>77</v>
      </c>
      <c r="S241" s="51" t="s">
        <v>78</v>
      </c>
      <c r="T241" s="51" t="s">
        <v>412</v>
      </c>
      <c r="U241" s="20" t="s">
        <v>104</v>
      </c>
      <c r="V241" s="20" t="s">
        <v>444</v>
      </c>
    </row>
    <row r="242" spans="1:22">
      <c r="A242" s="20" t="s">
        <v>72</v>
      </c>
      <c r="B242" s="20">
        <f>'Kirchman 2007'!C161</f>
        <v>14</v>
      </c>
      <c r="C242" s="20">
        <f>'Kirchman 2007'!G161</f>
        <v>3.3</v>
      </c>
      <c r="I242" s="51">
        <f>'Kirchman 2007'!H161</f>
        <v>1424539.0070921984</v>
      </c>
      <c r="J242" s="51">
        <f>'Kirchman 2007'!J161*10^5</f>
        <v>1282243.8076126468</v>
      </c>
      <c r="K242" s="51">
        <f>'Kirchman 2007'!M161*10^5</f>
        <v>339437.04198608978</v>
      </c>
      <c r="L242" s="51">
        <f>J242+K242</f>
        <v>1621680.8495987365</v>
      </c>
      <c r="M242" s="63">
        <f>L242/I242</f>
        <v>1.1383899223012142</v>
      </c>
      <c r="N242" s="63">
        <f>K242/L242</f>
        <v>0.20931186433513044</v>
      </c>
      <c r="O242" s="63" t="s">
        <v>75</v>
      </c>
      <c r="P242" s="51" t="s">
        <v>76</v>
      </c>
      <c r="Q242" s="51" t="s">
        <v>534</v>
      </c>
      <c r="R242" s="51" t="s">
        <v>77</v>
      </c>
      <c r="S242" s="51" t="s">
        <v>78</v>
      </c>
      <c r="T242" s="51" t="s">
        <v>412</v>
      </c>
      <c r="U242" s="20" t="s">
        <v>104</v>
      </c>
      <c r="V242" s="20" t="s">
        <v>444</v>
      </c>
    </row>
    <row r="243" spans="1:22">
      <c r="A243" s="20" t="s">
        <v>72</v>
      </c>
      <c r="B243" s="20">
        <f>'Kirchman 2007'!C101</f>
        <v>16</v>
      </c>
      <c r="C243" s="20">
        <f>'Kirchman 2007'!G101</f>
        <v>3.9</v>
      </c>
      <c r="I243" s="51">
        <f>'Kirchman 2007'!H101</f>
        <v>1084592.1985815605</v>
      </c>
      <c r="J243" s="51">
        <f>'Kirchman 2007'!J101*10^5</f>
        <v>728676.53930774122</v>
      </c>
      <c r="K243" s="51">
        <f>'Kirchman 2007'!M101*10^5</f>
        <v>51391.456254635596</v>
      </c>
      <c r="L243" s="51">
        <f>J243+K243</f>
        <v>780067.9955623768</v>
      </c>
      <c r="M243" s="63">
        <f>L243/I243</f>
        <v>0.71922700216962354</v>
      </c>
      <c r="N243" s="63">
        <f>K243/L243</f>
        <v>6.5880739303483149E-2</v>
      </c>
      <c r="O243" s="63" t="s">
        <v>75</v>
      </c>
      <c r="P243" s="51" t="s">
        <v>76</v>
      </c>
      <c r="Q243" s="51" t="s">
        <v>534</v>
      </c>
      <c r="R243" s="51" t="s">
        <v>77</v>
      </c>
      <c r="S243" s="51" t="s">
        <v>78</v>
      </c>
      <c r="T243" s="51" t="s">
        <v>412</v>
      </c>
      <c r="U243" s="20" t="s">
        <v>104</v>
      </c>
      <c r="V243" s="20" t="s">
        <v>444</v>
      </c>
    </row>
    <row r="244" spans="1:22">
      <c r="A244" s="20" t="s">
        <v>72</v>
      </c>
      <c r="B244" s="20">
        <f>'Kirchman 2007'!C129</f>
        <v>23</v>
      </c>
      <c r="C244" s="20">
        <f>'Kirchman 2007'!G129</f>
        <v>5</v>
      </c>
      <c r="I244" s="51">
        <f>'Kirchman 2007'!H129</f>
        <v>726528.11331369763</v>
      </c>
      <c r="J244" s="51">
        <f>'Kirchman 2007'!J129*10^5</f>
        <v>663890.11536855553</v>
      </c>
      <c r="K244" s="51">
        <f>'Kirchman 2007'!M129*10^5</f>
        <v>90382.480660664194</v>
      </c>
      <c r="L244" s="51">
        <f>J244+K244</f>
        <v>754272.59602921968</v>
      </c>
      <c r="M244" s="63">
        <f>L244/I244</f>
        <v>1.0381877620522892</v>
      </c>
      <c r="N244" s="63">
        <f>K244/L244</f>
        <v>0.11982734244419357</v>
      </c>
      <c r="O244" s="63" t="s">
        <v>75</v>
      </c>
      <c r="P244" s="51" t="s">
        <v>76</v>
      </c>
      <c r="Q244" s="51" t="s">
        <v>534</v>
      </c>
      <c r="R244" s="51" t="s">
        <v>77</v>
      </c>
      <c r="S244" s="51" t="s">
        <v>78</v>
      </c>
      <c r="T244" s="51" t="s">
        <v>412</v>
      </c>
      <c r="U244" s="20" t="s">
        <v>104</v>
      </c>
      <c r="V244" s="20" t="s">
        <v>444</v>
      </c>
    </row>
    <row r="245" spans="1:22">
      <c r="A245" s="20" t="s">
        <v>72</v>
      </c>
      <c r="B245" s="20">
        <f>'Kirchman 2007'!C116</f>
        <v>14</v>
      </c>
      <c r="C245" s="20">
        <f>'Kirchman 2007'!G116</f>
        <v>5.7</v>
      </c>
      <c r="I245" s="51">
        <f>'Kirchman 2007'!H116</f>
        <v>1102251.7730496454</v>
      </c>
      <c r="J245" s="51">
        <f>'Kirchman 2007'!J116*10^5</f>
        <v>973259.79589351127</v>
      </c>
      <c r="K245" s="51">
        <f>'Kirchman 2007'!M116*10^5</f>
        <v>70979.391196404191</v>
      </c>
      <c r="L245" s="51">
        <f>J245+K245</f>
        <v>1044239.1870899155</v>
      </c>
      <c r="M245" s="63">
        <f>L245/I245</f>
        <v>0.94736902459297112</v>
      </c>
      <c r="N245" s="63">
        <f>K245/L245</f>
        <v>6.797234970103877E-2</v>
      </c>
      <c r="O245" s="63" t="s">
        <v>75</v>
      </c>
      <c r="P245" s="51" t="s">
        <v>76</v>
      </c>
      <c r="Q245" s="51" t="s">
        <v>534</v>
      </c>
      <c r="R245" s="51" t="s">
        <v>77</v>
      </c>
      <c r="S245" s="51" t="s">
        <v>78</v>
      </c>
      <c r="T245" s="51" t="s">
        <v>412</v>
      </c>
      <c r="U245" s="20" t="s">
        <v>104</v>
      </c>
      <c r="V245" s="20" t="s">
        <v>444</v>
      </c>
    </row>
    <row r="246" spans="1:22">
      <c r="A246" s="20" t="s">
        <v>72</v>
      </c>
      <c r="B246" s="20">
        <f>'Kirchman 2007'!C162</f>
        <v>25</v>
      </c>
      <c r="C246" s="20">
        <f>'Kirchman 2007'!G162</f>
        <v>6</v>
      </c>
      <c r="I246" s="51">
        <f>'Kirchman 2007'!H162</f>
        <v>1975314.1167775313</v>
      </c>
      <c r="J246" s="51">
        <f>'Kirchman 2007'!J162*10^5</f>
        <v>1581570.5503622917</v>
      </c>
      <c r="K246" s="51">
        <f>'Kirchman 2007'!M162*10^5</f>
        <v>495732.52261581278</v>
      </c>
      <c r="L246" s="51">
        <f>J246+K246</f>
        <v>2077303.0729781045</v>
      </c>
      <c r="M246" s="63">
        <f>L246/I246</f>
        <v>1.0516317659729759</v>
      </c>
      <c r="N246" s="63">
        <f>K246/L246</f>
        <v>0.23864236714631673</v>
      </c>
      <c r="O246" s="63" t="s">
        <v>75</v>
      </c>
      <c r="P246" s="51" t="s">
        <v>76</v>
      </c>
      <c r="Q246" s="51" t="s">
        <v>534</v>
      </c>
      <c r="R246" s="51" t="s">
        <v>77</v>
      </c>
      <c r="S246" s="51" t="s">
        <v>78</v>
      </c>
      <c r="T246" s="51" t="s">
        <v>412</v>
      </c>
      <c r="U246" s="20" t="s">
        <v>104</v>
      </c>
      <c r="V246" s="20" t="s">
        <v>444</v>
      </c>
    </row>
    <row r="247" spans="1:22">
      <c r="A247" s="20" t="s">
        <v>72</v>
      </c>
      <c r="B247" s="20">
        <f>'Kirchman 2007'!C66</f>
        <v>57</v>
      </c>
      <c r="C247" s="20">
        <f>'Kirchman 2007'!G66</f>
        <v>7.3</v>
      </c>
      <c r="I247" s="51">
        <f>'Kirchman 2007'!H66</f>
        <v>415920.17738359206</v>
      </c>
      <c r="J247" s="51">
        <f>'Kirchman 2007'!J66*10^5</f>
        <v>330460.32513564354</v>
      </c>
      <c r="K247" s="51">
        <f>'Kirchman 2007'!M66*10^5</f>
        <v>27880.423761498019</v>
      </c>
      <c r="L247" s="51">
        <f>J247+K247</f>
        <v>358340.74889714154</v>
      </c>
      <c r="M247" s="63">
        <f>L247/I247</f>
        <v>0.86156134850522881</v>
      </c>
      <c r="N247" s="63">
        <f>K247/L247</f>
        <v>7.7804223625990251E-2</v>
      </c>
      <c r="O247" s="63" t="s">
        <v>75</v>
      </c>
      <c r="P247" s="51" t="s">
        <v>76</v>
      </c>
      <c r="Q247" s="51" t="s">
        <v>534</v>
      </c>
      <c r="R247" s="51" t="s">
        <v>77</v>
      </c>
      <c r="S247" s="51" t="s">
        <v>78</v>
      </c>
      <c r="T247" s="51" t="s">
        <v>412</v>
      </c>
      <c r="U247" s="20" t="s">
        <v>104</v>
      </c>
      <c r="V247" s="20" t="s">
        <v>444</v>
      </c>
    </row>
    <row r="248" spans="1:22">
      <c r="A248" s="20" t="s">
        <v>72</v>
      </c>
      <c r="B248" s="20">
        <f>'Kirchman 2007'!C124</f>
        <v>50</v>
      </c>
      <c r="C248" s="20">
        <f>'Kirchman 2007'!G124</f>
        <v>7.7</v>
      </c>
      <c r="I248" s="51">
        <f>'Kirchman 2007'!H124</f>
        <v>585641.7836905641</v>
      </c>
      <c r="J248" s="51">
        <f>'Kirchman 2007'!J124*10^5</f>
        <v>499184.4730833245</v>
      </c>
      <c r="K248" s="51">
        <f>'Kirchman 2007'!M124*10^5</f>
        <v>82199.901330733745</v>
      </c>
      <c r="L248" s="51">
        <f>J248+K248</f>
        <v>581384.37441405829</v>
      </c>
      <c r="M248" s="63">
        <f>L248/I248</f>
        <v>0.9927303525891259</v>
      </c>
      <c r="N248" s="63">
        <f>K248/L248</f>
        <v>0.14138649910152468</v>
      </c>
      <c r="O248" s="63" t="s">
        <v>75</v>
      </c>
      <c r="P248" s="51" t="s">
        <v>76</v>
      </c>
      <c r="Q248" s="51" t="s">
        <v>534</v>
      </c>
      <c r="R248" s="51" t="s">
        <v>77</v>
      </c>
      <c r="S248" s="51" t="s">
        <v>78</v>
      </c>
      <c r="T248" s="51" t="s">
        <v>412</v>
      </c>
      <c r="U248" s="20" t="s">
        <v>104</v>
      </c>
      <c r="V248" s="20" t="s">
        <v>444</v>
      </c>
    </row>
    <row r="249" spans="1:22">
      <c r="A249" s="20" t="s">
        <v>72</v>
      </c>
      <c r="B249" s="20">
        <f>'Kirchman 2007'!C160</f>
        <v>20</v>
      </c>
      <c r="C249" s="20">
        <f>'Kirchman 2007'!G160</f>
        <v>8.9</v>
      </c>
      <c r="I249" s="51">
        <f>'Kirchman 2007'!H160</f>
        <v>890336.87943262409</v>
      </c>
      <c r="J249" s="51">
        <f>'Kirchman 2007'!J160*10^5</f>
        <v>776326.80794784799</v>
      </c>
      <c r="K249" s="51">
        <f>'Kirchman 2007'!M160*10^5</f>
        <v>316488.32465410914</v>
      </c>
      <c r="L249" s="51">
        <f>J249+K249</f>
        <v>1092815.1326019571</v>
      </c>
      <c r="M249" s="63">
        <f>L249/I249</f>
        <v>1.2274175740067785</v>
      </c>
      <c r="N249" s="63">
        <f>K249/L249</f>
        <v>0.28960829257603782</v>
      </c>
      <c r="O249" s="63" t="s">
        <v>75</v>
      </c>
      <c r="P249" s="51" t="s">
        <v>76</v>
      </c>
      <c r="Q249" s="51" t="s">
        <v>534</v>
      </c>
      <c r="R249" s="51" t="s">
        <v>77</v>
      </c>
      <c r="S249" s="51" t="s">
        <v>78</v>
      </c>
      <c r="T249" s="51" t="s">
        <v>412</v>
      </c>
      <c r="U249" s="20" t="s">
        <v>104</v>
      </c>
      <c r="V249" s="20" t="s">
        <v>444</v>
      </c>
    </row>
    <row r="250" spans="1:22">
      <c r="A250" s="20" t="s">
        <v>72</v>
      </c>
      <c r="B250" s="20">
        <f>'Kirchman 2007'!C121</f>
        <v>22</v>
      </c>
      <c r="C250" s="20">
        <f>'Kirchman 2007'!G121</f>
        <v>9.1</v>
      </c>
      <c r="I250" s="51">
        <f>'Kirchman 2007'!H121</f>
        <v>1128750.923872875</v>
      </c>
      <c r="J250" s="51">
        <f>'Kirchman 2007'!J121*10^5</f>
        <v>927730.80480805575</v>
      </c>
      <c r="K250" s="51">
        <f>'Kirchman 2007'!M121*10^5</f>
        <v>79262.343455800146</v>
      </c>
      <c r="L250" s="51">
        <f>J250+K250</f>
        <v>1006993.1482638558</v>
      </c>
      <c r="M250" s="63">
        <f>L250/I250</f>
        <v>0.89213051964444534</v>
      </c>
      <c r="N250" s="63">
        <f>K250/L250</f>
        <v>7.8711899472658137E-2</v>
      </c>
      <c r="O250" s="63" t="s">
        <v>75</v>
      </c>
      <c r="P250" s="51" t="s">
        <v>76</v>
      </c>
      <c r="Q250" s="51" t="s">
        <v>534</v>
      </c>
      <c r="R250" s="51" t="s">
        <v>77</v>
      </c>
      <c r="S250" s="51" t="s">
        <v>78</v>
      </c>
      <c r="T250" s="51" t="s">
        <v>412</v>
      </c>
      <c r="U250" s="20" t="s">
        <v>104</v>
      </c>
      <c r="V250" s="20" t="s">
        <v>444</v>
      </c>
    </row>
    <row r="251" spans="1:22">
      <c r="A251" s="20" t="s">
        <v>72</v>
      </c>
      <c r="B251" s="20">
        <f>'Kirchman 2007'!C154</f>
        <v>54</v>
      </c>
      <c r="C251" s="20">
        <f>'Kirchman 2007'!G154</f>
        <v>9.1</v>
      </c>
      <c r="I251" s="51">
        <f>'Kirchman 2007'!H154</f>
        <v>503439.2707563439</v>
      </c>
      <c r="J251" s="51">
        <f>'Kirchman 2007'!J154*10^5</f>
        <v>388453.63143623021</v>
      </c>
      <c r="K251" s="51">
        <f>'Kirchman 2007'!M154*10^5</f>
        <v>208841.62074865581</v>
      </c>
      <c r="L251" s="51">
        <f>J251+K251</f>
        <v>597295.25218488602</v>
      </c>
      <c r="M251" s="63">
        <f>L251/I251</f>
        <v>1.1864295991203413</v>
      </c>
      <c r="N251" s="63">
        <f>K251/L251</f>
        <v>0.3496455395965733</v>
      </c>
      <c r="O251" s="63" t="s">
        <v>75</v>
      </c>
      <c r="P251" s="51" t="s">
        <v>76</v>
      </c>
      <c r="Q251" s="51" t="s">
        <v>534</v>
      </c>
      <c r="R251" s="51" t="s">
        <v>77</v>
      </c>
      <c r="S251" s="51" t="s">
        <v>78</v>
      </c>
      <c r="T251" s="51" t="s">
        <v>412</v>
      </c>
      <c r="U251" s="20" t="s">
        <v>104</v>
      </c>
      <c r="V251" s="20" t="s">
        <v>444</v>
      </c>
    </row>
    <row r="252" spans="1:22">
      <c r="A252" s="20" t="s">
        <v>72</v>
      </c>
      <c r="B252" s="20">
        <f>'Kirchman 2007'!C77</f>
        <v>6</v>
      </c>
      <c r="C252" s="20">
        <f>'Kirchman 2007'!G77</f>
        <v>10</v>
      </c>
      <c r="I252" s="51">
        <f>'Kirchman 2007'!H77</f>
        <v>778061.09879280603</v>
      </c>
      <c r="J252" s="51">
        <f>'Kirchman 2007'!J77*10^5</f>
        <v>694048.17531404644</v>
      </c>
      <c r="K252" s="51">
        <f>'Kirchman 2007'!M77*10^5</f>
        <v>36204.234273432965</v>
      </c>
      <c r="L252" s="51">
        <f>J252+K252</f>
        <v>730252.40958747943</v>
      </c>
      <c r="M252" s="63">
        <f>L252/I252</f>
        <v>0.93855406820941989</v>
      </c>
      <c r="N252" s="63">
        <f>K252/L252</f>
        <v>4.9577699160054514E-2</v>
      </c>
      <c r="O252" s="63" t="s">
        <v>75</v>
      </c>
      <c r="P252" s="51" t="s">
        <v>76</v>
      </c>
      <c r="Q252" s="51" t="s">
        <v>534</v>
      </c>
      <c r="R252" s="51" t="s">
        <v>77</v>
      </c>
      <c r="S252" s="51" t="s">
        <v>78</v>
      </c>
      <c r="T252" s="51" t="s">
        <v>412</v>
      </c>
      <c r="U252" s="20" t="s">
        <v>104</v>
      </c>
      <c r="V252" s="20" t="s">
        <v>444</v>
      </c>
    </row>
    <row r="253" spans="1:22">
      <c r="A253" s="20" t="s">
        <v>72</v>
      </c>
      <c r="B253" s="20">
        <f>'Kirchman 2007'!C34</f>
        <v>16</v>
      </c>
      <c r="C253" s="20">
        <f>'Kirchman 2007'!G34</f>
        <v>10</v>
      </c>
      <c r="I253" s="51">
        <f>'Kirchman 2007'!H34</f>
        <v>304981.86860859185</v>
      </c>
      <c r="J253" s="51">
        <f>'Kirchman 2007'!J34*10^5</f>
        <v>221632.09019259372</v>
      </c>
      <c r="K253" s="51">
        <f>'Kirchman 2007'!M34*10^5</f>
        <v>9738.8154105578633</v>
      </c>
      <c r="L253" s="51">
        <f>J253+K253</f>
        <v>231370.90560315159</v>
      </c>
      <c r="M253" s="63">
        <f>L253/I253</f>
        <v>0.75863823203237302</v>
      </c>
      <c r="N253" s="63">
        <f>K253/L253</f>
        <v>4.2091789307606042E-2</v>
      </c>
      <c r="O253" s="63" t="s">
        <v>75</v>
      </c>
      <c r="P253" s="51" t="s">
        <v>76</v>
      </c>
      <c r="Q253" s="51" t="s">
        <v>534</v>
      </c>
      <c r="R253" s="51" t="s">
        <v>77</v>
      </c>
      <c r="S253" s="51" t="s">
        <v>78</v>
      </c>
      <c r="T253" s="51" t="s">
        <v>412</v>
      </c>
      <c r="U253" s="20" t="s">
        <v>104</v>
      </c>
      <c r="V253" s="20" t="s">
        <v>444</v>
      </c>
    </row>
    <row r="254" spans="1:22">
      <c r="A254" s="20" t="s">
        <v>72</v>
      </c>
      <c r="B254" s="20">
        <f>'Kirchman 2007'!C133</f>
        <v>21</v>
      </c>
      <c r="C254" s="20">
        <f>'Kirchman 2007'!G133</f>
        <v>10</v>
      </c>
      <c r="I254" s="51">
        <f>'Kirchman 2007'!H133</f>
        <v>889962.6038322798</v>
      </c>
      <c r="J254" s="51">
        <f>'Kirchman 2007'!J133*10^5</f>
        <v>745044.39222785376</v>
      </c>
      <c r="K254" s="51">
        <f>'Kirchman 2007'!M133*10^5</f>
        <v>104500.97604101924</v>
      </c>
      <c r="L254" s="51">
        <f>J254+K254</f>
        <v>849545.36826887296</v>
      </c>
      <c r="M254" s="63">
        <f>L254/I254</f>
        <v>0.95458546753609008</v>
      </c>
      <c r="N254" s="63">
        <f>K254/L254</f>
        <v>0.12300811698139431</v>
      </c>
      <c r="O254" s="63" t="s">
        <v>75</v>
      </c>
      <c r="P254" s="51" t="s">
        <v>76</v>
      </c>
      <c r="Q254" s="51" t="s">
        <v>534</v>
      </c>
      <c r="R254" s="51" t="s">
        <v>77</v>
      </c>
      <c r="S254" s="51" t="s">
        <v>78</v>
      </c>
      <c r="T254" s="51" t="s">
        <v>412</v>
      </c>
      <c r="U254" s="20" t="s">
        <v>104</v>
      </c>
      <c r="V254" s="20" t="s">
        <v>444</v>
      </c>
    </row>
    <row r="255" spans="1:22">
      <c r="A255" s="20" t="s">
        <v>72</v>
      </c>
      <c r="B255" s="20">
        <f>'Kirchman 2007'!C79</f>
        <v>20</v>
      </c>
      <c r="C255" s="20">
        <f>'Kirchman 2007'!G79</f>
        <v>13</v>
      </c>
      <c r="I255" s="51">
        <f>'Kirchman 2007'!H79</f>
        <v>359143.85941688449</v>
      </c>
      <c r="J255" s="51">
        <f>'Kirchman 2007'!J79*10^5</f>
        <v>335671.62359060918</v>
      </c>
      <c r="K255" s="51">
        <f>'Kirchman 2007'!M79*10^5</f>
        <v>36962.552154639328</v>
      </c>
      <c r="L255" s="51">
        <f>J255+K255</f>
        <v>372634.1757452485</v>
      </c>
      <c r="M255" s="63">
        <f>L255/I255</f>
        <v>1.0375624306935589</v>
      </c>
      <c r="N255" s="63">
        <f>K255/L255</f>
        <v>9.9192598426368683E-2</v>
      </c>
      <c r="O255" s="63" t="s">
        <v>75</v>
      </c>
      <c r="P255" s="51" t="s">
        <v>76</v>
      </c>
      <c r="Q255" s="51" t="s">
        <v>534</v>
      </c>
      <c r="R255" s="51" t="s">
        <v>77</v>
      </c>
      <c r="S255" s="51" t="s">
        <v>78</v>
      </c>
      <c r="T255" s="51" t="s">
        <v>412</v>
      </c>
      <c r="U255" s="20" t="s">
        <v>104</v>
      </c>
      <c r="V255" s="20" t="s">
        <v>444</v>
      </c>
    </row>
    <row r="256" spans="1:22">
      <c r="A256" s="20" t="s">
        <v>72</v>
      </c>
      <c r="B256" s="20">
        <f>'Kirchman 2007'!C111</f>
        <v>6</v>
      </c>
      <c r="C256" s="20">
        <f>'Kirchman 2007'!G111</f>
        <v>17</v>
      </c>
      <c r="I256" s="51">
        <f>'Kirchman 2007'!H111</f>
        <v>510656.02836879442</v>
      </c>
      <c r="J256" s="51">
        <f>'Kirchman 2007'!J111*10^5</f>
        <v>179712.13408014481</v>
      </c>
      <c r="K256" s="51">
        <f>'Kirchman 2007'!M111*10^5</f>
        <v>65150.654218526128</v>
      </c>
      <c r="L256" s="51">
        <f>J256+K256</f>
        <v>244862.78829867093</v>
      </c>
      <c r="M256" s="63">
        <f>L256/I256</f>
        <v>0.47950631089354667</v>
      </c>
      <c r="N256" s="63">
        <f>K256/L256</f>
        <v>0.26607004956203772</v>
      </c>
      <c r="O256" s="63" t="s">
        <v>75</v>
      </c>
      <c r="P256" s="51" t="s">
        <v>76</v>
      </c>
      <c r="Q256" s="51" t="s">
        <v>534</v>
      </c>
      <c r="R256" s="51" t="s">
        <v>77</v>
      </c>
      <c r="S256" s="51" t="s">
        <v>78</v>
      </c>
      <c r="T256" s="51" t="s">
        <v>412</v>
      </c>
      <c r="U256" s="20" t="s">
        <v>104</v>
      </c>
      <c r="V256" s="20" t="s">
        <v>444</v>
      </c>
    </row>
    <row r="257" spans="1:22">
      <c r="A257" s="20" t="s">
        <v>72</v>
      </c>
      <c r="B257" s="20">
        <f>'Kirchman 2007'!C110</f>
        <v>7</v>
      </c>
      <c r="C257" s="20">
        <f>'Kirchman 2007'!G110</f>
        <v>17</v>
      </c>
      <c r="I257" s="51">
        <f>'Kirchman 2007'!H110</f>
        <v>1275904.255319149</v>
      </c>
      <c r="J257" s="51">
        <f>'Kirchman 2007'!J110*10^5</f>
        <v>635661.96475245734</v>
      </c>
      <c r="K257" s="51">
        <f>'Kirchman 2007'!M110*10^5</f>
        <v>64775.712236584528</v>
      </c>
      <c r="L257" s="51">
        <f>J257+K257</f>
        <v>700437.67698904185</v>
      </c>
      <c r="M257" s="63">
        <f>L257/I257</f>
        <v>0.54897354097611151</v>
      </c>
      <c r="N257" s="63">
        <f>K257/L257</f>
        <v>9.2478909065878148E-2</v>
      </c>
      <c r="O257" s="63" t="s">
        <v>75</v>
      </c>
      <c r="P257" s="51" t="s">
        <v>76</v>
      </c>
      <c r="Q257" s="51" t="s">
        <v>534</v>
      </c>
      <c r="R257" s="51" t="s">
        <v>77</v>
      </c>
      <c r="S257" s="51" t="s">
        <v>78</v>
      </c>
      <c r="T257" s="51" t="s">
        <v>412</v>
      </c>
      <c r="U257" s="20" t="s">
        <v>104</v>
      </c>
      <c r="V257" s="20" t="s">
        <v>444</v>
      </c>
    </row>
    <row r="258" spans="1:22">
      <c r="A258" s="20" t="s">
        <v>72</v>
      </c>
      <c r="B258" s="20">
        <f>'Kirchman 2007'!C155</f>
        <v>33</v>
      </c>
      <c r="C258" s="20">
        <f>'Kirchman 2007'!G155</f>
        <v>18</v>
      </c>
      <c r="I258" s="51">
        <f>'Kirchman 2007'!H155</f>
        <v>694609.92907801422</v>
      </c>
      <c r="J258" s="51">
        <f>'Kirchman 2007'!J155*10^5</f>
        <v>601175.9211054286</v>
      </c>
      <c r="K258" s="51">
        <f>'Kirchman 2007'!M155*10^5</f>
        <v>224963.98519430155</v>
      </c>
      <c r="L258" s="51">
        <f>J258+K258</f>
        <v>826139.90629973018</v>
      </c>
      <c r="M258" s="63">
        <f>L258/I258</f>
        <v>1.1893580435803752</v>
      </c>
      <c r="N258" s="63">
        <f>K258/L258</f>
        <v>0.27230737006993438</v>
      </c>
      <c r="O258" s="63" t="s">
        <v>75</v>
      </c>
      <c r="P258" s="51" t="s">
        <v>76</v>
      </c>
      <c r="Q258" s="51" t="s">
        <v>534</v>
      </c>
      <c r="R258" s="51" t="s">
        <v>77</v>
      </c>
      <c r="S258" s="51" t="s">
        <v>78</v>
      </c>
      <c r="T258" s="51" t="s">
        <v>412</v>
      </c>
      <c r="U258" s="20" t="s">
        <v>104</v>
      </c>
      <c r="V258" s="20" t="s">
        <v>444</v>
      </c>
    </row>
    <row r="259" spans="1:22">
      <c r="A259" s="20" t="s">
        <v>72</v>
      </c>
      <c r="B259" s="20">
        <f>'Kirchman 2007'!C51</f>
        <v>19</v>
      </c>
      <c r="C259" s="20">
        <f>'Kirchman 2007'!G51</f>
        <v>19</v>
      </c>
      <c r="I259" s="51">
        <f>'Kirchman 2007'!H51</f>
        <v>370851.06382978725</v>
      </c>
      <c r="J259" s="51">
        <f>'Kirchman 2007'!J51*10^5</f>
        <v>314431.96482945443</v>
      </c>
      <c r="K259" s="51">
        <f>'Kirchman 2007'!M51*10^5</f>
        <v>21354.587346275533</v>
      </c>
      <c r="L259" s="51">
        <f>J259+K259</f>
        <v>335786.55217572994</v>
      </c>
      <c r="M259" s="63">
        <f>L259/I259</f>
        <v>0.90544853426616789</v>
      </c>
      <c r="N259" s="63">
        <f>K259/L259</f>
        <v>6.3595719387534791E-2</v>
      </c>
      <c r="O259" s="63" t="s">
        <v>75</v>
      </c>
      <c r="P259" s="51" t="s">
        <v>76</v>
      </c>
      <c r="Q259" s="51" t="s">
        <v>534</v>
      </c>
      <c r="R259" s="51" t="s">
        <v>77</v>
      </c>
      <c r="S259" s="51" t="s">
        <v>78</v>
      </c>
      <c r="T259" s="51" t="s">
        <v>412</v>
      </c>
      <c r="U259" s="20" t="s">
        <v>104</v>
      </c>
      <c r="V259" s="20" t="s">
        <v>444</v>
      </c>
    </row>
    <row r="260" spans="1:22">
      <c r="A260" s="20" t="s">
        <v>72</v>
      </c>
      <c r="B260" s="20">
        <f>'Kirchman 2007'!C122</f>
        <v>50</v>
      </c>
      <c r="C260" s="20">
        <f>'Kirchman 2007'!G122</f>
        <v>21.1</v>
      </c>
      <c r="I260" s="51">
        <f>'Kirchman 2007'!H122</f>
        <v>789716.67898497172</v>
      </c>
      <c r="J260" s="51">
        <f>'Kirchman 2007'!J122*10^5</f>
        <v>453625.51594586018</v>
      </c>
      <c r="K260" s="51">
        <f>'Kirchman 2007'!M122*10^5</f>
        <v>79607.283286705075</v>
      </c>
      <c r="L260" s="51">
        <f>J260+K260</f>
        <v>533232.79923256522</v>
      </c>
      <c r="M260" s="63">
        <f>L260/I260</f>
        <v>0.67522038399636308</v>
      </c>
      <c r="N260" s="63">
        <f>K260/L260</f>
        <v>0.14929179788129462</v>
      </c>
      <c r="O260" s="63" t="s">
        <v>75</v>
      </c>
      <c r="P260" s="51" t="s">
        <v>76</v>
      </c>
      <c r="Q260" s="51" t="s">
        <v>534</v>
      </c>
      <c r="R260" s="51" t="s">
        <v>77</v>
      </c>
      <c r="S260" s="51" t="s">
        <v>78</v>
      </c>
      <c r="T260" s="51" t="s">
        <v>412</v>
      </c>
      <c r="U260" s="20" t="s">
        <v>104</v>
      </c>
      <c r="V260" s="20" t="s">
        <v>444</v>
      </c>
    </row>
    <row r="261" spans="1:22">
      <c r="A261" s="20" t="s">
        <v>72</v>
      </c>
      <c r="B261" s="20">
        <f>'Kirchman 2007'!C91</f>
        <v>14</v>
      </c>
      <c r="C261" s="20">
        <f>'Kirchman 2007'!G91</f>
        <v>21.7</v>
      </c>
      <c r="I261" s="51">
        <f>'Kirchman 2007'!H91</f>
        <v>969804.96453900728</v>
      </c>
      <c r="J261" s="51">
        <f>'Kirchman 2007'!J91*10^5</f>
        <v>908864.50584847433</v>
      </c>
      <c r="K261" s="51">
        <f>'Kirchman 2007'!M91*10^5</f>
        <v>44734.128358130292</v>
      </c>
      <c r="L261" s="51">
        <f>J261+K261</f>
        <v>953598.63420660468</v>
      </c>
      <c r="M261" s="63">
        <f>L261/I261</f>
        <v>0.98328908293421013</v>
      </c>
      <c r="N261" s="63">
        <f>K261/L261</f>
        <v>4.691085615422378E-2</v>
      </c>
      <c r="O261" s="63" t="s">
        <v>75</v>
      </c>
      <c r="P261" s="51" t="s">
        <v>76</v>
      </c>
      <c r="Q261" s="51" t="s">
        <v>534</v>
      </c>
      <c r="R261" s="51" t="s">
        <v>77</v>
      </c>
      <c r="S261" s="51" t="s">
        <v>78</v>
      </c>
      <c r="T261" s="51" t="s">
        <v>412</v>
      </c>
      <c r="U261" s="20" t="s">
        <v>104</v>
      </c>
      <c r="V261" s="20" t="s">
        <v>444</v>
      </c>
    </row>
    <row r="262" spans="1:22">
      <c r="A262" s="20" t="s">
        <v>72</v>
      </c>
      <c r="B262" s="20">
        <f>'Kirchman 2007'!C125</f>
        <v>20</v>
      </c>
      <c r="C262" s="20">
        <f>'Kirchman 2007'!G125</f>
        <v>21.7</v>
      </c>
      <c r="I262" s="51">
        <f>'Kirchman 2007'!H125</f>
        <v>688723.40425531904</v>
      </c>
      <c r="J262" s="51">
        <f>'Kirchman 2007'!J125*10^5</f>
        <v>541151.18363825022</v>
      </c>
      <c r="K262" s="51">
        <f>'Kirchman 2007'!M125*10^5</f>
        <v>83525.338262197576</v>
      </c>
      <c r="L262" s="51">
        <f>J262+K262</f>
        <v>624676.52190044778</v>
      </c>
      <c r="M262" s="63">
        <f>L262/I262</f>
        <v>0.90700638026941771</v>
      </c>
      <c r="N262" s="63">
        <f>K262/L262</f>
        <v>0.13370974469808661</v>
      </c>
      <c r="O262" s="63" t="s">
        <v>75</v>
      </c>
      <c r="P262" s="51" t="s">
        <v>76</v>
      </c>
      <c r="Q262" s="51" t="s">
        <v>534</v>
      </c>
      <c r="R262" s="51" t="s">
        <v>77</v>
      </c>
      <c r="S262" s="51" t="s">
        <v>78</v>
      </c>
      <c r="T262" s="51" t="s">
        <v>412</v>
      </c>
      <c r="U262" s="20" t="s">
        <v>104</v>
      </c>
      <c r="V262" s="20" t="s">
        <v>444</v>
      </c>
    </row>
    <row r="263" spans="1:22">
      <c r="A263" s="20" t="s">
        <v>72</v>
      </c>
      <c r="B263" s="20">
        <f>'Kirchman 2007'!C37</f>
        <v>30</v>
      </c>
      <c r="C263" s="20">
        <f>'Kirchman 2007'!G37</f>
        <v>22.3</v>
      </c>
      <c r="I263" s="51">
        <f>'Kirchman 2007'!H37</f>
        <v>739494.68085106404</v>
      </c>
      <c r="J263" s="51">
        <f>'Kirchman 2007'!J37*10^5</f>
        <v>645608.47426323895</v>
      </c>
      <c r="K263" s="51">
        <f>'Kirchman 2007'!M37*10^5</f>
        <v>12730.813540304178</v>
      </c>
      <c r="L263" s="51">
        <f>J263+K263</f>
        <v>658339.28780354315</v>
      </c>
      <c r="M263" s="63">
        <f>L263/I263</f>
        <v>0.89025560947359161</v>
      </c>
      <c r="N263" s="63">
        <f>K263/L263</f>
        <v>1.933776971260329E-2</v>
      </c>
      <c r="O263" s="63" t="s">
        <v>75</v>
      </c>
      <c r="P263" s="51" t="s">
        <v>76</v>
      </c>
      <c r="Q263" s="51" t="s">
        <v>534</v>
      </c>
      <c r="R263" s="51" t="s">
        <v>77</v>
      </c>
      <c r="S263" s="51" t="s">
        <v>78</v>
      </c>
      <c r="T263" s="51" t="s">
        <v>412</v>
      </c>
      <c r="U263" s="20" t="s">
        <v>104</v>
      </c>
      <c r="V263" s="20" t="s">
        <v>444</v>
      </c>
    </row>
    <row r="264" spans="1:22">
      <c r="A264" s="20" t="s">
        <v>72</v>
      </c>
      <c r="B264" s="20">
        <f>'Kirchman 2007'!C140</f>
        <v>20</v>
      </c>
      <c r="C264" s="20">
        <f>'Kirchman 2007'!G140</f>
        <v>22.7</v>
      </c>
      <c r="I264" s="51">
        <f>'Kirchman 2007'!H140</f>
        <v>469015.78581593139</v>
      </c>
      <c r="J264" s="51">
        <f>'Kirchman 2007'!J140*10^5</f>
        <v>422150.83935888781</v>
      </c>
      <c r="K264" s="51">
        <f>'Kirchman 2007'!M140*10^5</f>
        <v>141649.85592550703</v>
      </c>
      <c r="L264" s="51">
        <f>J264+K264</f>
        <v>563800.69528439478</v>
      </c>
      <c r="M264" s="63">
        <f>L264/I264</f>
        <v>1.2020932180429049</v>
      </c>
      <c r="N264" s="63">
        <f>K264/L264</f>
        <v>0.25124100965156737</v>
      </c>
      <c r="O264" s="63" t="s">
        <v>75</v>
      </c>
      <c r="P264" s="51" t="s">
        <v>76</v>
      </c>
      <c r="Q264" s="51" t="s">
        <v>534</v>
      </c>
      <c r="R264" s="51" t="s">
        <v>77</v>
      </c>
      <c r="S264" s="51" t="s">
        <v>78</v>
      </c>
      <c r="T264" s="51" t="s">
        <v>412</v>
      </c>
      <c r="U264" s="20" t="s">
        <v>104</v>
      </c>
      <c r="V264" s="20" t="s">
        <v>444</v>
      </c>
    </row>
    <row r="265" spans="1:22">
      <c r="A265" s="20" t="s">
        <v>72</v>
      </c>
      <c r="B265" s="20">
        <f>'Kirchman 2007'!C84</f>
        <v>54</v>
      </c>
      <c r="C265" s="20">
        <f>'Kirchman 2007'!G84</f>
        <v>24.8</v>
      </c>
      <c r="I265" s="51">
        <f>'Kirchman 2007'!H84</f>
        <v>393017.98472530179</v>
      </c>
      <c r="J265" s="51">
        <f>'Kirchman 2007'!J84*10^5</f>
        <v>285840.11898937065</v>
      </c>
      <c r="K265" s="51">
        <f>'Kirchman 2007'!M84*10^5</f>
        <v>41488.909784373551</v>
      </c>
      <c r="L265" s="51">
        <f>J265+K265</f>
        <v>327329.02877374418</v>
      </c>
      <c r="M265" s="63">
        <f>L265/I265</f>
        <v>0.83286017814815616</v>
      </c>
      <c r="N265" s="63">
        <f>K265/L265</f>
        <v>0.126749863706868</v>
      </c>
      <c r="O265" s="63" t="s">
        <v>75</v>
      </c>
      <c r="P265" s="51" t="s">
        <v>76</v>
      </c>
      <c r="Q265" s="51" t="s">
        <v>534</v>
      </c>
      <c r="R265" s="51" t="s">
        <v>77</v>
      </c>
      <c r="S265" s="51" t="s">
        <v>78</v>
      </c>
      <c r="T265" s="51" t="s">
        <v>412</v>
      </c>
      <c r="U265" s="20" t="s">
        <v>104</v>
      </c>
      <c r="V265" s="20" t="s">
        <v>444</v>
      </c>
    </row>
    <row r="266" spans="1:22">
      <c r="A266" s="20" t="s">
        <v>72</v>
      </c>
      <c r="B266" s="20">
        <f>'Kirchman 2007'!C146</f>
        <v>16</v>
      </c>
      <c r="C266" s="20">
        <f>'Kirchman 2007'!G146</f>
        <v>25.7</v>
      </c>
      <c r="I266" s="51">
        <f>'Kirchman 2007'!H146</f>
        <v>1224397.1631205673</v>
      </c>
      <c r="J266" s="51">
        <f>'Kirchman 2007'!J146*10^5</f>
        <v>1055398.0036134119</v>
      </c>
      <c r="K266" s="51">
        <f>'Kirchman 2007'!M146*10^5</f>
        <v>171074.38404991903</v>
      </c>
      <c r="L266" s="51">
        <f>J266+K266</f>
        <v>1226472.3876633309</v>
      </c>
      <c r="M266" s="63">
        <f>L266/I266</f>
        <v>1.0016948949289253</v>
      </c>
      <c r="N266" s="63">
        <f>K266/L266</f>
        <v>0.13948490465068611</v>
      </c>
      <c r="O266" s="63" t="s">
        <v>75</v>
      </c>
      <c r="P266" s="51" t="s">
        <v>76</v>
      </c>
      <c r="Q266" s="51" t="s">
        <v>534</v>
      </c>
      <c r="R266" s="51" t="s">
        <v>77</v>
      </c>
      <c r="S266" s="51" t="s">
        <v>78</v>
      </c>
      <c r="T266" s="51" t="s">
        <v>412</v>
      </c>
      <c r="U266" s="20" t="s">
        <v>104</v>
      </c>
      <c r="V266" s="20" t="s">
        <v>444</v>
      </c>
    </row>
    <row r="267" spans="1:22">
      <c r="A267" s="20" t="s">
        <v>72</v>
      </c>
      <c r="B267" s="20">
        <f>'Kirchman 2007'!C46</f>
        <v>37</v>
      </c>
      <c r="C267" s="20">
        <f>'Kirchman 2007'!G46</f>
        <v>25.9</v>
      </c>
      <c r="I267" s="51">
        <f>'Kirchman 2007'!H46</f>
        <v>316132.05222961318</v>
      </c>
      <c r="J267" s="51">
        <f>'Kirchman 2007'!J46*10^5</f>
        <v>283083.53641137632</v>
      </c>
      <c r="K267" s="51">
        <f>'Kirchman 2007'!M46*10^5</f>
        <v>17199.080493850244</v>
      </c>
      <c r="L267" s="51">
        <f>J267+K267</f>
        <v>300282.61690522655</v>
      </c>
      <c r="M267" s="63">
        <f>L267/I267</f>
        <v>0.94986451005962891</v>
      </c>
      <c r="N267" s="63">
        <f>K267/L267</f>
        <v>5.7276310800496714E-2</v>
      </c>
      <c r="O267" s="63" t="s">
        <v>75</v>
      </c>
      <c r="P267" s="51" t="s">
        <v>76</v>
      </c>
      <c r="Q267" s="51" t="s">
        <v>534</v>
      </c>
      <c r="R267" s="51" t="s">
        <v>77</v>
      </c>
      <c r="S267" s="51" t="s">
        <v>78</v>
      </c>
      <c r="T267" s="51" t="s">
        <v>412</v>
      </c>
      <c r="U267" s="20" t="s">
        <v>104</v>
      </c>
      <c r="V267" s="20" t="s">
        <v>444</v>
      </c>
    </row>
    <row r="268" spans="1:22">
      <c r="A268" s="20" t="s">
        <v>72</v>
      </c>
      <c r="B268" s="20">
        <f>'Kirchman 2007'!C65</f>
        <v>17</v>
      </c>
      <c r="C268" s="20">
        <f>'Kirchman 2007'!G65</f>
        <v>26.8</v>
      </c>
      <c r="I268" s="51">
        <f>'Kirchman 2007'!H65</f>
        <v>688723.40425531904</v>
      </c>
      <c r="J268" s="51">
        <f>'Kirchman 2007'!J65*10^5</f>
        <v>555139.65785307833</v>
      </c>
      <c r="K268" s="51">
        <f>'Kirchman 2007'!M65*10^5</f>
        <v>27706.03337149576</v>
      </c>
      <c r="L268" s="51">
        <f>J268+K268</f>
        <v>582845.69122457411</v>
      </c>
      <c r="M268" s="63">
        <f>L268/I268</f>
        <v>0.84626961654479416</v>
      </c>
      <c r="N268" s="63">
        <f>K268/L268</f>
        <v>4.7535795131786351E-2</v>
      </c>
      <c r="O268" s="63" t="s">
        <v>75</v>
      </c>
      <c r="P268" s="51" t="s">
        <v>76</v>
      </c>
      <c r="Q268" s="51" t="s">
        <v>534</v>
      </c>
      <c r="R268" s="51" t="s">
        <v>77</v>
      </c>
      <c r="S268" s="51" t="s">
        <v>78</v>
      </c>
      <c r="T268" s="51" t="s">
        <v>412</v>
      </c>
      <c r="U268" s="20" t="s">
        <v>104</v>
      </c>
      <c r="V268" s="20" t="s">
        <v>444</v>
      </c>
    </row>
    <row r="269" spans="1:22">
      <c r="A269" s="20" t="s">
        <v>72</v>
      </c>
      <c r="B269" s="20">
        <f>'Kirchman 2007'!C152</f>
        <v>7</v>
      </c>
      <c r="C269" s="20">
        <f>'Kirchman 2007'!G152</f>
        <v>27</v>
      </c>
      <c r="I269" s="51">
        <f>'Kirchman 2007'!H152</f>
        <v>1481932.624113475</v>
      </c>
      <c r="J269" s="51">
        <f>'Kirchman 2007'!J152*10^5</f>
        <v>904569.4714478245</v>
      </c>
      <c r="K269" s="51">
        <f>'Kirchman 2007'!M152*10^5</f>
        <v>194049.03724387949</v>
      </c>
      <c r="L269" s="51">
        <f>J269+K269</f>
        <v>1098618.5086917039</v>
      </c>
      <c r="M269" s="63">
        <f>L269/I269</f>
        <v>0.7413417390341358</v>
      </c>
      <c r="N269" s="63">
        <f>K269/L269</f>
        <v>0.17663004556055031</v>
      </c>
      <c r="O269" s="63" t="s">
        <v>75</v>
      </c>
      <c r="P269" s="51" t="s">
        <v>76</v>
      </c>
      <c r="Q269" s="51" t="s">
        <v>534</v>
      </c>
      <c r="R269" s="51" t="s">
        <v>77</v>
      </c>
      <c r="S269" s="51" t="s">
        <v>78</v>
      </c>
      <c r="T269" s="51" t="s">
        <v>412</v>
      </c>
      <c r="U269" s="20" t="s">
        <v>104</v>
      </c>
      <c r="V269" s="20" t="s">
        <v>444</v>
      </c>
    </row>
    <row r="270" spans="1:22">
      <c r="A270" s="20" t="s">
        <v>72</v>
      </c>
      <c r="B270" s="20">
        <f>'Kirchman 2007'!C86</f>
        <v>18</v>
      </c>
      <c r="C270" s="20">
        <f>'Kirchman 2007'!G86</f>
        <v>28.2</v>
      </c>
      <c r="I270" s="51">
        <f>'Kirchman 2007'!H86</f>
        <v>881507.09219858155</v>
      </c>
      <c r="J270" s="51">
        <f>'Kirchman 2007'!J86*10^5</f>
        <v>741594.38015726046</v>
      </c>
      <c r="K270" s="51">
        <f>'Kirchman 2007'!M86*10^5</f>
        <v>42767.506677230223</v>
      </c>
      <c r="L270" s="51">
        <f>J270+K270</f>
        <v>784361.8868344907</v>
      </c>
      <c r="M270" s="63">
        <f>L270/I270</f>
        <v>0.88979645629191773</v>
      </c>
      <c r="N270" s="63">
        <f>K270/L270</f>
        <v>5.4525222853229555E-2</v>
      </c>
      <c r="O270" s="63" t="s">
        <v>75</v>
      </c>
      <c r="P270" s="51" t="s">
        <v>76</v>
      </c>
      <c r="Q270" s="51" t="s">
        <v>534</v>
      </c>
      <c r="R270" s="51" t="s">
        <v>77</v>
      </c>
      <c r="S270" s="51" t="s">
        <v>78</v>
      </c>
      <c r="T270" s="51" t="s">
        <v>412</v>
      </c>
      <c r="U270" s="20" t="s">
        <v>104</v>
      </c>
      <c r="V270" s="20" t="s">
        <v>444</v>
      </c>
    </row>
    <row r="271" spans="1:22">
      <c r="A271" s="20" t="s">
        <v>72</v>
      </c>
      <c r="B271" s="20">
        <f>'Kirchman 2007'!C53</f>
        <v>12</v>
      </c>
      <c r="C271" s="20">
        <f>'Kirchman 2007'!G53</f>
        <v>29</v>
      </c>
      <c r="I271" s="51">
        <f>'Kirchman 2007'!H53</f>
        <v>304627.65957446804</v>
      </c>
      <c r="J271" s="51">
        <f>'Kirchman 2007'!J53*10^5</f>
        <v>249822.2986368729</v>
      </c>
      <c r="K271" s="51">
        <f>'Kirchman 2007'!M53*10^5</f>
        <v>21636.767977864201</v>
      </c>
      <c r="L271" s="51">
        <f>J271+K271</f>
        <v>271459.06661473709</v>
      </c>
      <c r="M271" s="63">
        <f>L271/I271</f>
        <v>0.89111759251913014</v>
      </c>
      <c r="N271" s="63">
        <f>K271/L271</f>
        <v>7.9705453377144908E-2</v>
      </c>
      <c r="O271" s="63" t="s">
        <v>75</v>
      </c>
      <c r="P271" s="51" t="s">
        <v>76</v>
      </c>
      <c r="Q271" s="51" t="s">
        <v>534</v>
      </c>
      <c r="R271" s="51" t="s">
        <v>77</v>
      </c>
      <c r="S271" s="51" t="s">
        <v>78</v>
      </c>
      <c r="T271" s="51" t="s">
        <v>412</v>
      </c>
      <c r="U271" s="20" t="s">
        <v>104</v>
      </c>
      <c r="V271" s="20" t="s">
        <v>444</v>
      </c>
    </row>
    <row r="272" spans="1:22">
      <c r="A272" s="20" t="s">
        <v>72</v>
      </c>
      <c r="B272" s="20">
        <f>'Kirchman 2007'!C45</f>
        <v>26</v>
      </c>
      <c r="C272" s="20">
        <f>'Kirchman 2007'!G45</f>
        <v>33</v>
      </c>
      <c r="I272" s="51">
        <f>'Kirchman 2007'!H45</f>
        <v>409113.47517730499</v>
      </c>
      <c r="J272" s="51">
        <f>'Kirchman 2007'!J45*10^5</f>
        <v>274539.00541591295</v>
      </c>
      <c r="K272" s="51">
        <f>'Kirchman 2007'!M45*10^5</f>
        <v>17032.942979164189</v>
      </c>
      <c r="L272" s="51">
        <f>J272+K272</f>
        <v>291571.94839507714</v>
      </c>
      <c r="M272" s="63">
        <f>L272/I272</f>
        <v>0.71269211621228867</v>
      </c>
      <c r="N272" s="63">
        <f>K272/L272</f>
        <v>5.8417632673238913E-2</v>
      </c>
      <c r="O272" s="63" t="s">
        <v>75</v>
      </c>
      <c r="P272" s="51" t="s">
        <v>76</v>
      </c>
      <c r="Q272" s="51" t="s">
        <v>534</v>
      </c>
      <c r="R272" s="51" t="s">
        <v>77</v>
      </c>
      <c r="S272" s="51" t="s">
        <v>78</v>
      </c>
      <c r="T272" s="51" t="s">
        <v>412</v>
      </c>
      <c r="U272" s="20" t="s">
        <v>104</v>
      </c>
      <c r="V272" s="20" t="s">
        <v>444</v>
      </c>
    </row>
    <row r="273" spans="1:22">
      <c r="A273" s="20" t="s">
        <v>72</v>
      </c>
      <c r="B273" s="20">
        <f>'Kirchman 2007'!C134</f>
        <v>33</v>
      </c>
      <c r="C273" s="20">
        <f>'Kirchman 2007'!G134</f>
        <v>35</v>
      </c>
      <c r="I273" s="51">
        <f>'Kirchman 2007'!H134</f>
        <v>724778.3687943262</v>
      </c>
      <c r="J273" s="51">
        <f>'Kirchman 2007'!J134*10^5</f>
        <v>548499.20136735996</v>
      </c>
      <c r="K273" s="51">
        <f>'Kirchman 2007'!M134*10^5</f>
        <v>109099.5665838507</v>
      </c>
      <c r="L273" s="51">
        <f>J273+K273</f>
        <v>657598.76795121061</v>
      </c>
      <c r="M273" s="63">
        <f>L273/I273</f>
        <v>0.90731014647295649</v>
      </c>
      <c r="N273" s="63">
        <f>K273/L273</f>
        <v>0.16590597777997229</v>
      </c>
      <c r="O273" s="63" t="s">
        <v>75</v>
      </c>
      <c r="P273" s="51" t="s">
        <v>76</v>
      </c>
      <c r="Q273" s="51" t="s">
        <v>534</v>
      </c>
      <c r="R273" s="51" t="s">
        <v>77</v>
      </c>
      <c r="S273" s="51" t="s">
        <v>78</v>
      </c>
      <c r="T273" s="51" t="s">
        <v>412</v>
      </c>
      <c r="U273" s="20" t="s">
        <v>104</v>
      </c>
      <c r="V273" s="20" t="s">
        <v>444</v>
      </c>
    </row>
    <row r="274" spans="1:22">
      <c r="A274" s="20" t="s">
        <v>72</v>
      </c>
      <c r="B274" s="20">
        <f>'Kirchman 2007'!C81</f>
        <v>28</v>
      </c>
      <c r="C274" s="20">
        <f>'Kirchman 2007'!G81</f>
        <v>35.200000000000003</v>
      </c>
      <c r="I274" s="51">
        <f>'Kirchman 2007'!H81</f>
        <v>897695.03546099295</v>
      </c>
      <c r="J274" s="51">
        <f>'Kirchman 2007'!J81*10^5</f>
        <v>710258.31521084509</v>
      </c>
      <c r="K274" s="51">
        <f>'Kirchman 2007'!M81*10^5</f>
        <v>40929.003483386776</v>
      </c>
      <c r="L274" s="51">
        <f>J274+K274</f>
        <v>751187.31869423192</v>
      </c>
      <c r="M274" s="63">
        <f>L274/I274</f>
        <v>0.83679567004453248</v>
      </c>
      <c r="N274" s="63">
        <f>K274/L274</f>
        <v>5.4485748713826172E-2</v>
      </c>
      <c r="O274" s="63" t="s">
        <v>75</v>
      </c>
      <c r="P274" s="51" t="s">
        <v>76</v>
      </c>
      <c r="Q274" s="51" t="s">
        <v>534</v>
      </c>
      <c r="R274" s="51" t="s">
        <v>77</v>
      </c>
      <c r="S274" s="51" t="s">
        <v>78</v>
      </c>
      <c r="T274" s="51" t="s">
        <v>412</v>
      </c>
      <c r="U274" s="20" t="s">
        <v>104</v>
      </c>
      <c r="V274" s="20" t="s">
        <v>444</v>
      </c>
    </row>
    <row r="275" spans="1:22">
      <c r="A275" s="20" t="s">
        <v>72</v>
      </c>
      <c r="B275" s="20">
        <f>'Kirchman 2007'!C115</f>
        <v>7</v>
      </c>
      <c r="C275" s="20">
        <f>'Kirchman 2007'!G115</f>
        <v>38</v>
      </c>
      <c r="I275" s="51">
        <f>'Kirchman 2007'!H115</f>
        <v>1621737.5886524823</v>
      </c>
      <c r="J275" s="51">
        <f>'Kirchman 2007'!J115*10^5</f>
        <v>879644.57991345227</v>
      </c>
      <c r="K275" s="51">
        <f>'Kirchman 2007'!M115*10^5</f>
        <v>69820.480156107529</v>
      </c>
      <c r="L275" s="51">
        <f>J275+K275</f>
        <v>949465.06006955984</v>
      </c>
      <c r="M275" s="63">
        <f>L275/I275</f>
        <v>0.58546158559380723</v>
      </c>
      <c r="N275" s="63">
        <f>K275/L275</f>
        <v>7.3536650364987979E-2</v>
      </c>
      <c r="O275" s="63" t="s">
        <v>75</v>
      </c>
      <c r="P275" s="51" t="s">
        <v>76</v>
      </c>
      <c r="Q275" s="51" t="s">
        <v>534</v>
      </c>
      <c r="R275" s="51" t="s">
        <v>77</v>
      </c>
      <c r="S275" s="51" t="s">
        <v>78</v>
      </c>
      <c r="T275" s="51" t="s">
        <v>412</v>
      </c>
      <c r="U275" s="20" t="s">
        <v>104</v>
      </c>
      <c r="V275" s="20" t="s">
        <v>444</v>
      </c>
    </row>
    <row r="276" spans="1:22">
      <c r="A276" s="20" t="s">
        <v>72</v>
      </c>
      <c r="B276" s="20">
        <f>'Kirchman 2007'!C83</f>
        <v>37</v>
      </c>
      <c r="C276" s="20">
        <f>'Kirchman 2007'!G83</f>
        <v>40.700000000000003</v>
      </c>
      <c r="I276" s="51">
        <f>'Kirchman 2007'!H83</f>
        <v>459679.72406996792</v>
      </c>
      <c r="J276" s="51">
        <f>'Kirchman 2007'!J83*10^5</f>
        <v>384484.28638948087</v>
      </c>
      <c r="K276" s="51">
        <f>'Kirchman 2007'!M83*10^5</f>
        <v>41361.408607143509</v>
      </c>
      <c r="L276" s="51">
        <f>J276+K276</f>
        <v>425845.69499662437</v>
      </c>
      <c r="M276" s="63">
        <f>L276/I276</f>
        <v>0.92639651630970421</v>
      </c>
      <c r="N276" s="63">
        <f>K276/L276</f>
        <v>9.7127689895917288E-2</v>
      </c>
      <c r="O276" s="63" t="s">
        <v>75</v>
      </c>
      <c r="P276" s="51" t="s">
        <v>76</v>
      </c>
      <c r="Q276" s="51" t="s">
        <v>534</v>
      </c>
      <c r="R276" s="51" t="s">
        <v>77</v>
      </c>
      <c r="S276" s="51" t="s">
        <v>78</v>
      </c>
      <c r="T276" s="51" t="s">
        <v>412</v>
      </c>
      <c r="U276" s="20" t="s">
        <v>104</v>
      </c>
      <c r="V276" s="20" t="s">
        <v>444</v>
      </c>
    </row>
    <row r="277" spans="1:22">
      <c r="A277" s="20" t="s">
        <v>72</v>
      </c>
      <c r="B277" s="20">
        <f>'Kirchman 2007'!C126</f>
        <v>6</v>
      </c>
      <c r="C277" s="20">
        <f>'Kirchman 2007'!G126</f>
        <v>41</v>
      </c>
      <c r="I277" s="51">
        <f>'Kirchman 2007'!H126</f>
        <v>581294.32624113478</v>
      </c>
      <c r="J277" s="51">
        <f>'Kirchman 2007'!J126*10^5</f>
        <v>469904.96717540751</v>
      </c>
      <c r="K277" s="51">
        <f>'Kirchman 2007'!M126*10^5</f>
        <v>84301.905289825096</v>
      </c>
      <c r="L277" s="51">
        <f>J277+K277</f>
        <v>554206.87246523262</v>
      </c>
      <c r="M277" s="63">
        <f>L277/I277</f>
        <v>0.95340148259994262</v>
      </c>
      <c r="N277" s="63">
        <f>K277/L277</f>
        <v>0.15211270281588515</v>
      </c>
      <c r="O277" s="63" t="s">
        <v>75</v>
      </c>
      <c r="P277" s="51" t="s">
        <v>76</v>
      </c>
      <c r="Q277" s="51" t="s">
        <v>534</v>
      </c>
      <c r="R277" s="51" t="s">
        <v>77</v>
      </c>
      <c r="S277" s="51" t="s">
        <v>78</v>
      </c>
      <c r="T277" s="51" t="s">
        <v>412</v>
      </c>
      <c r="U277" s="20" t="s">
        <v>104</v>
      </c>
      <c r="V277" s="20" t="s">
        <v>444</v>
      </c>
    </row>
    <row r="278" spans="1:22">
      <c r="A278" s="20" t="s">
        <v>72</v>
      </c>
      <c r="B278" s="20">
        <f>'Kirchman 2007'!C131</f>
        <v>24</v>
      </c>
      <c r="C278" s="20">
        <f>'Kirchman 2007'!G131</f>
        <v>45</v>
      </c>
      <c r="I278" s="51">
        <f>'Kirchman 2007'!H131</f>
        <v>999237.58865248202</v>
      </c>
      <c r="J278" s="51">
        <f>'Kirchman 2007'!J131*10^5</f>
        <v>499912.85507499124</v>
      </c>
      <c r="K278" s="51">
        <f>'Kirchman 2007'!M131*10^5</f>
        <v>99635.352129838648</v>
      </c>
      <c r="L278" s="51">
        <f>J278+K278</f>
        <v>599548.2072048299</v>
      </c>
      <c r="M278" s="63">
        <f>L278/I278</f>
        <v>0.60000565832731367</v>
      </c>
      <c r="N278" s="63">
        <f>K278/L278</f>
        <v>0.16618405481412638</v>
      </c>
      <c r="O278" s="63" t="s">
        <v>75</v>
      </c>
      <c r="P278" s="51" t="s">
        <v>76</v>
      </c>
      <c r="Q278" s="51" t="s">
        <v>534</v>
      </c>
      <c r="R278" s="51" t="s">
        <v>77</v>
      </c>
      <c r="S278" s="51" t="s">
        <v>78</v>
      </c>
      <c r="T278" s="51" t="s">
        <v>412</v>
      </c>
      <c r="U278" s="20" t="s">
        <v>104</v>
      </c>
      <c r="V278" s="20" t="s">
        <v>444</v>
      </c>
    </row>
    <row r="279" spans="1:22">
      <c r="A279" s="20" t="s">
        <v>72</v>
      </c>
      <c r="B279" s="20">
        <f>'Kirchman 2007'!C93</f>
        <v>21</v>
      </c>
      <c r="C279" s="20">
        <f>'Kirchman 2007'!G93</f>
        <v>50</v>
      </c>
      <c r="I279" s="51">
        <f>'Kirchman 2007'!H93</f>
        <v>407212.82721646753</v>
      </c>
      <c r="J279" s="51">
        <f>'Kirchman 2007'!J93*10^5</f>
        <v>239036.51598475105</v>
      </c>
      <c r="K279" s="51">
        <f>'Kirchman 2007'!M93*10^5</f>
        <v>46423.043137619054</v>
      </c>
      <c r="L279" s="51">
        <f>J279+K279</f>
        <v>285459.55912237009</v>
      </c>
      <c r="M279" s="63">
        <f>L279/I279</f>
        <v>0.70100826900186164</v>
      </c>
      <c r="N279" s="63">
        <f>K279/L279</f>
        <v>0.16262563874316971</v>
      </c>
      <c r="O279" s="63" t="s">
        <v>75</v>
      </c>
      <c r="P279" s="51" t="s">
        <v>76</v>
      </c>
      <c r="Q279" s="51" t="s">
        <v>534</v>
      </c>
      <c r="R279" s="51" t="s">
        <v>77</v>
      </c>
      <c r="S279" s="51" t="s">
        <v>78</v>
      </c>
      <c r="T279" s="51" t="s">
        <v>412</v>
      </c>
      <c r="U279" s="20" t="s">
        <v>104</v>
      </c>
      <c r="V279" s="20" t="s">
        <v>444</v>
      </c>
    </row>
    <row r="280" spans="1:22">
      <c r="A280" s="20" t="s">
        <v>72</v>
      </c>
      <c r="B280" s="20">
        <f>'Kirchman 2007'!C105</f>
        <v>50</v>
      </c>
      <c r="C280" s="20">
        <f>'Kirchman 2007'!G105</f>
        <v>51.2</v>
      </c>
      <c r="I280" s="51">
        <f>'Kirchman 2007'!H105</f>
        <v>363163.34072431631</v>
      </c>
      <c r="J280" s="51">
        <f>'Kirchman 2007'!J105*10^5</f>
        <v>268566.76885994925</v>
      </c>
      <c r="K280" s="51">
        <f>'Kirchman 2007'!M105*10^5</f>
        <v>55708.48506483026</v>
      </c>
      <c r="L280" s="51">
        <f>J280+K280</f>
        <v>324275.25392477954</v>
      </c>
      <c r="M280" s="63">
        <f>L280/I280</f>
        <v>0.8929184682518454</v>
      </c>
      <c r="N280" s="63">
        <f>K280/L280</f>
        <v>0.1717938214235511</v>
      </c>
      <c r="O280" s="63" t="s">
        <v>75</v>
      </c>
      <c r="P280" s="51" t="s">
        <v>76</v>
      </c>
      <c r="Q280" s="51" t="s">
        <v>534</v>
      </c>
      <c r="R280" s="51" t="s">
        <v>77</v>
      </c>
      <c r="S280" s="51" t="s">
        <v>78</v>
      </c>
      <c r="T280" s="51" t="s">
        <v>412</v>
      </c>
      <c r="U280" s="20" t="s">
        <v>104</v>
      </c>
      <c r="V280" s="20" t="s">
        <v>444</v>
      </c>
    </row>
    <row r="281" spans="1:22">
      <c r="A281" s="20" t="s">
        <v>72</v>
      </c>
      <c r="B281" s="20">
        <f>'Kirchman 2007'!C70</f>
        <v>30</v>
      </c>
      <c r="C281" s="20">
        <f>'Kirchman 2007'!G70</f>
        <v>54.2</v>
      </c>
      <c r="I281" s="51">
        <f>'Kirchman 2007'!H70</f>
        <v>415735.8156028369</v>
      </c>
      <c r="J281" s="51">
        <f>'Kirchman 2007'!J70*10^5</f>
        <v>356218.66485632065</v>
      </c>
      <c r="K281" s="51">
        <f>'Kirchman 2007'!M70*10^5</f>
        <v>30229.711153054006</v>
      </c>
      <c r="L281" s="51">
        <f>J281+K281</f>
        <v>386448.37600937468</v>
      </c>
      <c r="M281" s="63">
        <f>L281/I281</f>
        <v>0.9295527628501431</v>
      </c>
      <c r="N281" s="63">
        <f>K281/L281</f>
        <v>7.8224448670786179E-2</v>
      </c>
      <c r="O281" s="63" t="s">
        <v>75</v>
      </c>
      <c r="P281" s="51" t="s">
        <v>76</v>
      </c>
      <c r="Q281" s="51" t="s">
        <v>534</v>
      </c>
      <c r="R281" s="51" t="s">
        <v>77</v>
      </c>
      <c r="S281" s="51" t="s">
        <v>78</v>
      </c>
      <c r="T281" s="51" t="s">
        <v>412</v>
      </c>
      <c r="U281" s="20" t="s">
        <v>104</v>
      </c>
      <c r="V281" s="20" t="s">
        <v>444</v>
      </c>
    </row>
    <row r="282" spans="1:22">
      <c r="A282" s="20" t="s">
        <v>72</v>
      </c>
      <c r="B282" s="20">
        <f>'Kirchman 2007'!C64</f>
        <v>20</v>
      </c>
      <c r="C282" s="20">
        <f>'Kirchman 2007'!G64</f>
        <v>56.4</v>
      </c>
      <c r="I282" s="51">
        <f>'Kirchman 2007'!H64</f>
        <v>224550.74957805208</v>
      </c>
      <c r="J282" s="51">
        <f>'Kirchman 2007'!J64*10^5</f>
        <v>146786.08285163925</v>
      </c>
      <c r="K282" s="51">
        <f>'Kirchman 2007'!M64*10^5</f>
        <v>27255.431490846706</v>
      </c>
      <c r="L282" s="51">
        <f>J282+K282</f>
        <v>174041.51434248596</v>
      </c>
      <c r="M282" s="63">
        <f>L282/I282</f>
        <v>0.77506539020476739</v>
      </c>
      <c r="N282" s="63">
        <f>K282/L282</f>
        <v>0.15660304723166429</v>
      </c>
      <c r="O282" s="63" t="s">
        <v>75</v>
      </c>
      <c r="P282" s="51" t="s">
        <v>76</v>
      </c>
      <c r="Q282" s="51" t="s">
        <v>534</v>
      </c>
      <c r="R282" s="51" t="s">
        <v>77</v>
      </c>
      <c r="S282" s="51" t="s">
        <v>78</v>
      </c>
      <c r="T282" s="51" t="s">
        <v>412</v>
      </c>
      <c r="U282" s="20" t="s">
        <v>104</v>
      </c>
      <c r="V282" s="20" t="s">
        <v>444</v>
      </c>
    </row>
    <row r="283" spans="1:22">
      <c r="A283" s="20" t="s">
        <v>72</v>
      </c>
      <c r="B283" s="20">
        <f>'Kirchman 2007'!C135</f>
        <v>6</v>
      </c>
      <c r="C283" s="20">
        <f>'Kirchman 2007'!G135</f>
        <v>60</v>
      </c>
      <c r="I283" s="51">
        <f>'Kirchman 2007'!H135</f>
        <v>525372.34042553196</v>
      </c>
      <c r="J283" s="51">
        <f>'Kirchman 2007'!J135*10^5</f>
        <v>349179.84490193723</v>
      </c>
      <c r="K283" s="51">
        <f>'Kirchman 2007'!M135*10^5</f>
        <v>112616.47688852124</v>
      </c>
      <c r="L283" s="51">
        <f>J283+K283</f>
        <v>461796.32179045846</v>
      </c>
      <c r="M283" s="63">
        <f>L283/I283</f>
        <v>0.87898864530329235</v>
      </c>
      <c r="N283" s="63">
        <f>K283/L283</f>
        <v>0.24386611927069726</v>
      </c>
      <c r="O283" s="63" t="s">
        <v>75</v>
      </c>
      <c r="P283" s="51" t="s">
        <v>76</v>
      </c>
      <c r="Q283" s="51" t="s">
        <v>534</v>
      </c>
      <c r="R283" s="51" t="s">
        <v>77</v>
      </c>
      <c r="S283" s="51" t="s">
        <v>78</v>
      </c>
      <c r="T283" s="51" t="s">
        <v>412</v>
      </c>
      <c r="U283" s="20" t="s">
        <v>104</v>
      </c>
      <c r="V283" s="20" t="s">
        <v>444</v>
      </c>
    </row>
    <row r="284" spans="1:22">
      <c r="A284" s="20" t="s">
        <v>72</v>
      </c>
      <c r="B284" s="20">
        <f>'Kirchman 2007'!C98</f>
        <v>54</v>
      </c>
      <c r="C284" s="20">
        <f>'Kirchman 2007'!G98</f>
        <v>60.1</v>
      </c>
      <c r="I284" s="51">
        <f>'Kirchman 2007'!H98</f>
        <v>219206.70115792067</v>
      </c>
      <c r="J284" s="51">
        <f>'Kirchman 2007'!J98*10^5</f>
        <v>168341.22658130797</v>
      </c>
      <c r="K284" s="51">
        <f>'Kirchman 2007'!M98*10^5</f>
        <v>49288.200550273206</v>
      </c>
      <c r="L284" s="51">
        <f>J284+K284</f>
        <v>217629.42713158118</v>
      </c>
      <c r="M284" s="63">
        <f>L284/I284</f>
        <v>0.99280462678372594</v>
      </c>
      <c r="N284" s="63">
        <f>K284/L284</f>
        <v>0.22647764688767485</v>
      </c>
      <c r="O284" s="63" t="s">
        <v>75</v>
      </c>
      <c r="P284" s="51" t="s">
        <v>76</v>
      </c>
      <c r="Q284" s="51" t="s">
        <v>534</v>
      </c>
      <c r="R284" s="51" t="s">
        <v>77</v>
      </c>
      <c r="S284" s="51" t="s">
        <v>78</v>
      </c>
      <c r="T284" s="51" t="s">
        <v>412</v>
      </c>
      <c r="U284" s="20" t="s">
        <v>104</v>
      </c>
      <c r="V284" s="20" t="s">
        <v>444</v>
      </c>
    </row>
    <row r="285" spans="1:22">
      <c r="A285" s="20" t="s">
        <v>72</v>
      </c>
      <c r="B285" s="20">
        <f>'Kirchman 2007'!C97</f>
        <v>7</v>
      </c>
      <c r="C285" s="20">
        <f>'Kirchman 2007'!G97</f>
        <v>70</v>
      </c>
      <c r="I285" s="51">
        <f>'Kirchman 2007'!H97</f>
        <v>288439.71631205676</v>
      </c>
      <c r="J285" s="51">
        <f>'Kirchman 2007'!J97*10^5</f>
        <v>213835.19373181224</v>
      </c>
      <c r="K285" s="51">
        <f>'Kirchman 2007'!M97*10^5</f>
        <v>49117.642247063952</v>
      </c>
      <c r="L285" s="51">
        <f>J285+K285</f>
        <v>262952.83597887622</v>
      </c>
      <c r="M285" s="63">
        <f>L285/I285</f>
        <v>0.91163879697618744</v>
      </c>
      <c r="N285" s="63">
        <f>K285/L285</f>
        <v>0.18679259367641776</v>
      </c>
      <c r="O285" s="63" t="s">
        <v>75</v>
      </c>
      <c r="P285" s="51" t="s">
        <v>76</v>
      </c>
      <c r="Q285" s="51" t="s">
        <v>534</v>
      </c>
      <c r="R285" s="51" t="s">
        <v>77</v>
      </c>
      <c r="S285" s="51" t="s">
        <v>78</v>
      </c>
      <c r="T285" s="51" t="s">
        <v>412</v>
      </c>
      <c r="U285" s="20" t="s">
        <v>104</v>
      </c>
      <c r="V285" s="20" t="s">
        <v>444</v>
      </c>
    </row>
    <row r="286" spans="1:22">
      <c r="A286" s="20" t="s">
        <v>72</v>
      </c>
      <c r="B286" s="20">
        <f>'Kirchman 2007'!C95</f>
        <v>16</v>
      </c>
      <c r="C286" s="20">
        <f>'Kirchman 2007'!G95</f>
        <v>75</v>
      </c>
      <c r="I286" s="51">
        <f>'Kirchman 2007'!H95</f>
        <v>544503.54609929072</v>
      </c>
      <c r="J286" s="51">
        <f>'Kirchman 2007'!J95*10^5</f>
        <v>464972.28747239825</v>
      </c>
      <c r="K286" s="51">
        <f>'Kirchman 2007'!M95*10^5</f>
        <v>47168.907886089706</v>
      </c>
      <c r="L286" s="51">
        <f>J286+K286</f>
        <v>512141.19535848795</v>
      </c>
      <c r="M286" s="63">
        <f>L286/I286</f>
        <v>0.94056539948611928</v>
      </c>
      <c r="N286" s="63">
        <f>K286/L286</f>
        <v>9.210137421785114E-2</v>
      </c>
      <c r="O286" s="63" t="s">
        <v>75</v>
      </c>
      <c r="P286" s="51" t="s">
        <v>76</v>
      </c>
      <c r="Q286" s="51" t="s">
        <v>534</v>
      </c>
      <c r="R286" s="51" t="s">
        <v>77</v>
      </c>
      <c r="S286" s="51" t="s">
        <v>78</v>
      </c>
      <c r="T286" s="51" t="s">
        <v>412</v>
      </c>
      <c r="U286" s="20" t="s">
        <v>104</v>
      </c>
      <c r="V286" s="20" t="s">
        <v>444</v>
      </c>
    </row>
    <row r="287" spans="1:22">
      <c r="A287" s="20" t="s">
        <v>72</v>
      </c>
      <c r="B287" s="20">
        <f>'Kirchman 2007'!C88</f>
        <v>31</v>
      </c>
      <c r="C287" s="20">
        <f>'Kirchman 2007'!G88</f>
        <v>75</v>
      </c>
      <c r="I287" s="51">
        <f>'Kirchman 2007'!H88</f>
        <v>261950.35460992911</v>
      </c>
      <c r="J287" s="51">
        <f>'Kirchman 2007'!J88*10^5</f>
        <v>146680.78632936496</v>
      </c>
      <c r="K287" s="51">
        <f>'Kirchman 2007'!M88*10^5</f>
        <v>43632.970481136297</v>
      </c>
      <c r="L287" s="51">
        <f>J287+K287</f>
        <v>190313.75681050125</v>
      </c>
      <c r="M287" s="63">
        <f>L287/I287</f>
        <v>0.72652605144932103</v>
      </c>
      <c r="N287" s="63">
        <f>K287/L287</f>
        <v>0.22926860996487192</v>
      </c>
      <c r="O287" s="63" t="s">
        <v>75</v>
      </c>
      <c r="P287" s="51" t="s">
        <v>76</v>
      </c>
      <c r="Q287" s="51" t="s">
        <v>534</v>
      </c>
      <c r="R287" s="51" t="s">
        <v>77</v>
      </c>
      <c r="S287" s="51" t="s">
        <v>78</v>
      </c>
      <c r="T287" s="51" t="s">
        <v>412</v>
      </c>
      <c r="U287" s="20" t="s">
        <v>104</v>
      </c>
      <c r="V287" s="20" t="s">
        <v>444</v>
      </c>
    </row>
    <row r="288" spans="1:22">
      <c r="A288" s="20" t="s">
        <v>72</v>
      </c>
      <c r="B288" s="20">
        <f>'Kirchman 2007'!C56</f>
        <v>19</v>
      </c>
      <c r="C288" s="20">
        <f>'Kirchman 2007'!G56</f>
        <v>80</v>
      </c>
      <c r="I288" s="51">
        <f>'Kirchman 2007'!H56</f>
        <v>532730.49645390082</v>
      </c>
      <c r="J288" s="51">
        <f>'Kirchman 2007'!J56*10^5</f>
        <v>351894.909607279</v>
      </c>
      <c r="K288" s="51">
        <f>'Kirchman 2007'!M56*10^5</f>
        <v>23151.145761001379</v>
      </c>
      <c r="L288" s="51">
        <f>J288+K288</f>
        <v>375046.05536828039</v>
      </c>
      <c r="M288" s="63">
        <f>L288/I288</f>
        <v>0.70400710652902243</v>
      </c>
      <c r="N288" s="63">
        <f>K288/L288</f>
        <v>6.1728807514767406E-2</v>
      </c>
      <c r="O288" s="63" t="s">
        <v>75</v>
      </c>
      <c r="P288" s="51" t="s">
        <v>76</v>
      </c>
      <c r="Q288" s="51" t="s">
        <v>534</v>
      </c>
      <c r="R288" s="51" t="s">
        <v>77</v>
      </c>
      <c r="S288" s="51" t="s">
        <v>78</v>
      </c>
      <c r="T288" s="51" t="s">
        <v>412</v>
      </c>
      <c r="U288" s="20" t="s">
        <v>104</v>
      </c>
      <c r="V288" s="20" t="s">
        <v>444</v>
      </c>
    </row>
    <row r="289" spans="1:22">
      <c r="A289" s="20" t="s">
        <v>72</v>
      </c>
      <c r="B289" s="20">
        <f>'Kirchman 2007'!C114</f>
        <v>20</v>
      </c>
      <c r="C289" s="20">
        <f>'Kirchman 2007'!G114</f>
        <v>86.7</v>
      </c>
      <c r="I289" s="51">
        <f>'Kirchman 2007'!H114</f>
        <v>192799.07084785131</v>
      </c>
      <c r="J289" s="51">
        <f>'Kirchman 2007'!J114*10^5</f>
        <v>117182.49350921903</v>
      </c>
      <c r="K289" s="51">
        <f>'Kirchman 2007'!M114*10^5</f>
        <v>69393.345421638282</v>
      </c>
      <c r="L289" s="51">
        <f>J289+K289</f>
        <v>186575.83893085731</v>
      </c>
      <c r="M289" s="63">
        <f>L289/I289</f>
        <v>0.96772167059920577</v>
      </c>
      <c r="N289" s="63">
        <f>K289/L289</f>
        <v>0.37193103790547388</v>
      </c>
      <c r="O289" s="63" t="s">
        <v>75</v>
      </c>
      <c r="P289" s="51" t="s">
        <v>76</v>
      </c>
      <c r="Q289" s="51" t="s">
        <v>534</v>
      </c>
      <c r="R289" s="51" t="s">
        <v>77</v>
      </c>
      <c r="S289" s="51" t="s">
        <v>78</v>
      </c>
      <c r="T289" s="51" t="s">
        <v>412</v>
      </c>
      <c r="U289" s="20" t="s">
        <v>104</v>
      </c>
      <c r="V289" s="20" t="s">
        <v>444</v>
      </c>
    </row>
    <row r="290" spans="1:22">
      <c r="A290" s="20" t="s">
        <v>72</v>
      </c>
      <c r="B290" s="20">
        <f>'Kirchman 2007'!C104</f>
        <v>37</v>
      </c>
      <c r="C290" s="20">
        <f>'Kirchman 2007'!G104</f>
        <v>98.9</v>
      </c>
      <c r="I290" s="51">
        <f>'Kirchman 2007'!H104</f>
        <v>173402.31584134023</v>
      </c>
      <c r="J290" s="51">
        <f>'Kirchman 2007'!J104*10^5</f>
        <v>113411.18564795087</v>
      </c>
      <c r="K290" s="51">
        <f>'Kirchman 2007'!M104*10^5</f>
        <v>54823.811140303311</v>
      </c>
      <c r="L290" s="51">
        <f>J290+K290</f>
        <v>168234.99678825418</v>
      </c>
      <c r="M290" s="63">
        <f>L290/I290</f>
        <v>0.97020040344897096</v>
      </c>
      <c r="N290" s="63">
        <f>K290/L290</f>
        <v>0.32587637641950484</v>
      </c>
      <c r="O290" s="63" t="s">
        <v>75</v>
      </c>
      <c r="P290" s="51" t="s">
        <v>76</v>
      </c>
      <c r="Q290" s="51" t="s">
        <v>534</v>
      </c>
      <c r="R290" s="51" t="s">
        <v>77</v>
      </c>
      <c r="S290" s="51" t="s">
        <v>78</v>
      </c>
      <c r="T290" s="51" t="s">
        <v>412</v>
      </c>
      <c r="U290" s="20" t="s">
        <v>104</v>
      </c>
      <c r="V290" s="20" t="s">
        <v>444</v>
      </c>
    </row>
    <row r="291" spans="1:22">
      <c r="A291" s="20" t="s">
        <v>72</v>
      </c>
      <c r="B291" s="20">
        <f>'Kirchman 2007'!C157</f>
        <v>14</v>
      </c>
      <c r="C291" s="20">
        <f>'Kirchman 2007'!G157</f>
        <v>100</v>
      </c>
      <c r="I291" s="51">
        <f>'Kirchman 2007'!H157</f>
        <v>665177.30496453901</v>
      </c>
      <c r="J291" s="51">
        <f>'Kirchman 2007'!J157*10^5</f>
        <v>550399.22957315505</v>
      </c>
      <c r="K291" s="51">
        <f>'Kirchman 2007'!M157*10^5</f>
        <v>262634.22096991289</v>
      </c>
      <c r="L291" s="51">
        <f>J291+K291</f>
        <v>813033.45054306788</v>
      </c>
      <c r="M291" s="63">
        <f>L291/I291</f>
        <v>1.2222808031407673</v>
      </c>
      <c r="N291" s="63">
        <f>K291/L291</f>
        <v>0.32303003129143781</v>
      </c>
      <c r="O291" s="63" t="s">
        <v>75</v>
      </c>
      <c r="P291" s="51" t="s">
        <v>76</v>
      </c>
      <c r="Q291" s="51" t="s">
        <v>534</v>
      </c>
      <c r="R291" s="51" t="s">
        <v>77</v>
      </c>
      <c r="S291" s="51" t="s">
        <v>78</v>
      </c>
      <c r="T291" s="51" t="s">
        <v>412</v>
      </c>
      <c r="U291" s="20" t="s">
        <v>104</v>
      </c>
      <c r="V291" s="20" t="s">
        <v>444</v>
      </c>
    </row>
    <row r="292" spans="1:22">
      <c r="A292" s="20" t="s">
        <v>72</v>
      </c>
      <c r="B292" s="20">
        <f>'Kirchman 2007'!C99</f>
        <v>17</v>
      </c>
      <c r="C292" s="20">
        <f>'Kirchman 2007'!G99</f>
        <v>100</v>
      </c>
      <c r="I292" s="51">
        <f>'Kirchman 2007'!H99</f>
        <v>756418.43971631199</v>
      </c>
      <c r="J292" s="51">
        <f>'Kirchman 2007'!J99*10^5</f>
        <v>672337.4262349942</v>
      </c>
      <c r="K292" s="51">
        <f>'Kirchman 2007'!M99*10^5</f>
        <v>49612.755698122928</v>
      </c>
      <c r="L292" s="51">
        <f>J292+K292</f>
        <v>721950.1819331171</v>
      </c>
      <c r="M292" s="63">
        <f>L292/I292</f>
        <v>0.95443228777431455</v>
      </c>
      <c r="N292" s="63">
        <f>K292/L292</f>
        <v>6.8720469832528081E-2</v>
      </c>
      <c r="O292" s="63" t="s">
        <v>75</v>
      </c>
      <c r="P292" s="51" t="s">
        <v>76</v>
      </c>
      <c r="Q292" s="51" t="s">
        <v>534</v>
      </c>
      <c r="R292" s="51" t="s">
        <v>77</v>
      </c>
      <c r="S292" s="51" t="s">
        <v>78</v>
      </c>
      <c r="T292" s="51" t="s">
        <v>412</v>
      </c>
      <c r="U292" s="20" t="s">
        <v>104</v>
      </c>
      <c r="V292" s="20" t="s">
        <v>444</v>
      </c>
    </row>
    <row r="293" spans="1:22">
      <c r="A293" s="20" t="s">
        <v>72</v>
      </c>
      <c r="B293" s="20">
        <f>'Kirchman 2007'!C74</f>
        <v>18</v>
      </c>
      <c r="C293" s="20">
        <f>'Kirchman 2007'!G74</f>
        <v>100</v>
      </c>
      <c r="I293" s="51">
        <f>'Kirchman 2007'!H74</f>
        <v>300212.76595744683</v>
      </c>
      <c r="J293" s="51">
        <f>'Kirchman 2007'!J74*10^5</f>
        <v>205031.21837834839</v>
      </c>
      <c r="K293" s="51">
        <f>'Kirchman 2007'!M74*10^5</f>
        <v>35278.186953088203</v>
      </c>
      <c r="L293" s="51">
        <f>J293+K293</f>
        <v>240309.4053314366</v>
      </c>
      <c r="M293" s="63">
        <f>L293/I293</f>
        <v>0.80046364639103607</v>
      </c>
      <c r="N293" s="63">
        <f>K293/L293</f>
        <v>0.14680318859943187</v>
      </c>
      <c r="O293" s="63" t="s">
        <v>75</v>
      </c>
      <c r="P293" s="51" t="s">
        <v>76</v>
      </c>
      <c r="Q293" s="51" t="s">
        <v>534</v>
      </c>
      <c r="R293" s="51" t="s">
        <v>77</v>
      </c>
      <c r="S293" s="51" t="s">
        <v>78</v>
      </c>
      <c r="T293" s="51" t="s">
        <v>412</v>
      </c>
      <c r="U293" s="20" t="s">
        <v>104</v>
      </c>
      <c r="V293" s="20" t="s">
        <v>444</v>
      </c>
    </row>
    <row r="294" spans="1:22">
      <c r="A294" s="20" t="s">
        <v>72</v>
      </c>
      <c r="B294" s="20">
        <f>'Kirchman 2007'!C61</f>
        <v>20</v>
      </c>
      <c r="C294" s="20">
        <f>'Kirchman 2007'!G61</f>
        <v>100</v>
      </c>
      <c r="I294" s="51">
        <f>'Kirchman 2007'!H61</f>
        <v>197180.86791257522</v>
      </c>
      <c r="J294" s="51">
        <f>'Kirchman 2007'!J61*10^5</f>
        <v>114424.41688783078</v>
      </c>
      <c r="K294" s="51">
        <f>'Kirchman 2007'!M61*10^5</f>
        <v>25185.786498473255</v>
      </c>
      <c r="L294" s="51">
        <f>J294+K294</f>
        <v>139610.20338630403</v>
      </c>
      <c r="M294" s="63">
        <f>L294/I294</f>
        <v>0.70803118408122379</v>
      </c>
      <c r="N294" s="63">
        <f>K294/L294</f>
        <v>0.18040075787858939</v>
      </c>
      <c r="O294" s="63" t="s">
        <v>75</v>
      </c>
      <c r="P294" s="51" t="s">
        <v>76</v>
      </c>
      <c r="Q294" s="51" t="s">
        <v>534</v>
      </c>
      <c r="R294" s="51" t="s">
        <v>77</v>
      </c>
      <c r="S294" s="51" t="s">
        <v>78</v>
      </c>
      <c r="T294" s="51" t="s">
        <v>412</v>
      </c>
      <c r="U294" s="20" t="s">
        <v>104</v>
      </c>
      <c r="V294" s="20" t="s">
        <v>444</v>
      </c>
    </row>
    <row r="295" spans="1:22">
      <c r="A295" s="20" t="s">
        <v>72</v>
      </c>
      <c r="B295" s="20">
        <f>'Kirchman 2007'!C117</f>
        <v>20</v>
      </c>
      <c r="C295" s="20">
        <f>'Kirchman 2007'!G117</f>
        <v>100</v>
      </c>
      <c r="I295" s="51">
        <f>'Kirchman 2007'!H117</f>
        <v>329645.39007092197</v>
      </c>
      <c r="J295" s="51">
        <f>'Kirchman 2007'!J117*10^5</f>
        <v>131363.94922923096</v>
      </c>
      <c r="K295" s="51">
        <f>'Kirchman 2007'!M117*10^5</f>
        <v>71804.30817196623</v>
      </c>
      <c r="L295" s="51">
        <f>J295+K295</f>
        <v>203168.25740119719</v>
      </c>
      <c r="M295" s="63">
        <f>L295/I295</f>
        <v>0.61632367240896735</v>
      </c>
      <c r="N295" s="63">
        <f>K295/L295</f>
        <v>0.35342286777689869</v>
      </c>
      <c r="O295" s="63" t="s">
        <v>75</v>
      </c>
      <c r="P295" s="51" t="s">
        <v>76</v>
      </c>
      <c r="Q295" s="51" t="s">
        <v>534</v>
      </c>
      <c r="R295" s="51" t="s">
        <v>77</v>
      </c>
      <c r="S295" s="51" t="s">
        <v>78</v>
      </c>
      <c r="T295" s="51" t="s">
        <v>412</v>
      </c>
      <c r="U295" s="20" t="s">
        <v>104</v>
      </c>
      <c r="V295" s="20" t="s">
        <v>444</v>
      </c>
    </row>
    <row r="296" spans="1:22">
      <c r="A296" s="20" t="s">
        <v>72</v>
      </c>
      <c r="B296" s="20">
        <f>'Kirchman 2007'!C149</f>
        <v>21</v>
      </c>
      <c r="C296" s="20">
        <f>'Kirchman 2007'!G149</f>
        <v>100</v>
      </c>
      <c r="I296" s="51">
        <f>'Kirchman 2007'!H149</f>
        <v>348481.74302980606</v>
      </c>
      <c r="J296" s="51">
        <f>'Kirchman 2007'!J149*10^5</f>
        <v>201701.1798344944</v>
      </c>
      <c r="K296" s="51">
        <f>'Kirchman 2007'!M149*10^5</f>
        <v>179403.31263876791</v>
      </c>
      <c r="L296" s="51">
        <f>J296+K296</f>
        <v>381104.4924732623</v>
      </c>
      <c r="M296" s="63">
        <f>L296/I296</f>
        <v>1.0936139413210693</v>
      </c>
      <c r="N296" s="63">
        <f>K296/L296</f>
        <v>0.47074573032317263</v>
      </c>
      <c r="O296" s="63" t="s">
        <v>75</v>
      </c>
      <c r="P296" s="51" t="s">
        <v>76</v>
      </c>
      <c r="Q296" s="51" t="s">
        <v>534</v>
      </c>
      <c r="R296" s="51" t="s">
        <v>77</v>
      </c>
      <c r="S296" s="51" t="s">
        <v>78</v>
      </c>
      <c r="T296" s="51" t="s">
        <v>412</v>
      </c>
      <c r="U296" s="20" t="s">
        <v>104</v>
      </c>
      <c r="V296" s="20" t="s">
        <v>444</v>
      </c>
    </row>
    <row r="297" spans="1:22">
      <c r="A297" s="20" t="s">
        <v>72</v>
      </c>
      <c r="B297" s="20">
        <f>'Kirchman 2007'!C112</f>
        <v>26</v>
      </c>
      <c r="C297" s="20">
        <f>'Kirchman 2007'!G112</f>
        <v>100</v>
      </c>
      <c r="I297" s="51">
        <f>'Kirchman 2007'!H112</f>
        <v>418679.07801418437</v>
      </c>
      <c r="J297" s="51">
        <f>'Kirchman 2007'!J112*10^5</f>
        <v>192117.85818667922</v>
      </c>
      <c r="K297" s="51">
        <f>'Kirchman 2007'!M112*10^5</f>
        <v>65652.890066828812</v>
      </c>
      <c r="L297" s="51">
        <f>J297+K297</f>
        <v>257770.74825350803</v>
      </c>
      <c r="M297" s="63">
        <f>L297/I297</f>
        <v>0.61567621070564948</v>
      </c>
      <c r="N297" s="63">
        <f>K297/L297</f>
        <v>0.25469488105865917</v>
      </c>
      <c r="O297" s="63" t="s">
        <v>75</v>
      </c>
      <c r="P297" s="51" t="s">
        <v>76</v>
      </c>
      <c r="Q297" s="51" t="s">
        <v>534</v>
      </c>
      <c r="R297" s="51" t="s">
        <v>77</v>
      </c>
      <c r="S297" s="51" t="s">
        <v>78</v>
      </c>
      <c r="T297" s="51" t="s">
        <v>412</v>
      </c>
      <c r="U297" s="20" t="s">
        <v>104</v>
      </c>
      <c r="V297" s="20" t="s">
        <v>444</v>
      </c>
    </row>
    <row r="298" spans="1:22">
      <c r="A298" s="20" t="s">
        <v>72</v>
      </c>
      <c r="B298" s="20">
        <f>'Kirchman 2007'!C143</f>
        <v>26</v>
      </c>
      <c r="C298" s="20">
        <f>'Kirchman 2007'!G143</f>
        <v>100</v>
      </c>
      <c r="I298" s="51">
        <f>'Kirchman 2007'!H143</f>
        <v>630205.51901470113</v>
      </c>
      <c r="J298" s="51">
        <f>'Kirchman 2007'!J143*10^5</f>
        <v>562404.40728817927</v>
      </c>
      <c r="K298" s="51">
        <f>'Kirchman 2007'!M143*10^5</f>
        <v>157631.36251828217</v>
      </c>
      <c r="L298" s="51">
        <f>J298+K298</f>
        <v>720035.76980646141</v>
      </c>
      <c r="M298" s="63">
        <f>L298/I298</f>
        <v>1.1425411997854382</v>
      </c>
      <c r="N298" s="63">
        <f>K298/L298</f>
        <v>0.21892157185559261</v>
      </c>
      <c r="O298" s="63" t="s">
        <v>75</v>
      </c>
      <c r="P298" s="51" t="s">
        <v>76</v>
      </c>
      <c r="Q298" s="51" t="s">
        <v>534</v>
      </c>
      <c r="R298" s="51" t="s">
        <v>77</v>
      </c>
      <c r="S298" s="51" t="s">
        <v>78</v>
      </c>
      <c r="T298" s="51" t="s">
        <v>412</v>
      </c>
      <c r="U298" s="20" t="s">
        <v>104</v>
      </c>
      <c r="V298" s="20" t="s">
        <v>444</v>
      </c>
    </row>
    <row r="299" spans="1:22">
      <c r="A299" s="20" t="s">
        <v>72</v>
      </c>
      <c r="B299" s="20">
        <f>'Kirchman 2007'!C52</f>
        <v>28</v>
      </c>
      <c r="C299" s="20">
        <f>'Kirchman 2007'!G52</f>
        <v>100</v>
      </c>
      <c r="I299" s="51">
        <f>'Kirchman 2007'!H52</f>
        <v>153638.29787234045</v>
      </c>
      <c r="J299" s="51">
        <f>'Kirchman 2007'!J52*10^5</f>
        <v>80243.705824815333</v>
      </c>
      <c r="K299" s="51">
        <f>'Kirchman 2007'!M52*10^5</f>
        <v>21614.730623906999</v>
      </c>
      <c r="L299" s="51">
        <f>J299+K299</f>
        <v>101858.43644872234</v>
      </c>
      <c r="M299" s="63">
        <f>L299/I299</f>
        <v>0.66297555921478313</v>
      </c>
      <c r="N299" s="63">
        <f>K299/L299</f>
        <v>0.21220363651260546</v>
      </c>
      <c r="O299" s="63" t="s">
        <v>75</v>
      </c>
      <c r="P299" s="51" t="s">
        <v>76</v>
      </c>
      <c r="Q299" s="51" t="s">
        <v>534</v>
      </c>
      <c r="R299" s="51" t="s">
        <v>77</v>
      </c>
      <c r="S299" s="51" t="s">
        <v>78</v>
      </c>
      <c r="T299" s="51" t="s">
        <v>412</v>
      </c>
      <c r="U299" s="20" t="s">
        <v>104</v>
      </c>
      <c r="V299" s="20" t="s">
        <v>444</v>
      </c>
    </row>
    <row r="300" spans="1:22">
      <c r="A300" s="20" t="s">
        <v>72</v>
      </c>
      <c r="B300" s="20">
        <f>'Kirchman 2007'!C26</f>
        <v>30</v>
      </c>
      <c r="C300" s="20">
        <f>'Kirchman 2007'!G26</f>
        <v>100</v>
      </c>
      <c r="I300" s="51">
        <f>'Kirchman 2007'!H26</f>
        <v>144808.51063829788</v>
      </c>
      <c r="J300" s="51">
        <f>'Kirchman 2007'!J26*10^5</f>
        <v>86711.097324694769</v>
      </c>
      <c r="K300" s="51">
        <f>'Kirchman 2007'!M26*10^5</f>
        <v>6478.1773682580451</v>
      </c>
      <c r="L300" s="51">
        <f>J300+K300</f>
        <v>93189.274692952808</v>
      </c>
      <c r="M300" s="63">
        <f>L300/I300</f>
        <v>0.64353451521727612</v>
      </c>
      <c r="N300" s="63">
        <f>K300/L300</f>
        <v>6.9516340690523051E-2</v>
      </c>
      <c r="O300" s="63" t="s">
        <v>75</v>
      </c>
      <c r="P300" s="51" t="s">
        <v>76</v>
      </c>
      <c r="Q300" s="51" t="s">
        <v>534</v>
      </c>
      <c r="R300" s="51" t="s">
        <v>77</v>
      </c>
      <c r="S300" s="51" t="s">
        <v>78</v>
      </c>
      <c r="T300" s="51" t="s">
        <v>412</v>
      </c>
      <c r="U300" s="20" t="s">
        <v>104</v>
      </c>
      <c r="V300" s="20" t="s">
        <v>444</v>
      </c>
    </row>
    <row r="301" spans="1:22">
      <c r="A301" s="20" t="s">
        <v>72</v>
      </c>
      <c r="B301" s="20">
        <f>'Kirchman 2007'!C148</f>
        <v>33</v>
      </c>
      <c r="C301" s="20">
        <f>'Kirchman 2007'!G148</f>
        <v>100</v>
      </c>
      <c r="I301" s="51">
        <f>'Kirchman 2007'!H148</f>
        <v>479015.95744680846</v>
      </c>
      <c r="J301" s="51">
        <f>'Kirchman 2007'!J148*10^5</f>
        <v>424731.36778926593</v>
      </c>
      <c r="K301" s="51">
        <f>'Kirchman 2007'!M148*10^5</f>
        <v>178033.71759692332</v>
      </c>
      <c r="L301" s="51">
        <f>J301+K301</f>
        <v>602765.08538618928</v>
      </c>
      <c r="M301" s="63">
        <f>L301/I301</f>
        <v>1.2583403037322036</v>
      </c>
      <c r="N301" s="63">
        <f>K301/L301</f>
        <v>0.29536169548184399</v>
      </c>
      <c r="O301" s="63" t="s">
        <v>75</v>
      </c>
      <c r="P301" s="51" t="s">
        <v>76</v>
      </c>
      <c r="Q301" s="51" t="s">
        <v>534</v>
      </c>
      <c r="R301" s="51" t="s">
        <v>77</v>
      </c>
      <c r="S301" s="51" t="s">
        <v>78</v>
      </c>
      <c r="T301" s="51" t="s">
        <v>412</v>
      </c>
      <c r="U301" s="20" t="s">
        <v>104</v>
      </c>
      <c r="V301" s="20" t="s">
        <v>444</v>
      </c>
    </row>
    <row r="302" spans="1:22">
      <c r="A302" s="20" t="s">
        <v>72</v>
      </c>
      <c r="B302" s="20">
        <f>'Kirchman 2007'!C102</f>
        <v>50</v>
      </c>
      <c r="C302" s="20">
        <f>'Kirchman 2007'!G102</f>
        <v>100</v>
      </c>
      <c r="I302" s="51">
        <f>'Kirchman 2007'!H102</f>
        <v>395267.30721852672</v>
      </c>
      <c r="J302" s="51">
        <f>'Kirchman 2007'!J102*10^5</f>
        <v>313280.65227073163</v>
      </c>
      <c r="K302" s="51">
        <f>'Kirchman 2007'!M102*10^5</f>
        <v>52748.755331830354</v>
      </c>
      <c r="L302" s="51">
        <f>J302+K302</f>
        <v>366029.40760256199</v>
      </c>
      <c r="M302" s="63">
        <f>L302/I302</f>
        <v>0.92603005843890773</v>
      </c>
      <c r="N302" s="63">
        <f>K302/L302</f>
        <v>0.14411070322826472</v>
      </c>
      <c r="O302" s="63" t="s">
        <v>75</v>
      </c>
      <c r="P302" s="51" t="s">
        <v>76</v>
      </c>
      <c r="Q302" s="51" t="s">
        <v>534</v>
      </c>
      <c r="R302" s="51" t="s">
        <v>77</v>
      </c>
      <c r="S302" s="51" t="s">
        <v>78</v>
      </c>
      <c r="T302" s="51" t="s">
        <v>412</v>
      </c>
      <c r="U302" s="20" t="s">
        <v>104</v>
      </c>
      <c r="V302" s="20" t="s">
        <v>444</v>
      </c>
    </row>
    <row r="303" spans="1:22">
      <c r="A303" s="20" t="s">
        <v>72</v>
      </c>
      <c r="B303" s="20">
        <f>'Kirchman 2007'!C108</f>
        <v>54</v>
      </c>
      <c r="C303" s="20">
        <f>'Kirchman 2007'!G108</f>
        <v>100</v>
      </c>
      <c r="I303" s="51">
        <f>'Kirchman 2007'!H108</f>
        <v>272168.02168021677</v>
      </c>
      <c r="J303" s="51">
        <f>'Kirchman 2007'!J108*10^5</f>
        <v>204509.37386181619</v>
      </c>
      <c r="K303" s="51">
        <f>'Kirchman 2007'!M108*10^5</f>
        <v>59354.192085242852</v>
      </c>
      <c r="L303" s="51">
        <f>J303+K303</f>
        <v>263863.56594705902</v>
      </c>
      <c r="M303" s="63">
        <f>L303/I303</f>
        <v>0.96948776097246625</v>
      </c>
      <c r="N303" s="63">
        <f>K303/L303</f>
        <v>0.22494273459925704</v>
      </c>
      <c r="O303" s="63" t="s">
        <v>75</v>
      </c>
      <c r="P303" s="51" t="s">
        <v>76</v>
      </c>
      <c r="Q303" s="51" t="s">
        <v>534</v>
      </c>
      <c r="R303" s="51" t="s">
        <v>77</v>
      </c>
      <c r="S303" s="51" t="s">
        <v>78</v>
      </c>
      <c r="T303" s="51" t="s">
        <v>412</v>
      </c>
      <c r="U303" s="20" t="s">
        <v>104</v>
      </c>
      <c r="V303" s="20" t="s">
        <v>444</v>
      </c>
    </row>
    <row r="304" spans="1:22">
      <c r="A304" s="20" t="s">
        <v>72</v>
      </c>
      <c r="B304" s="20">
        <f>'Kirchman 2007'!C100</f>
        <v>32</v>
      </c>
      <c r="C304" s="20">
        <f>'Kirchman 2007'!G100</f>
        <v>110</v>
      </c>
      <c r="I304" s="51">
        <f>'Kirchman 2007'!H100</f>
        <v>279609.92907801399</v>
      </c>
      <c r="J304" s="51">
        <f>'Kirchman 2007'!J100*10^5</f>
        <v>129254.42431583849</v>
      </c>
      <c r="K304" s="51">
        <f>'Kirchman 2007'!M100*10^5</f>
        <v>49726.712213882063</v>
      </c>
      <c r="L304" s="51">
        <f>J304+K304</f>
        <v>178981.13652972056</v>
      </c>
      <c r="M304" s="63">
        <f>L304/I304</f>
        <v>0.64011008879367448</v>
      </c>
      <c r="N304" s="63">
        <f>K304/L304</f>
        <v>0.27783214017989394</v>
      </c>
      <c r="O304" s="63" t="s">
        <v>75</v>
      </c>
      <c r="P304" s="51" t="s">
        <v>76</v>
      </c>
      <c r="Q304" s="51" t="s">
        <v>534</v>
      </c>
      <c r="R304" s="51" t="s">
        <v>77</v>
      </c>
      <c r="S304" s="51" t="s">
        <v>78</v>
      </c>
      <c r="T304" s="51" t="s">
        <v>412</v>
      </c>
      <c r="U304" s="20" t="s">
        <v>104</v>
      </c>
      <c r="V304" s="20" t="s">
        <v>444</v>
      </c>
    </row>
    <row r="305" spans="1:22">
      <c r="A305" s="20" t="s">
        <v>72</v>
      </c>
      <c r="B305" s="20">
        <f>'Kirchman 2007'!C123</f>
        <v>32</v>
      </c>
      <c r="C305" s="20">
        <f>'Kirchman 2007'!G123</f>
        <v>120</v>
      </c>
      <c r="I305" s="51">
        <f>'Kirchman 2007'!H123</f>
        <v>357606.38297872344</v>
      </c>
      <c r="J305" s="51">
        <f>'Kirchman 2007'!J123*10^5</f>
        <v>194849.22815407324</v>
      </c>
      <c r="K305" s="51">
        <f>'Kirchman 2007'!M123*10^5</f>
        <v>81401.980008274797</v>
      </c>
      <c r="L305" s="51">
        <f>J305+K305</f>
        <v>276251.20816234802</v>
      </c>
      <c r="M305" s="63">
        <f>L305/I305</f>
        <v>0.77250077546514084</v>
      </c>
      <c r="N305" s="63">
        <f>K305/L305</f>
        <v>0.29466651222910228</v>
      </c>
      <c r="O305" s="63" t="s">
        <v>75</v>
      </c>
      <c r="P305" s="51" t="s">
        <v>76</v>
      </c>
      <c r="Q305" s="51" t="s">
        <v>534</v>
      </c>
      <c r="R305" s="51" t="s">
        <v>77</v>
      </c>
      <c r="S305" s="51" t="s">
        <v>78</v>
      </c>
      <c r="T305" s="51" t="s">
        <v>412</v>
      </c>
      <c r="U305" s="20" t="s">
        <v>104</v>
      </c>
      <c r="V305" s="20" t="s">
        <v>444</v>
      </c>
    </row>
    <row r="306" spans="1:22">
      <c r="A306" s="20" t="s">
        <v>72</v>
      </c>
      <c r="B306" s="20">
        <f>'Kirchman 2007'!C106</f>
        <v>7</v>
      </c>
      <c r="C306" s="20">
        <f>'Kirchman 2007'!G106</f>
        <v>140</v>
      </c>
      <c r="I306" s="51">
        <f>'Kirchman 2007'!H106</f>
        <v>226631.20567375887</v>
      </c>
      <c r="J306" s="51">
        <f>'Kirchman 2007'!J106*10^5</f>
        <v>154155.15979359992</v>
      </c>
      <c r="K306" s="51">
        <f>'Kirchman 2007'!M106*10^5</f>
        <v>55863.67914045215</v>
      </c>
      <c r="L306" s="51">
        <f>J306+K306</f>
        <v>210018.83893405207</v>
      </c>
      <c r="M306" s="63">
        <f>L306/I306</f>
        <v>0.92669867907060999</v>
      </c>
      <c r="N306" s="63">
        <f>K306/L306</f>
        <v>0.26599365763560801</v>
      </c>
      <c r="O306" s="63" t="s">
        <v>75</v>
      </c>
      <c r="P306" s="51" t="s">
        <v>76</v>
      </c>
      <c r="Q306" s="51" t="s">
        <v>534</v>
      </c>
      <c r="R306" s="51" t="s">
        <v>77</v>
      </c>
      <c r="S306" s="51" t="s">
        <v>78</v>
      </c>
      <c r="T306" s="51" t="s">
        <v>412</v>
      </c>
      <c r="U306" s="20" t="s">
        <v>104</v>
      </c>
      <c r="V306" s="20" t="s">
        <v>444</v>
      </c>
    </row>
    <row r="307" spans="1:22">
      <c r="A307" s="20" t="s">
        <v>72</v>
      </c>
      <c r="B307" s="20">
        <f>'Kirchman 2007'!C68</f>
        <v>12</v>
      </c>
      <c r="C307" s="20">
        <f>'Kirchman 2007'!G68</f>
        <v>140</v>
      </c>
      <c r="I307" s="51">
        <f>'Kirchman 2007'!H68</f>
        <v>178067.37588652479</v>
      </c>
      <c r="J307" s="51">
        <f>'Kirchman 2007'!J68*10^5</f>
        <v>110929.37157006779</v>
      </c>
      <c r="K307" s="51">
        <f>'Kirchman 2007'!M68*10^5</f>
        <v>28761.34769113949</v>
      </c>
      <c r="L307" s="51">
        <f>J307+K307</f>
        <v>139690.71926120727</v>
      </c>
      <c r="M307" s="63">
        <f>L307/I307</f>
        <v>0.78448238238893664</v>
      </c>
      <c r="N307" s="63">
        <f>K307/L307</f>
        <v>0.20589304603234757</v>
      </c>
      <c r="O307" s="63" t="s">
        <v>75</v>
      </c>
      <c r="P307" s="51" t="s">
        <v>76</v>
      </c>
      <c r="Q307" s="51" t="s">
        <v>534</v>
      </c>
      <c r="R307" s="51" t="s">
        <v>77</v>
      </c>
      <c r="S307" s="51" t="s">
        <v>78</v>
      </c>
      <c r="T307" s="51" t="s">
        <v>412</v>
      </c>
      <c r="U307" s="20" t="s">
        <v>104</v>
      </c>
      <c r="V307" s="20" t="s">
        <v>444</v>
      </c>
    </row>
    <row r="308" spans="1:22">
      <c r="A308" s="20" t="s">
        <v>72</v>
      </c>
      <c r="B308" s="20">
        <f>'Kirchman 2007'!C127</f>
        <v>31</v>
      </c>
      <c r="C308" s="20">
        <f>'Kirchman 2007'!G127</f>
        <v>140</v>
      </c>
      <c r="I308" s="51">
        <f>'Kirchman 2007'!H127</f>
        <v>362757.09219858155</v>
      </c>
      <c r="J308" s="51">
        <f>'Kirchman 2007'!J127*10^5</f>
        <v>232860.10397978761</v>
      </c>
      <c r="K308" s="51">
        <f>'Kirchman 2007'!M127*10^5</f>
        <v>86938.744767643977</v>
      </c>
      <c r="L308" s="51">
        <f>J308+K308</f>
        <v>319798.84874743159</v>
      </c>
      <c r="M308" s="63">
        <f>L308/I308</f>
        <v>0.88157848771256098</v>
      </c>
      <c r="N308" s="63">
        <f>K308/L308</f>
        <v>0.27185446448028283</v>
      </c>
      <c r="O308" s="63" t="s">
        <v>75</v>
      </c>
      <c r="P308" s="51" t="s">
        <v>76</v>
      </c>
      <c r="Q308" s="51" t="s">
        <v>534</v>
      </c>
      <c r="R308" s="51" t="s">
        <v>77</v>
      </c>
      <c r="S308" s="51" t="s">
        <v>78</v>
      </c>
      <c r="T308" s="51" t="s">
        <v>412</v>
      </c>
      <c r="U308" s="20" t="s">
        <v>104</v>
      </c>
      <c r="V308" s="20" t="s">
        <v>444</v>
      </c>
    </row>
    <row r="309" spans="1:22">
      <c r="A309" s="20" t="s">
        <v>72</v>
      </c>
      <c r="B309" s="20">
        <f>'Kirchman 2007'!C130</f>
        <v>32</v>
      </c>
      <c r="C309" s="20">
        <f>'Kirchman 2007'!G130</f>
        <v>140</v>
      </c>
      <c r="I309" s="51">
        <f>'Kirchman 2007'!H130</f>
        <v>343625.88652482274</v>
      </c>
      <c r="J309" s="51">
        <f>'Kirchman 2007'!J130*10^5</f>
        <v>168272.10481323724</v>
      </c>
      <c r="K309" s="51">
        <f>'Kirchman 2007'!M130*10^5</f>
        <v>95983.893339236063</v>
      </c>
      <c r="L309" s="51">
        <f>J309+K309</f>
        <v>264255.9981524733</v>
      </c>
      <c r="M309" s="63">
        <f>L309/I309</f>
        <v>0.76902238310670479</v>
      </c>
      <c r="N309" s="63">
        <f>K309/L309</f>
        <v>0.36322313972171116</v>
      </c>
      <c r="O309" s="63" t="s">
        <v>75</v>
      </c>
      <c r="P309" s="51" t="s">
        <v>76</v>
      </c>
      <c r="Q309" s="51" t="s">
        <v>534</v>
      </c>
      <c r="R309" s="51" t="s">
        <v>77</v>
      </c>
      <c r="S309" s="51" t="s">
        <v>78</v>
      </c>
      <c r="T309" s="51" t="s">
        <v>412</v>
      </c>
      <c r="U309" s="20" t="s">
        <v>104</v>
      </c>
      <c r="V309" s="20" t="s">
        <v>444</v>
      </c>
    </row>
    <row r="310" spans="1:22">
      <c r="A310" s="20" t="s">
        <v>72</v>
      </c>
      <c r="B310" s="20">
        <f>'Kirchman 2007'!C142</f>
        <v>21</v>
      </c>
      <c r="C310" s="20">
        <f>'Kirchman 2007'!G142</f>
        <v>150</v>
      </c>
      <c r="I310" s="51">
        <f>'Kirchman 2007'!H142</f>
        <v>260227.19509089665</v>
      </c>
      <c r="J310" s="51">
        <f>'Kirchman 2007'!J142*10^5</f>
        <v>155244.1414869295</v>
      </c>
      <c r="K310" s="51">
        <f>'Kirchman 2007'!M142*10^5</f>
        <v>154611.16678905796</v>
      </c>
      <c r="L310" s="51">
        <f>J310+K310</f>
        <v>309855.30827598745</v>
      </c>
      <c r="M310" s="63">
        <f>L310/I310</f>
        <v>1.1907107101844441</v>
      </c>
      <c r="N310" s="63">
        <f>K310/L310</f>
        <v>0.49897859633034308</v>
      </c>
      <c r="O310" s="63" t="s">
        <v>75</v>
      </c>
      <c r="P310" s="51" t="s">
        <v>76</v>
      </c>
      <c r="Q310" s="51" t="s">
        <v>534</v>
      </c>
      <c r="R310" s="51" t="s">
        <v>77</v>
      </c>
      <c r="S310" s="51" t="s">
        <v>78</v>
      </c>
      <c r="T310" s="51" t="s">
        <v>412</v>
      </c>
      <c r="U310" s="20" t="s">
        <v>104</v>
      </c>
      <c r="V310" s="20" t="s">
        <v>444</v>
      </c>
    </row>
    <row r="311" spans="1:22">
      <c r="A311" s="20" t="s">
        <v>72</v>
      </c>
      <c r="B311" s="20">
        <f>'Kirchman 2007'!C87</f>
        <v>26</v>
      </c>
      <c r="C311" s="20">
        <f>'Kirchman 2007'!G87</f>
        <v>150</v>
      </c>
      <c r="I311" s="51">
        <f>'Kirchman 2007'!H87</f>
        <v>186602.83687943261</v>
      </c>
      <c r="J311" s="51">
        <f>'Kirchman 2007'!J87*10^5</f>
        <v>83925.311197997522</v>
      </c>
      <c r="K311" s="51">
        <f>'Kirchman 2007'!M87*10^5</f>
        <v>42985.273792636086</v>
      </c>
      <c r="L311" s="51">
        <f>J311+K311</f>
        <v>126910.58499063361</v>
      </c>
      <c r="M311" s="63">
        <f>L311/I311</f>
        <v>0.68011069452621875</v>
      </c>
      <c r="N311" s="63">
        <f>K311/L311</f>
        <v>0.33870518992413856</v>
      </c>
      <c r="O311" s="63" t="s">
        <v>75</v>
      </c>
      <c r="P311" s="51" t="s">
        <v>76</v>
      </c>
      <c r="Q311" s="51" t="s">
        <v>534</v>
      </c>
      <c r="R311" s="51" t="s">
        <v>77</v>
      </c>
      <c r="S311" s="51" t="s">
        <v>78</v>
      </c>
      <c r="T311" s="51" t="s">
        <v>412</v>
      </c>
      <c r="U311" s="20" t="s">
        <v>104</v>
      </c>
      <c r="V311" s="20" t="s">
        <v>444</v>
      </c>
    </row>
    <row r="312" spans="1:22">
      <c r="A312" s="20" t="s">
        <v>72</v>
      </c>
      <c r="B312" s="20">
        <f>'Kirchman 2007'!C137</f>
        <v>26</v>
      </c>
      <c r="C312" s="20">
        <f>'Kirchman 2007'!G137</f>
        <v>150</v>
      </c>
      <c r="I312" s="51">
        <f>'Kirchman 2007'!H137</f>
        <v>348084.80376629584</v>
      </c>
      <c r="J312" s="51">
        <f>'Kirchman 2007'!J137*10^5</f>
        <v>316748.3640018123</v>
      </c>
      <c r="K312" s="51">
        <f>'Kirchman 2007'!M137*10^5</f>
        <v>124553.95061554456</v>
      </c>
      <c r="L312" s="51">
        <f>J312+K312</f>
        <v>441302.31461735687</v>
      </c>
      <c r="M312" s="63">
        <f>L312/I312</f>
        <v>1.2678011503014284</v>
      </c>
      <c r="N312" s="63">
        <f>K312/L312</f>
        <v>0.28224177959171237</v>
      </c>
      <c r="O312" s="63" t="s">
        <v>75</v>
      </c>
      <c r="P312" s="51" t="s">
        <v>76</v>
      </c>
      <c r="Q312" s="51" t="s">
        <v>534</v>
      </c>
      <c r="R312" s="51" t="s">
        <v>77</v>
      </c>
      <c r="S312" s="51" t="s">
        <v>78</v>
      </c>
      <c r="T312" s="51" t="s">
        <v>412</v>
      </c>
      <c r="U312" s="20" t="s">
        <v>104</v>
      </c>
      <c r="V312" s="20" t="s">
        <v>444</v>
      </c>
    </row>
    <row r="313" spans="1:22">
      <c r="A313" s="20" t="s">
        <v>72</v>
      </c>
      <c r="B313" s="20">
        <f>'Kirchman 2007'!C80</f>
        <v>37</v>
      </c>
      <c r="C313" s="20">
        <f>'Kirchman 2007'!G80</f>
        <v>150</v>
      </c>
      <c r="I313" s="51">
        <f>'Kirchman 2007'!H80</f>
        <v>223705.34614437053</v>
      </c>
      <c r="J313" s="51">
        <f>'Kirchman 2007'!J80*10^5</f>
        <v>132223.7145815109</v>
      </c>
      <c r="K313" s="51">
        <f>'Kirchman 2007'!M80*10^5</f>
        <v>38226.807863197209</v>
      </c>
      <c r="L313" s="51">
        <f>J313+K313</f>
        <v>170450.5224447081</v>
      </c>
      <c r="M313" s="63">
        <f>L313/I313</f>
        <v>0.7619421054636133</v>
      </c>
      <c r="N313" s="63">
        <f>K313/L313</f>
        <v>0.22426923258975331</v>
      </c>
      <c r="O313" s="63" t="s">
        <v>75</v>
      </c>
      <c r="P313" s="51" t="s">
        <v>76</v>
      </c>
      <c r="Q313" s="51" t="s">
        <v>534</v>
      </c>
      <c r="R313" s="51" t="s">
        <v>77</v>
      </c>
      <c r="S313" s="51" t="s">
        <v>78</v>
      </c>
      <c r="T313" s="51" t="s">
        <v>412</v>
      </c>
      <c r="U313" s="20" t="s">
        <v>104</v>
      </c>
      <c r="V313" s="20" t="s">
        <v>444</v>
      </c>
    </row>
    <row r="314" spans="1:22">
      <c r="A314" s="20" t="s">
        <v>72</v>
      </c>
      <c r="B314" s="20">
        <f>'Kirchman 2007'!C69</f>
        <v>50</v>
      </c>
      <c r="C314" s="20">
        <f>'Kirchman 2007'!G69</f>
        <v>150</v>
      </c>
      <c r="I314" s="51">
        <f>'Kirchman 2007'!H69</f>
        <v>297728.50455777283</v>
      </c>
      <c r="J314" s="51">
        <f>'Kirchman 2007'!J69*10^5</f>
        <v>170203.75580226412</v>
      </c>
      <c r="K314" s="51">
        <f>'Kirchman 2007'!M69*10^5</f>
        <v>28855.208415021716</v>
      </c>
      <c r="L314" s="51">
        <f>J314+K314</f>
        <v>199058.96421728583</v>
      </c>
      <c r="M314" s="63">
        <f>L314/I314</f>
        <v>0.66859222805339202</v>
      </c>
      <c r="N314" s="63">
        <f>K314/L314</f>
        <v>0.14495809585105837</v>
      </c>
      <c r="O314" s="63" t="s">
        <v>75</v>
      </c>
      <c r="P314" s="51" t="s">
        <v>76</v>
      </c>
      <c r="Q314" s="51" t="s">
        <v>534</v>
      </c>
      <c r="R314" s="51" t="s">
        <v>77</v>
      </c>
      <c r="S314" s="51" t="s">
        <v>78</v>
      </c>
      <c r="T314" s="51" t="s">
        <v>412</v>
      </c>
      <c r="U314" s="20" t="s">
        <v>104</v>
      </c>
      <c r="V314" s="20" t="s">
        <v>444</v>
      </c>
    </row>
    <row r="315" spans="1:22">
      <c r="A315" s="20" t="s">
        <v>72</v>
      </c>
      <c r="B315" s="20">
        <f>'Kirchman 2007'!C113</f>
        <v>54</v>
      </c>
      <c r="C315" s="20">
        <f>'Kirchman 2007'!G113</f>
        <v>150</v>
      </c>
      <c r="I315" s="51">
        <f>'Kirchman 2007'!H113</f>
        <v>269509.73146095098</v>
      </c>
      <c r="J315" s="51">
        <f>'Kirchman 2007'!J113*10^5</f>
        <v>165539.28609247025</v>
      </c>
      <c r="K315" s="51">
        <f>'Kirchman 2007'!M113*10^5</f>
        <v>67773.374532817761</v>
      </c>
      <c r="L315" s="51">
        <f>J315+K315</f>
        <v>233312.66062528803</v>
      </c>
      <c r="M315" s="63">
        <f>L315/I315</f>
        <v>0.86569289858497189</v>
      </c>
      <c r="N315" s="63">
        <f>K315/L315</f>
        <v>0.29048305544663622</v>
      </c>
      <c r="O315" s="63" t="s">
        <v>75</v>
      </c>
      <c r="P315" s="51" t="s">
        <v>76</v>
      </c>
      <c r="Q315" s="51" t="s">
        <v>534</v>
      </c>
      <c r="R315" s="51" t="s">
        <v>77</v>
      </c>
      <c r="S315" s="51" t="s">
        <v>78</v>
      </c>
      <c r="T315" s="51" t="s">
        <v>412</v>
      </c>
      <c r="U315" s="20" t="s">
        <v>104</v>
      </c>
      <c r="V315" s="20" t="s">
        <v>444</v>
      </c>
    </row>
    <row r="316" spans="1:22">
      <c r="A316" s="20" t="s">
        <v>72</v>
      </c>
      <c r="B316" s="20">
        <f>'Kirchman 2007'!C150</f>
        <v>33</v>
      </c>
      <c r="C316" s="20">
        <f>'Kirchman 2007'!G150</f>
        <v>175</v>
      </c>
      <c r="I316" s="51">
        <f>'Kirchman 2007'!H150</f>
        <v>453998.22695035464</v>
      </c>
      <c r="J316" s="51">
        <f>'Kirchman 2007'!J150*10^5</f>
        <v>372230.37676678592</v>
      </c>
      <c r="K316" s="51">
        <f>'Kirchman 2007'!M150*10^5</f>
        <v>180736.75714890499</v>
      </c>
      <c r="L316" s="51">
        <f>J316+K316</f>
        <v>552967.13391569094</v>
      </c>
      <c r="M316" s="63">
        <f>L316/I316</f>
        <v>1.2179940385012973</v>
      </c>
      <c r="N316" s="63">
        <f>K316/L316</f>
        <v>0.32684900433243708</v>
      </c>
      <c r="O316" s="63" t="s">
        <v>75</v>
      </c>
      <c r="P316" s="51" t="s">
        <v>76</v>
      </c>
      <c r="Q316" s="51" t="s">
        <v>534</v>
      </c>
      <c r="R316" s="51" t="s">
        <v>77</v>
      </c>
      <c r="S316" s="51" t="s">
        <v>78</v>
      </c>
      <c r="T316" s="51" t="s">
        <v>412</v>
      </c>
      <c r="U316" s="20" t="s">
        <v>104</v>
      </c>
      <c r="V316" s="20" t="s">
        <v>444</v>
      </c>
    </row>
    <row r="317" spans="1:22">
      <c r="A317" s="20" t="s">
        <v>72</v>
      </c>
      <c r="B317" s="20">
        <f>'Kirchman 2007'!C109</f>
        <v>14</v>
      </c>
      <c r="C317" s="20">
        <f>'Kirchman 2007'!G109</f>
        <v>200</v>
      </c>
      <c r="I317" s="51">
        <f>'Kirchman 2007'!H109</f>
        <v>191312.05673758901</v>
      </c>
      <c r="J317" s="51">
        <f>'Kirchman 2007'!J109*10^5</f>
        <v>127777.20487317092</v>
      </c>
      <c r="K317" s="51">
        <f>'Kirchman 2007'!M109*10^5</f>
        <v>64305.01164992035</v>
      </c>
      <c r="L317" s="51">
        <f>J317+K317</f>
        <v>192082.21652309128</v>
      </c>
      <c r="M317" s="63">
        <f>L317/I317</f>
        <v>1.0040256730215318</v>
      </c>
      <c r="N317" s="63">
        <f>K317/L317</f>
        <v>0.33477857978690018</v>
      </c>
      <c r="O317" s="63" t="s">
        <v>75</v>
      </c>
      <c r="P317" s="51" t="s">
        <v>76</v>
      </c>
      <c r="Q317" s="51" t="s">
        <v>534</v>
      </c>
      <c r="R317" s="51" t="s">
        <v>77</v>
      </c>
      <c r="S317" s="51" t="s">
        <v>78</v>
      </c>
      <c r="T317" s="51" t="s">
        <v>412</v>
      </c>
      <c r="U317" s="20" t="s">
        <v>104</v>
      </c>
      <c r="V317" s="20" t="s">
        <v>444</v>
      </c>
    </row>
    <row r="318" spans="1:22">
      <c r="A318" s="20" t="s">
        <v>72</v>
      </c>
      <c r="B318" s="20">
        <f>'Kirchman 2007'!C90</f>
        <v>16</v>
      </c>
      <c r="C318" s="20">
        <f>'Kirchman 2007'!G90</f>
        <v>200</v>
      </c>
      <c r="I318" s="51">
        <f>'Kirchman 2007'!H90</f>
        <v>178067.37588652482</v>
      </c>
      <c r="J318" s="51">
        <f>'Kirchman 2007'!J90*10^5</f>
        <v>100760.64701129441</v>
      </c>
      <c r="K318" s="51">
        <f>'Kirchman 2007'!M90*10^5</f>
        <v>44396.191303003929</v>
      </c>
      <c r="L318" s="51">
        <f>J318+K318</f>
        <v>145156.83831429834</v>
      </c>
      <c r="M318" s="63">
        <f>L318/I318</f>
        <v>0.81517929711504789</v>
      </c>
      <c r="N318" s="63">
        <f>K318/L318</f>
        <v>0.30584980920344823</v>
      </c>
      <c r="O318" s="63" t="s">
        <v>75</v>
      </c>
      <c r="P318" s="51" t="s">
        <v>76</v>
      </c>
      <c r="Q318" s="51" t="s">
        <v>534</v>
      </c>
      <c r="R318" s="51" t="s">
        <v>77</v>
      </c>
      <c r="S318" s="51" t="s">
        <v>78</v>
      </c>
      <c r="T318" s="51" t="s">
        <v>412</v>
      </c>
      <c r="U318" s="20" t="s">
        <v>104</v>
      </c>
      <c r="V318" s="20" t="s">
        <v>444</v>
      </c>
    </row>
    <row r="319" spans="1:22">
      <c r="A319" s="20" t="s">
        <v>72</v>
      </c>
      <c r="B319" s="20">
        <f>'Kirchman 2007'!C147</f>
        <v>17</v>
      </c>
      <c r="C319" s="20">
        <f>'Kirchman 2007'!G147</f>
        <v>200</v>
      </c>
      <c r="I319" s="51">
        <f>'Kirchman 2007'!H147</f>
        <v>334943.26241134753</v>
      </c>
      <c r="J319" s="51">
        <f>'Kirchman 2007'!J147*10^5</f>
        <v>201100.98596054447</v>
      </c>
      <c r="K319" s="51">
        <f>'Kirchman 2007'!M147*10^5</f>
        <v>173513.74780749972</v>
      </c>
      <c r="L319" s="51">
        <f>J319+K319</f>
        <v>374614.73376804416</v>
      </c>
      <c r="M319" s="63">
        <f>L319/I319</f>
        <v>1.1184423626589499</v>
      </c>
      <c r="N319" s="63">
        <f>K319/L319</f>
        <v>0.46317918695354049</v>
      </c>
      <c r="O319" s="63" t="s">
        <v>75</v>
      </c>
      <c r="P319" s="51" t="s">
        <v>76</v>
      </c>
      <c r="Q319" s="51" t="s">
        <v>534</v>
      </c>
      <c r="R319" s="51" t="s">
        <v>77</v>
      </c>
      <c r="S319" s="51" t="s">
        <v>78</v>
      </c>
      <c r="T319" s="51" t="s">
        <v>412</v>
      </c>
      <c r="U319" s="20" t="s">
        <v>104</v>
      </c>
      <c r="V319" s="20" t="s">
        <v>444</v>
      </c>
    </row>
    <row r="320" spans="1:22">
      <c r="A320" s="20" t="s">
        <v>72</v>
      </c>
      <c r="B320" s="20">
        <f>'Kirchman 2007'!C128</f>
        <v>18</v>
      </c>
      <c r="C320" s="20">
        <f>'Kirchman 2007'!G128</f>
        <v>200</v>
      </c>
      <c r="I320" s="51">
        <f>'Kirchman 2007'!H128</f>
        <v>259595.74468085106</v>
      </c>
      <c r="J320" s="51">
        <f>'Kirchman 2007'!J128*10^5</f>
        <v>126893.02322690867</v>
      </c>
      <c r="K320" s="51">
        <f>'Kirchman 2007'!M128*10^5</f>
        <v>87809.489300493922</v>
      </c>
      <c r="L320" s="51">
        <f>J320+K320</f>
        <v>214702.51252740261</v>
      </c>
      <c r="M320" s="63">
        <f>L320/I320</f>
        <v>0.82706483802867981</v>
      </c>
      <c r="N320" s="63">
        <f>K320/L320</f>
        <v>0.40898212259759537</v>
      </c>
      <c r="O320" s="63" t="s">
        <v>75</v>
      </c>
      <c r="P320" s="51" t="s">
        <v>76</v>
      </c>
      <c r="Q320" s="51" t="s">
        <v>534</v>
      </c>
      <c r="R320" s="51" t="s">
        <v>77</v>
      </c>
      <c r="S320" s="51" t="s">
        <v>78</v>
      </c>
      <c r="T320" s="51" t="s">
        <v>412</v>
      </c>
      <c r="U320" s="20" t="s">
        <v>104</v>
      </c>
      <c r="V320" s="20" t="s">
        <v>444</v>
      </c>
    </row>
    <row r="321" spans="1:22">
      <c r="A321" s="20" t="s">
        <v>72</v>
      </c>
      <c r="B321" s="20">
        <f>'Kirchman 2007'!C71</f>
        <v>20</v>
      </c>
      <c r="C321" s="20">
        <f>'Kirchman 2007'!G71</f>
        <v>200</v>
      </c>
      <c r="I321" s="51">
        <f>'Kirchman 2007'!H71</f>
        <v>190568.33779671916</v>
      </c>
      <c r="J321" s="51">
        <f>'Kirchman 2007'!J71*10^5</f>
        <v>69924.46004660851</v>
      </c>
      <c r="K321" s="51">
        <f>'Kirchman 2007'!M71*10^5</f>
        <v>33047.465335951689</v>
      </c>
      <c r="L321" s="51">
        <f>J321+K321</f>
        <v>102971.92538256021</v>
      </c>
      <c r="M321" s="63">
        <f>L321/I321</f>
        <v>0.54034120553856757</v>
      </c>
      <c r="N321" s="63">
        <f>K321/L321</f>
        <v>0.32093665543471289</v>
      </c>
      <c r="O321" s="63" t="s">
        <v>75</v>
      </c>
      <c r="P321" s="51" t="s">
        <v>76</v>
      </c>
      <c r="Q321" s="51" t="s">
        <v>534</v>
      </c>
      <c r="R321" s="51" t="s">
        <v>77</v>
      </c>
      <c r="S321" s="51" t="s">
        <v>78</v>
      </c>
      <c r="T321" s="51" t="s">
        <v>412</v>
      </c>
      <c r="U321" s="20" t="s">
        <v>104</v>
      </c>
      <c r="V321" s="20" t="s">
        <v>444</v>
      </c>
    </row>
    <row r="322" spans="1:22">
      <c r="A322" s="20" t="s">
        <v>72</v>
      </c>
      <c r="B322" s="20">
        <f>'Kirchman 2007'!C159</f>
        <v>26</v>
      </c>
      <c r="C322" s="20">
        <f>'Kirchman 2007'!G159</f>
        <v>200</v>
      </c>
      <c r="I322" s="51">
        <f>'Kirchman 2007'!H159</f>
        <v>926095.38715708011</v>
      </c>
      <c r="J322" s="51">
        <f>'Kirchman 2007'!J159*10^5</f>
        <v>818052.19260952948</v>
      </c>
      <c r="K322" s="51">
        <f>'Kirchman 2007'!M159*10^5</f>
        <v>307718.59184398828</v>
      </c>
      <c r="L322" s="51">
        <f>J322+K322</f>
        <v>1125770.7844535178</v>
      </c>
      <c r="M322" s="63">
        <f>L322/I322</f>
        <v>1.2156099685469761</v>
      </c>
      <c r="N322" s="63">
        <f>K322/L322</f>
        <v>0.27334036030555187</v>
      </c>
      <c r="O322" s="63" t="s">
        <v>75</v>
      </c>
      <c r="P322" s="51" t="s">
        <v>76</v>
      </c>
      <c r="Q322" s="51" t="s">
        <v>534</v>
      </c>
      <c r="R322" s="51" t="s">
        <v>77</v>
      </c>
      <c r="S322" s="51" t="s">
        <v>78</v>
      </c>
      <c r="T322" s="51" t="s">
        <v>412</v>
      </c>
      <c r="U322" s="20" t="s">
        <v>104</v>
      </c>
      <c r="V322" s="20" t="s">
        <v>444</v>
      </c>
    </row>
    <row r="323" spans="1:22">
      <c r="A323" s="20" t="s">
        <v>72</v>
      </c>
      <c r="B323" s="20">
        <f>'Kirchman 2007'!C60</f>
        <v>28</v>
      </c>
      <c r="C323" s="20">
        <f>'Kirchman 2007'!G60</f>
        <v>200</v>
      </c>
      <c r="I323" s="51">
        <f>'Kirchman 2007'!H60</f>
        <v>186602.83687943261</v>
      </c>
      <c r="J323" s="51">
        <f>'Kirchman 2007'!J60*10^5</f>
        <v>86261.338045153985</v>
      </c>
      <c r="K323" s="51">
        <f>'Kirchman 2007'!M60*10^5</f>
        <v>24263.884659328633</v>
      </c>
      <c r="L323" s="51">
        <f>J323+K323</f>
        <v>110525.22270448261</v>
      </c>
      <c r="M323" s="63">
        <f>L323/I323</f>
        <v>0.59230194220409904</v>
      </c>
      <c r="N323" s="63">
        <f>K323/L323</f>
        <v>0.21953255614968828</v>
      </c>
      <c r="O323" s="63" t="s">
        <v>75</v>
      </c>
      <c r="P323" s="51" t="s">
        <v>76</v>
      </c>
      <c r="Q323" s="51" t="s">
        <v>534</v>
      </c>
      <c r="R323" s="51" t="s">
        <v>77</v>
      </c>
      <c r="S323" s="51" t="s">
        <v>78</v>
      </c>
      <c r="T323" s="51" t="s">
        <v>412</v>
      </c>
      <c r="U323" s="20" t="s">
        <v>104</v>
      </c>
      <c r="V323" s="20" t="s">
        <v>444</v>
      </c>
    </row>
    <row r="324" spans="1:22">
      <c r="A324" s="20" t="s">
        <v>72</v>
      </c>
      <c r="B324" s="20">
        <f>'Kirchman 2007'!C32</f>
        <v>30</v>
      </c>
      <c r="C324" s="20">
        <f>'Kirchman 2007'!G32</f>
        <v>200</v>
      </c>
      <c r="I324" s="51">
        <f>'Kirchman 2007'!H32</f>
        <v>141865.24822695</v>
      </c>
      <c r="J324" s="51">
        <f>'Kirchman 2007'!J32*10^5</f>
        <v>85527.942761178128</v>
      </c>
      <c r="K324" s="51">
        <f>'Kirchman 2007'!M32*10^5</f>
        <v>9002.8523488376177</v>
      </c>
      <c r="L324" s="51">
        <f>J324+K324</f>
        <v>94530.795110015752</v>
      </c>
      <c r="M324" s="63">
        <f>L324/I324</f>
        <v>0.66634215420248233</v>
      </c>
      <c r="N324" s="63">
        <f>K324/L324</f>
        <v>9.5237243465053065E-2</v>
      </c>
      <c r="O324" s="63" t="s">
        <v>75</v>
      </c>
      <c r="P324" s="51" t="s">
        <v>76</v>
      </c>
      <c r="Q324" s="51" t="s">
        <v>534</v>
      </c>
      <c r="R324" s="51" t="s">
        <v>77</v>
      </c>
      <c r="S324" s="51" t="s">
        <v>78</v>
      </c>
      <c r="T324" s="51" t="s">
        <v>412</v>
      </c>
      <c r="U324" s="20" t="s">
        <v>104</v>
      </c>
      <c r="V324" s="20" t="s">
        <v>444</v>
      </c>
    </row>
    <row r="325" spans="1:22">
      <c r="A325" s="20" t="s">
        <v>72</v>
      </c>
      <c r="B325" s="20">
        <f>'Kirchman 2007'!C39</f>
        <v>33</v>
      </c>
      <c r="C325" s="20">
        <f>'Kirchman 2007'!G39</f>
        <v>200</v>
      </c>
      <c r="I325" s="51">
        <f>'Kirchman 2007'!H39</f>
        <v>129503.54609929079</v>
      </c>
      <c r="J325" s="51">
        <f>'Kirchman 2007'!J39*10^5</f>
        <v>84386.451609909025</v>
      </c>
      <c r="K325" s="51">
        <f>'Kirchman 2007'!M39*10^5</f>
        <v>14968.353831899287</v>
      </c>
      <c r="L325" s="51">
        <f>J325+K325</f>
        <v>99354.805441808305</v>
      </c>
      <c r="M325" s="63">
        <f>L325/I325</f>
        <v>0.76719756666456573</v>
      </c>
      <c r="N325" s="63">
        <f>K325/L325</f>
        <v>0.1506555597923866</v>
      </c>
      <c r="O325" s="63" t="s">
        <v>75</v>
      </c>
      <c r="P325" s="51" t="s">
        <v>76</v>
      </c>
      <c r="Q325" s="51" t="s">
        <v>534</v>
      </c>
      <c r="R325" s="51" t="s">
        <v>77</v>
      </c>
      <c r="S325" s="51" t="s">
        <v>78</v>
      </c>
      <c r="T325" s="51" t="s">
        <v>412</v>
      </c>
      <c r="U325" s="20" t="s">
        <v>104</v>
      </c>
      <c r="V325" s="20" t="s">
        <v>444</v>
      </c>
    </row>
    <row r="326" spans="1:22">
      <c r="A326" s="20" t="s">
        <v>72</v>
      </c>
      <c r="B326" s="20">
        <f>'Kirchman 2007'!C103</f>
        <v>37</v>
      </c>
      <c r="C326" s="20">
        <f>'Kirchman 2007'!G103</f>
        <v>200</v>
      </c>
      <c r="I326" s="51">
        <f>'Kirchman 2007'!H103</f>
        <v>332490.76127124904</v>
      </c>
      <c r="J326" s="51">
        <f>'Kirchman 2007'!J103*10^5</f>
        <v>202160.59186305926</v>
      </c>
      <c r="K326" s="51">
        <f>'Kirchman 2007'!M103*10^5</f>
        <v>53284.052047362842</v>
      </c>
      <c r="L326" s="51">
        <f>J326+K326</f>
        <v>255444.64391042211</v>
      </c>
      <c r="M326" s="63">
        <f>L326/I326</f>
        <v>0.76827591519761962</v>
      </c>
      <c r="N326" s="63">
        <f>K326/L326</f>
        <v>0.20859334230569421</v>
      </c>
      <c r="O326" s="63" t="s">
        <v>75</v>
      </c>
      <c r="P326" s="51" t="s">
        <v>76</v>
      </c>
      <c r="Q326" s="51" t="s">
        <v>534</v>
      </c>
      <c r="R326" s="51" t="s">
        <v>77</v>
      </c>
      <c r="S326" s="51" t="s">
        <v>78</v>
      </c>
      <c r="T326" s="51" t="s">
        <v>412</v>
      </c>
      <c r="U326" s="20" t="s">
        <v>104</v>
      </c>
      <c r="V326" s="20" t="s">
        <v>444</v>
      </c>
    </row>
    <row r="327" spans="1:22">
      <c r="A327" s="20" t="s">
        <v>72</v>
      </c>
      <c r="B327" s="20">
        <f>'Kirchman 2007'!C63</f>
        <v>50</v>
      </c>
      <c r="C327" s="20">
        <f>'Kirchman 2007'!G63</f>
        <v>200</v>
      </c>
      <c r="I327" s="51">
        <f>'Kirchman 2007'!H63</f>
        <v>180968.21877309683</v>
      </c>
      <c r="J327" s="51">
        <f>'Kirchman 2007'!J63*10^5</f>
        <v>120457.80841130429</v>
      </c>
      <c r="K327" s="51">
        <f>'Kirchman 2007'!M63*10^5</f>
        <v>25825.708308840876</v>
      </c>
      <c r="L327" s="51">
        <f>J327+K327</f>
        <v>146283.51672014515</v>
      </c>
      <c r="M327" s="63">
        <f>L327/I327</f>
        <v>0.80833815855567237</v>
      </c>
      <c r="N327" s="63">
        <f>K327/L327</f>
        <v>0.17654558003447518</v>
      </c>
      <c r="O327" s="63" t="s">
        <v>75</v>
      </c>
      <c r="P327" s="51" t="s">
        <v>76</v>
      </c>
      <c r="Q327" s="51" t="s">
        <v>534</v>
      </c>
      <c r="R327" s="51" t="s">
        <v>77</v>
      </c>
      <c r="S327" s="51" t="s">
        <v>78</v>
      </c>
      <c r="T327" s="51" t="s">
        <v>412</v>
      </c>
      <c r="U327" s="20" t="s">
        <v>104</v>
      </c>
      <c r="V327" s="20" t="s">
        <v>444</v>
      </c>
    </row>
    <row r="328" spans="1:22">
      <c r="A328" s="20" t="s">
        <v>72</v>
      </c>
      <c r="B328" s="20">
        <f>'Kirchman 2007'!C96</f>
        <v>54</v>
      </c>
      <c r="C328" s="20">
        <f>'Kirchman 2007'!G96</f>
        <v>200</v>
      </c>
      <c r="I328" s="51">
        <f>'Kirchman 2007'!H96</f>
        <v>248038.92584380388</v>
      </c>
      <c r="J328" s="51">
        <f>'Kirchman 2007'!J96*10^5</f>
        <v>107837.89305195211</v>
      </c>
      <c r="K328" s="51">
        <f>'Kirchman 2007'!M96*10^5</f>
        <v>48336.289413983868</v>
      </c>
      <c r="L328" s="51">
        <f>J328+K328</f>
        <v>156174.18246593597</v>
      </c>
      <c r="M328" s="63">
        <f>L328/I328</f>
        <v>0.62963577968517181</v>
      </c>
      <c r="N328" s="63">
        <f>K328/L328</f>
        <v>0.3095024328014444</v>
      </c>
      <c r="O328" s="63" t="s">
        <v>75</v>
      </c>
      <c r="P328" s="51" t="s">
        <v>76</v>
      </c>
      <c r="Q328" s="51" t="s">
        <v>534</v>
      </c>
      <c r="R328" s="51" t="s">
        <v>77</v>
      </c>
      <c r="S328" s="51" t="s">
        <v>78</v>
      </c>
      <c r="T328" s="51" t="s">
        <v>412</v>
      </c>
      <c r="U328" s="20" t="s">
        <v>104</v>
      </c>
      <c r="V328" s="20" t="s">
        <v>444</v>
      </c>
    </row>
    <row r="329" spans="1:22">
      <c r="A329" s="20" t="s">
        <v>72</v>
      </c>
      <c r="B329" s="20">
        <f>'Kirchman 2007'!C94</f>
        <v>21</v>
      </c>
      <c r="C329" s="20">
        <f>'Kirchman 2007'!G94</f>
        <v>250</v>
      </c>
      <c r="I329" s="51">
        <f>'Kirchman 2007'!H94</f>
        <v>241303.81320958168</v>
      </c>
      <c r="J329" s="51">
        <f>'Kirchman 2007'!J94*10^5</f>
        <v>124055.35752574856</v>
      </c>
      <c r="K329" s="51">
        <f>'Kirchman 2007'!M94*10^5</f>
        <v>47158.513583803055</v>
      </c>
      <c r="L329" s="51">
        <f>J329+K329</f>
        <v>171213.87110955163</v>
      </c>
      <c r="M329" s="63">
        <f>L329/I329</f>
        <v>0.70953653335285582</v>
      </c>
      <c r="N329" s="63">
        <f>K329/L329</f>
        <v>0.27543629075256737</v>
      </c>
      <c r="O329" s="63" t="s">
        <v>75</v>
      </c>
      <c r="P329" s="51" t="s">
        <v>76</v>
      </c>
      <c r="Q329" s="51" t="s">
        <v>534</v>
      </c>
      <c r="R329" s="51" t="s">
        <v>77</v>
      </c>
      <c r="S329" s="51" t="s">
        <v>78</v>
      </c>
      <c r="T329" s="51" t="s">
        <v>412</v>
      </c>
      <c r="U329" s="20" t="s">
        <v>104</v>
      </c>
      <c r="V329" s="20" t="s">
        <v>444</v>
      </c>
    </row>
    <row r="330" spans="1:22">
      <c r="A330" s="20" t="s">
        <v>72</v>
      </c>
      <c r="B330" s="20">
        <f>'Kirchman 2007'!C118</f>
        <v>21</v>
      </c>
      <c r="C330" s="20">
        <f>'Kirchman 2007'!G118</f>
        <v>280</v>
      </c>
      <c r="I330" s="51">
        <f>'Kirchman 2007'!H118</f>
        <v>243287.13222226317</v>
      </c>
      <c r="J330" s="51">
        <f>'Kirchman 2007'!J118*10^5</f>
        <v>150409.46681849475</v>
      </c>
      <c r="K330" s="51">
        <f>'Kirchman 2007'!M118*10^5</f>
        <v>72853.188021801034</v>
      </c>
      <c r="L330" s="51">
        <f>J330+K330</f>
        <v>223262.65484029579</v>
      </c>
      <c r="M330" s="63">
        <f>L330/I330</f>
        <v>0.91769199957656067</v>
      </c>
      <c r="N330" s="63">
        <f>K330/L330</f>
        <v>0.32631157268068128</v>
      </c>
      <c r="O330" s="63" t="s">
        <v>75</v>
      </c>
      <c r="P330" s="51" t="s">
        <v>76</v>
      </c>
      <c r="Q330" s="51" t="s">
        <v>534</v>
      </c>
      <c r="R330" s="51" t="s">
        <v>77</v>
      </c>
      <c r="S330" s="51" t="s">
        <v>78</v>
      </c>
      <c r="T330" s="51" t="s">
        <v>412</v>
      </c>
      <c r="U330" s="20" t="s">
        <v>104</v>
      </c>
      <c r="V330" s="20" t="s">
        <v>444</v>
      </c>
    </row>
    <row r="331" spans="1:22">
      <c r="A331" s="20" t="s">
        <v>72</v>
      </c>
      <c r="B331" s="20">
        <f>'Kirchman 2007'!C48</f>
        <v>20</v>
      </c>
      <c r="C331" s="20">
        <f>'Kirchman 2007'!G48</f>
        <v>300</v>
      </c>
      <c r="I331" s="51">
        <f>'Kirchman 2007'!H48</f>
        <v>198991.31101117373</v>
      </c>
      <c r="J331" s="51">
        <f>'Kirchman 2007'!J48*10^5</f>
        <v>102188.74404540965</v>
      </c>
      <c r="K331" s="51">
        <f>'Kirchman 2007'!M48*10^5</f>
        <v>19159.418472787216</v>
      </c>
      <c r="L331" s="51">
        <f>J331+K331</f>
        <v>121348.16251819687</v>
      </c>
      <c r="M331" s="63">
        <f>L331/I331</f>
        <v>0.6098163879697388</v>
      </c>
      <c r="N331" s="63">
        <f>K331/L331</f>
        <v>0.1578879982621422</v>
      </c>
      <c r="O331" s="63" t="s">
        <v>75</v>
      </c>
      <c r="P331" s="51" t="s">
        <v>76</v>
      </c>
      <c r="Q331" s="51" t="s">
        <v>534</v>
      </c>
      <c r="R331" s="51" t="s">
        <v>77</v>
      </c>
      <c r="S331" s="51" t="s">
        <v>78</v>
      </c>
      <c r="T331" s="51" t="s">
        <v>412</v>
      </c>
      <c r="U331" s="20" t="s">
        <v>104</v>
      </c>
      <c r="V331" s="20" t="s">
        <v>444</v>
      </c>
    </row>
    <row r="332" spans="1:22">
      <c r="A332" s="20" t="s">
        <v>72</v>
      </c>
      <c r="B332" s="20">
        <f>'Kirchman 2007'!C78</f>
        <v>26</v>
      </c>
      <c r="C332" s="20">
        <f>'Kirchman 2007'!G78</f>
        <v>300</v>
      </c>
      <c r="I332" s="51">
        <f>'Kirchman 2007'!H78</f>
        <v>234940.66471056189</v>
      </c>
      <c r="J332" s="51">
        <f>'Kirchman 2007'!J78*10^5</f>
        <v>162145.43766568863</v>
      </c>
      <c r="K332" s="51">
        <f>'Kirchman 2007'!M78*10^5</f>
        <v>36479.347103818574</v>
      </c>
      <c r="L332" s="51">
        <f>J332+K332</f>
        <v>198624.78476950721</v>
      </c>
      <c r="M332" s="63">
        <f>L332/I332</f>
        <v>0.84542531202167792</v>
      </c>
      <c r="N332" s="63">
        <f>K332/L332</f>
        <v>0.18365959286576841</v>
      </c>
      <c r="O332" s="63" t="s">
        <v>75</v>
      </c>
      <c r="P332" s="51" t="s">
        <v>76</v>
      </c>
      <c r="Q332" s="51" t="s">
        <v>534</v>
      </c>
      <c r="R332" s="51" t="s">
        <v>77</v>
      </c>
      <c r="S332" s="51" t="s">
        <v>78</v>
      </c>
      <c r="T332" s="51" t="s">
        <v>412</v>
      </c>
      <c r="U332" s="20" t="s">
        <v>104</v>
      </c>
      <c r="V332" s="20" t="s">
        <v>444</v>
      </c>
    </row>
    <row r="333" spans="1:22">
      <c r="A333" s="20" t="s">
        <v>72</v>
      </c>
      <c r="B333" s="20">
        <f>'Kirchman 2007'!C54</f>
        <v>33</v>
      </c>
      <c r="C333" s="20">
        <f>'Kirchman 2007'!G54</f>
        <v>350</v>
      </c>
      <c r="I333" s="51">
        <f>'Kirchman 2007'!H54</f>
        <v>152497.78368794327</v>
      </c>
      <c r="J333" s="51">
        <f>'Kirchman 2007'!J54*10^5</f>
        <v>83329.918407196616</v>
      </c>
      <c r="K333" s="51">
        <f>'Kirchman 2007'!M54*10^5</f>
        <v>22453.603108704319</v>
      </c>
      <c r="L333" s="51">
        <f>J333+K333</f>
        <v>105783.52151590094</v>
      </c>
      <c r="M333" s="63">
        <f>L333/I333</f>
        <v>0.69367251744698211</v>
      </c>
      <c r="N333" s="63">
        <f>K333/L333</f>
        <v>0.21225993223650799</v>
      </c>
      <c r="O333" s="63" t="s">
        <v>75</v>
      </c>
      <c r="P333" s="51" t="s">
        <v>76</v>
      </c>
      <c r="Q333" s="51" t="s">
        <v>534</v>
      </c>
      <c r="R333" s="51" t="s">
        <v>77</v>
      </c>
      <c r="S333" s="51" t="s">
        <v>78</v>
      </c>
      <c r="T333" s="51" t="s">
        <v>412</v>
      </c>
      <c r="U333" s="20" t="s">
        <v>104</v>
      </c>
      <c r="V333" s="20" t="s">
        <v>444</v>
      </c>
    </row>
    <row r="334" spans="1:22">
      <c r="A334" s="20" t="s">
        <v>72</v>
      </c>
      <c r="B334" s="20">
        <f>'Kirchman 2007'!C120</f>
        <v>33</v>
      </c>
      <c r="C334" s="20">
        <f>'Kirchman 2007'!G120</f>
        <v>400</v>
      </c>
      <c r="I334" s="51">
        <f>'Kirchman 2007'!H120</f>
        <v>176595.74468085106</v>
      </c>
      <c r="J334" s="51">
        <f>'Kirchman 2007'!J120*10^5</f>
        <v>105491.80067293075</v>
      </c>
      <c r="K334" s="51">
        <f>'Kirchman 2007'!M120*10^5</f>
        <v>75765.588998896666</v>
      </c>
      <c r="L334" s="51">
        <f>J334+K334</f>
        <v>181257.38967182743</v>
      </c>
      <c r="M334" s="63">
        <f>L334/I334</f>
        <v>1.0263972668163723</v>
      </c>
      <c r="N334" s="63">
        <f>K334/L334</f>
        <v>0.41800000064037557</v>
      </c>
      <c r="O334" s="63" t="s">
        <v>75</v>
      </c>
      <c r="P334" s="51" t="s">
        <v>76</v>
      </c>
      <c r="Q334" s="51" t="s">
        <v>534</v>
      </c>
      <c r="R334" s="51" t="s">
        <v>77</v>
      </c>
      <c r="S334" s="51" t="s">
        <v>78</v>
      </c>
      <c r="T334" s="51" t="s">
        <v>412</v>
      </c>
      <c r="U334" s="20" t="s">
        <v>104</v>
      </c>
      <c r="V334" s="20" t="s">
        <v>444</v>
      </c>
    </row>
    <row r="335" spans="1:22">
      <c r="A335" s="20" t="s">
        <v>72</v>
      </c>
      <c r="B335" s="20">
        <f>'Kirchman 2007'!C28</f>
        <v>37</v>
      </c>
      <c r="C335" s="20">
        <f>'Kirchman 2007'!G28</f>
        <v>430</v>
      </c>
      <c r="I335" s="51">
        <f>'Kirchman 2007'!H28</f>
        <v>116228.62774082285</v>
      </c>
      <c r="J335" s="51">
        <f>'Kirchman 2007'!J28*10^5</f>
        <v>62788.7689082125</v>
      </c>
      <c r="K335" s="51">
        <f>'Kirchman 2007'!M28*10^5</f>
        <v>7243.2057075543971</v>
      </c>
      <c r="L335" s="51">
        <f>J335+K335</f>
        <v>70031.9746157669</v>
      </c>
      <c r="M335" s="63">
        <f>L335/I335</f>
        <v>0.60253636283076972</v>
      </c>
      <c r="N335" s="63">
        <f>K335/L335</f>
        <v>0.10342712378587812</v>
      </c>
      <c r="O335" s="63" t="s">
        <v>75</v>
      </c>
      <c r="P335" s="51" t="s">
        <v>76</v>
      </c>
      <c r="Q335" s="51" t="s">
        <v>534</v>
      </c>
      <c r="R335" s="51" t="s">
        <v>77</v>
      </c>
      <c r="S335" s="51" t="s">
        <v>78</v>
      </c>
      <c r="T335" s="51" t="s">
        <v>412</v>
      </c>
      <c r="U335" s="20" t="s">
        <v>104</v>
      </c>
      <c r="V335" s="20" t="s">
        <v>444</v>
      </c>
    </row>
    <row r="336" spans="1:22">
      <c r="A336" s="20" t="s">
        <v>72</v>
      </c>
      <c r="B336" s="20">
        <f>'Kirchman 2007'!C38</f>
        <v>20</v>
      </c>
      <c r="C336" s="20">
        <f>'Kirchman 2007'!G38</f>
        <v>500</v>
      </c>
      <c r="I336" s="51">
        <f>'Kirchman 2007'!H38</f>
        <v>130490.75654857622</v>
      </c>
      <c r="J336" s="51">
        <f>'Kirchman 2007'!J38*10^5</f>
        <v>71194.293983352341</v>
      </c>
      <c r="K336" s="51">
        <f>'Kirchman 2007'!M38*10^5</f>
        <v>12993.54133922604</v>
      </c>
      <c r="L336" s="51">
        <f>J336+K336</f>
        <v>84187.835322578379</v>
      </c>
      <c r="M336" s="63">
        <f>L336/I336</f>
        <v>0.64516320963499652</v>
      </c>
      <c r="N336" s="63">
        <f>K336/L336</f>
        <v>0.15433989114269689</v>
      </c>
      <c r="O336" s="63" t="s">
        <v>75</v>
      </c>
      <c r="P336" s="51" t="s">
        <v>76</v>
      </c>
      <c r="Q336" s="51" t="s">
        <v>534</v>
      </c>
      <c r="R336" s="51" t="s">
        <v>77</v>
      </c>
      <c r="S336" s="51" t="s">
        <v>78</v>
      </c>
      <c r="T336" s="51" t="s">
        <v>412</v>
      </c>
      <c r="U336" s="20" t="s">
        <v>104</v>
      </c>
      <c r="V336" s="20" t="s">
        <v>444</v>
      </c>
    </row>
    <row r="337" spans="1:22">
      <c r="A337" s="20" t="s">
        <v>72</v>
      </c>
      <c r="B337" s="20">
        <f>'Kirchman 2007'!C33</f>
        <v>26</v>
      </c>
      <c r="C337" s="20">
        <f>'Kirchman 2007'!G33</f>
        <v>500</v>
      </c>
      <c r="I337" s="51">
        <f>'Kirchman 2007'!H33</f>
        <v>101110.23726496202</v>
      </c>
      <c r="J337" s="51">
        <f>'Kirchman 2007'!J33*10^5</f>
        <v>57208.347590825651</v>
      </c>
      <c r="K337" s="51">
        <f>'Kirchman 2007'!M33*10^5</f>
        <v>9696.2211449233018</v>
      </c>
      <c r="L337" s="51">
        <f>J337+K337</f>
        <v>66904.568735748951</v>
      </c>
      <c r="M337" s="63">
        <f>L337/I337</f>
        <v>0.66169925563940457</v>
      </c>
      <c r="N337" s="63">
        <f>K337/L337</f>
        <v>0.14492614373198021</v>
      </c>
      <c r="O337" s="63" t="s">
        <v>75</v>
      </c>
      <c r="P337" s="51" t="s">
        <v>76</v>
      </c>
      <c r="Q337" s="51" t="s">
        <v>534</v>
      </c>
      <c r="R337" s="51" t="s">
        <v>77</v>
      </c>
      <c r="S337" s="51" t="s">
        <v>78</v>
      </c>
      <c r="T337" s="51" t="s">
        <v>412</v>
      </c>
      <c r="U337" s="20" t="s">
        <v>104</v>
      </c>
      <c r="V337" s="20" t="s">
        <v>444</v>
      </c>
    </row>
    <row r="338" spans="1:22">
      <c r="A338" s="20" t="s">
        <v>72</v>
      </c>
      <c r="B338" s="20">
        <f>'Kirchman 2007'!C41</f>
        <v>33</v>
      </c>
      <c r="C338" s="20">
        <f>'Kirchman 2007'!G41</f>
        <v>500</v>
      </c>
      <c r="I338" s="51">
        <f>'Kirchman 2007'!H41</f>
        <v>96943.705673758872</v>
      </c>
      <c r="J338" s="51">
        <f>'Kirchman 2007'!J41*10^5</f>
        <v>50080.150423282386</v>
      </c>
      <c r="K338" s="51">
        <f>'Kirchman 2007'!M41*10^5</f>
        <v>15734.774740009052</v>
      </c>
      <c r="L338" s="51">
        <f>J338+K338</f>
        <v>65814.925163291438</v>
      </c>
      <c r="M338" s="63">
        <f>L338/I338</f>
        <v>0.6788983844374179</v>
      </c>
      <c r="N338" s="63">
        <f>K338/L338</f>
        <v>0.23907608647992798</v>
      </c>
      <c r="O338" s="63" t="s">
        <v>75</v>
      </c>
      <c r="P338" s="51" t="s">
        <v>76</v>
      </c>
      <c r="Q338" s="51" t="s">
        <v>534</v>
      </c>
      <c r="R338" s="51" t="s">
        <v>77</v>
      </c>
      <c r="S338" s="51" t="s">
        <v>78</v>
      </c>
      <c r="T338" s="51" t="s">
        <v>412</v>
      </c>
      <c r="U338" s="20" t="s">
        <v>104</v>
      </c>
      <c r="V338" s="20" t="s">
        <v>444</v>
      </c>
    </row>
    <row r="339" spans="1:22">
      <c r="A339" s="20" t="s">
        <v>72</v>
      </c>
      <c r="B339" s="20">
        <f>'Kirchman 2007'!C29</f>
        <v>51</v>
      </c>
      <c r="C339" s="20">
        <f>'Kirchman 2007'!G29</f>
        <v>500</v>
      </c>
      <c r="I339" s="51">
        <f>'Kirchman 2007'!H29</f>
        <v>89100</v>
      </c>
      <c r="J339" s="51">
        <f>'Kirchman 2007'!J29*10^5</f>
        <v>45458.702035090886</v>
      </c>
      <c r="K339" s="51">
        <f>'Kirchman 2007'!M29*10^5</f>
        <v>7690.7794655996859</v>
      </c>
      <c r="L339" s="51">
        <f>J339+K339</f>
        <v>53149.48150069057</v>
      </c>
      <c r="M339" s="63">
        <f>L339/I339</f>
        <v>0.59651494389102777</v>
      </c>
      <c r="N339" s="63">
        <f>K339/L339</f>
        <v>0.14470093119346347</v>
      </c>
      <c r="O339" s="63" t="s">
        <v>75</v>
      </c>
      <c r="P339" s="51" t="s">
        <v>76</v>
      </c>
      <c r="Q339" s="51" t="s">
        <v>534</v>
      </c>
      <c r="R339" s="51" t="s">
        <v>77</v>
      </c>
      <c r="S339" s="51" t="s">
        <v>78</v>
      </c>
      <c r="T339" s="51" t="s">
        <v>412</v>
      </c>
      <c r="U339" s="20" t="s">
        <v>104</v>
      </c>
      <c r="V339" s="20" t="s">
        <v>444</v>
      </c>
    </row>
    <row r="340" spans="1:22">
      <c r="A340" s="20" t="s">
        <v>72</v>
      </c>
      <c r="B340" s="20">
        <f>'Kirchman 2007'!C92</f>
        <v>54</v>
      </c>
      <c r="C340" s="20">
        <f>'Kirchman 2007'!G92</f>
        <v>500</v>
      </c>
      <c r="I340" s="51">
        <f>'Kirchman 2007'!H92</f>
        <v>188820.39911308204</v>
      </c>
      <c r="J340" s="51">
        <f>'Kirchman 2007'!J92*10^5</f>
        <v>73227.973596941243</v>
      </c>
      <c r="K340" s="51">
        <f>'Kirchman 2007'!M92*10^5</f>
        <v>45540.456904172708</v>
      </c>
      <c r="L340" s="51">
        <f>J340+K340</f>
        <v>118768.43050111395</v>
      </c>
      <c r="M340" s="63">
        <f>L340/I340</f>
        <v>0.62900211554994712</v>
      </c>
      <c r="N340" s="63">
        <f>K340/L340</f>
        <v>0.38343907309396985</v>
      </c>
      <c r="O340" s="63" t="s">
        <v>75</v>
      </c>
      <c r="P340" s="51" t="s">
        <v>76</v>
      </c>
      <c r="Q340" s="51" t="s">
        <v>534</v>
      </c>
      <c r="R340" s="51" t="s">
        <v>77</v>
      </c>
      <c r="S340" s="51" t="s">
        <v>78</v>
      </c>
      <c r="T340" s="51" t="s">
        <v>412</v>
      </c>
      <c r="U340" s="20" t="s">
        <v>104</v>
      </c>
      <c r="V340" s="20" t="s">
        <v>444</v>
      </c>
    </row>
    <row r="341" spans="1:22">
      <c r="A341" s="20" t="s">
        <v>72</v>
      </c>
      <c r="B341" s="20">
        <f>'Kirchman 2007'!C89</f>
        <v>15</v>
      </c>
      <c r="C341" s="20">
        <f>'Kirchman 2007'!G89</f>
        <v>600</v>
      </c>
      <c r="I341" s="51">
        <f>'Kirchman 2007'!H89</f>
        <v>134507.09219858158</v>
      </c>
      <c r="J341" s="51">
        <f>'Kirchman 2007'!J89*10^5</f>
        <v>96284.309897025159</v>
      </c>
      <c r="K341" s="51">
        <f>'Kirchman 2007'!M89*10^5</f>
        <v>44154.306778411796</v>
      </c>
      <c r="L341" s="51">
        <f>J341+K341</f>
        <v>140438.61667543696</v>
      </c>
      <c r="M341" s="63">
        <f>L341/I341</f>
        <v>1.0440982284272289</v>
      </c>
      <c r="N341" s="63">
        <f>K341/L341</f>
        <v>0.31440288877563749</v>
      </c>
      <c r="O341" s="63" t="s">
        <v>75</v>
      </c>
      <c r="P341" s="51" t="s">
        <v>76</v>
      </c>
      <c r="Q341" s="51" t="s">
        <v>534</v>
      </c>
      <c r="R341" s="51" t="s">
        <v>77</v>
      </c>
      <c r="S341" s="51" t="s">
        <v>78</v>
      </c>
      <c r="T341" s="51" t="s">
        <v>412</v>
      </c>
      <c r="U341" s="20" t="s">
        <v>104</v>
      </c>
      <c r="V341" s="20" t="s">
        <v>444</v>
      </c>
    </row>
    <row r="342" spans="1:22">
      <c r="A342" s="20" t="s">
        <v>72</v>
      </c>
      <c r="B342" s="20">
        <f>'Kirchman 2007'!C27</f>
        <v>20</v>
      </c>
      <c r="C342" s="20">
        <f>'Kirchman 2007'!G27</f>
        <v>800</v>
      </c>
      <c r="I342" s="51">
        <f>'Kirchman 2007'!H27</f>
        <v>55472.736883293401</v>
      </c>
      <c r="J342" s="51">
        <f>'Kirchman 2007'!J27*10^5</f>
        <v>33126.611399012043</v>
      </c>
      <c r="K342" s="51">
        <f>'Kirchman 2007'!M27*10^5</f>
        <v>6909.3897916476881</v>
      </c>
      <c r="L342" s="51">
        <f>J342+K342</f>
        <v>40036.001190659728</v>
      </c>
      <c r="M342" s="63">
        <f>L342/I342</f>
        <v>0.72172392133616325</v>
      </c>
      <c r="N342" s="63">
        <f>K342/L342</f>
        <v>0.17257941817774816</v>
      </c>
      <c r="O342" s="63" t="s">
        <v>75</v>
      </c>
      <c r="P342" s="51" t="s">
        <v>76</v>
      </c>
      <c r="Q342" s="51" t="s">
        <v>534</v>
      </c>
      <c r="R342" s="51" t="s">
        <v>77</v>
      </c>
      <c r="S342" s="51" t="s">
        <v>78</v>
      </c>
      <c r="T342" s="51" t="s">
        <v>412</v>
      </c>
      <c r="U342" s="20" t="s">
        <v>104</v>
      </c>
      <c r="V342" s="20" t="s">
        <v>444</v>
      </c>
    </row>
    <row r="343" spans="1:22">
      <c r="A343" s="20" t="s">
        <v>72</v>
      </c>
      <c r="B343" s="20">
        <f>'Kirchman 2007'!C31</f>
        <v>33</v>
      </c>
      <c r="C343" s="20">
        <f>'Kirchman 2007'!G31</f>
        <v>800</v>
      </c>
      <c r="I343" s="51">
        <f>'Kirchman 2007'!H31</f>
        <v>77812.5</v>
      </c>
      <c r="J343" s="51">
        <f>'Kirchman 2007'!J31*10^5</f>
        <v>45911.511374214948</v>
      </c>
      <c r="K343" s="51">
        <f>'Kirchman 2007'!M31*10^5</f>
        <v>8472.7528615772117</v>
      </c>
      <c r="L343" s="51">
        <f>J343+K343</f>
        <v>54384.264235792158</v>
      </c>
      <c r="M343" s="63">
        <f>L343/I343</f>
        <v>0.69891423917483897</v>
      </c>
      <c r="N343" s="63">
        <f>K343/L343</f>
        <v>0.15579419857262683</v>
      </c>
      <c r="O343" s="63" t="s">
        <v>75</v>
      </c>
      <c r="P343" s="51" t="s">
        <v>76</v>
      </c>
      <c r="Q343" s="51" t="s">
        <v>534</v>
      </c>
      <c r="R343" s="51" t="s">
        <v>77</v>
      </c>
      <c r="S343" s="51" t="s">
        <v>78</v>
      </c>
      <c r="T343" s="51" t="s">
        <v>412</v>
      </c>
      <c r="U343" s="20" t="s">
        <v>104</v>
      </c>
      <c r="V343" s="20" t="s">
        <v>444</v>
      </c>
    </row>
    <row r="344" spans="1:22">
      <c r="A344" s="20" t="s">
        <v>72</v>
      </c>
      <c r="B344" s="20">
        <f>'Kirchman 2007'!C22</f>
        <v>12</v>
      </c>
      <c r="C344" s="20">
        <f>'Kirchman 2007'!G22</f>
        <v>1000</v>
      </c>
      <c r="I344" s="51">
        <f>'Kirchman 2007'!H22</f>
        <v>71374.113475177292</v>
      </c>
      <c r="J344" s="51">
        <f>'Kirchman 2007'!J22*10^5</f>
        <v>42812.830758773976</v>
      </c>
      <c r="K344" s="51">
        <f>'Kirchman 2007'!M22*10^5</f>
        <v>3261.3920325935164</v>
      </c>
      <c r="L344" s="51">
        <f>J344+K344</f>
        <v>46074.222791367494</v>
      </c>
      <c r="M344" s="63">
        <f>L344/I344</f>
        <v>0.64553127945177669</v>
      </c>
      <c r="N344" s="63">
        <f>K344/L344</f>
        <v>7.0785611454840941E-2</v>
      </c>
      <c r="O344" s="63" t="s">
        <v>75</v>
      </c>
      <c r="P344" s="51" t="s">
        <v>76</v>
      </c>
      <c r="Q344" s="51" t="s">
        <v>534</v>
      </c>
      <c r="R344" s="51" t="s">
        <v>77</v>
      </c>
      <c r="S344" s="51" t="s">
        <v>78</v>
      </c>
      <c r="T344" s="51" t="s">
        <v>412</v>
      </c>
      <c r="U344" s="20" t="s">
        <v>104</v>
      </c>
      <c r="V344" s="20" t="s">
        <v>444</v>
      </c>
    </row>
    <row r="345" spans="1:22">
      <c r="A345" s="20" t="s">
        <v>72</v>
      </c>
      <c r="B345" s="20">
        <f>'Kirchman 2007'!C21</f>
        <v>33</v>
      </c>
      <c r="C345" s="20">
        <f>'Kirchman 2007'!G21</f>
        <v>1000</v>
      </c>
      <c r="I345" s="51">
        <f>'Kirchman 2007'!H21</f>
        <v>79468.08510638299</v>
      </c>
      <c r="J345" s="51">
        <f>'Kirchman 2007'!J21*10^5</f>
        <v>48799.396261890855</v>
      </c>
      <c r="K345" s="51">
        <f>'Kirchman 2007'!M21*10^5</f>
        <v>2519.719771665802</v>
      </c>
      <c r="L345" s="51">
        <f>J345+K345</f>
        <v>51319.11603355666</v>
      </c>
      <c r="M345" s="63">
        <f>L345/I345</f>
        <v>0.64578271849455493</v>
      </c>
      <c r="N345" s="63">
        <f>K345/L345</f>
        <v>4.9099048588798801E-2</v>
      </c>
      <c r="O345" s="63" t="s">
        <v>75</v>
      </c>
      <c r="P345" s="51" t="s">
        <v>76</v>
      </c>
      <c r="Q345" s="51" t="s">
        <v>534</v>
      </c>
      <c r="R345" s="51" t="s">
        <v>77</v>
      </c>
      <c r="S345" s="51" t="s">
        <v>78</v>
      </c>
      <c r="T345" s="51" t="s">
        <v>412</v>
      </c>
      <c r="U345" s="20" t="s">
        <v>104</v>
      </c>
      <c r="V345" s="20" t="s">
        <v>444</v>
      </c>
    </row>
    <row r="346" spans="1:22">
      <c r="A346" s="20" t="s">
        <v>72</v>
      </c>
      <c r="B346" s="20">
        <f>'Kirchman 2007'!C42</f>
        <v>51</v>
      </c>
      <c r="C346" s="20">
        <f>'Kirchman 2007'!G42</f>
        <v>1000</v>
      </c>
      <c r="I346" s="51">
        <f>'Kirchman 2007'!H42</f>
        <v>177000</v>
      </c>
      <c r="J346" s="51">
        <f>'Kirchman 2007'!J42*10^5</f>
        <v>95659.048009931983</v>
      </c>
      <c r="K346" s="51">
        <f>'Kirchman 2007'!M42*10^5</f>
        <v>16252.105440182766</v>
      </c>
      <c r="L346" s="51">
        <f>J346+K346</f>
        <v>111911.15345011475</v>
      </c>
      <c r="M346" s="63">
        <f>L346/I346</f>
        <v>0.63226640367296472</v>
      </c>
      <c r="N346" s="63">
        <f>K346/L346</f>
        <v>0.14522328596521225</v>
      </c>
      <c r="O346" s="63" t="s">
        <v>75</v>
      </c>
      <c r="P346" s="51" t="s">
        <v>76</v>
      </c>
      <c r="Q346" s="51" t="s">
        <v>534</v>
      </c>
      <c r="R346" s="51" t="s">
        <v>77</v>
      </c>
      <c r="S346" s="51" t="s">
        <v>78</v>
      </c>
      <c r="T346" s="51" t="s">
        <v>412</v>
      </c>
      <c r="U346" s="20" t="s">
        <v>104</v>
      </c>
      <c r="V346" s="20" t="s">
        <v>444</v>
      </c>
    </row>
    <row r="347" spans="1:22">
      <c r="A347" s="20" t="s">
        <v>72</v>
      </c>
      <c r="B347" s="20">
        <f>'Kirchman 2007'!C62</f>
        <v>26</v>
      </c>
      <c r="C347" s="20">
        <f>'Kirchman 2007'!G62</f>
        <v>1100</v>
      </c>
      <c r="I347" s="51">
        <f>'Kirchman 2007'!H62</f>
        <v>65964.08851789053</v>
      </c>
      <c r="J347" s="51">
        <f>'Kirchman 2007'!J62*10^5</f>
        <v>45992.780574485165</v>
      </c>
      <c r="K347" s="51">
        <f>'Kirchman 2007'!M62*10^5</f>
        <v>25720.196410432851</v>
      </c>
      <c r="L347" s="51">
        <f>J347+K347</f>
        <v>71712.976984918016</v>
      </c>
      <c r="M347" s="63">
        <f>L347/I347</f>
        <v>1.0871517911669211</v>
      </c>
      <c r="N347" s="63">
        <f>K347/L347</f>
        <v>0.3586547022841079</v>
      </c>
      <c r="O347" s="63" t="s">
        <v>75</v>
      </c>
      <c r="P347" s="51" t="s">
        <v>76</v>
      </c>
      <c r="Q347" s="51" t="s">
        <v>534</v>
      </c>
      <c r="R347" s="51" t="s">
        <v>77</v>
      </c>
      <c r="S347" s="51" t="s">
        <v>78</v>
      </c>
      <c r="T347" s="51" t="s">
        <v>412</v>
      </c>
      <c r="U347" s="20" t="s">
        <v>104</v>
      </c>
      <c r="V347" s="20" t="s">
        <v>444</v>
      </c>
    </row>
    <row r="348" spans="1:22">
      <c r="A348" s="20" t="s">
        <v>72</v>
      </c>
      <c r="B348" s="20">
        <f>'Kirchman 2007'!C25</f>
        <v>33</v>
      </c>
      <c r="C348" s="20">
        <f>'Kirchman 2007'!G25</f>
        <v>1200</v>
      </c>
      <c r="I348" s="51">
        <f>'Kirchman 2007'!H25</f>
        <v>80939.716312056742</v>
      </c>
      <c r="J348" s="51">
        <f>'Kirchman 2007'!J25*10^5</f>
        <v>39416.464773659623</v>
      </c>
      <c r="K348" s="51">
        <f>'Kirchman 2007'!M25*10^5</f>
        <v>5608.8305189762332</v>
      </c>
      <c r="L348" s="51">
        <f>J348+K348</f>
        <v>45025.295292635856</v>
      </c>
      <c r="M348" s="63">
        <f>L348/I348</f>
        <v>0.55628185202730829</v>
      </c>
      <c r="N348" s="63">
        <f>K348/L348</f>
        <v>0.12457065484018245</v>
      </c>
      <c r="O348" s="63" t="s">
        <v>75</v>
      </c>
      <c r="P348" s="51" t="s">
        <v>76</v>
      </c>
      <c r="Q348" s="51" t="s">
        <v>534</v>
      </c>
      <c r="R348" s="51" t="s">
        <v>77</v>
      </c>
      <c r="S348" s="51" t="s">
        <v>78</v>
      </c>
      <c r="T348" s="51" t="s">
        <v>412</v>
      </c>
      <c r="U348" s="20" t="s">
        <v>104</v>
      </c>
      <c r="V348" s="20" t="s">
        <v>444</v>
      </c>
    </row>
    <row r="349" spans="1:22">
      <c r="A349" s="20" t="s">
        <v>72</v>
      </c>
      <c r="B349" s="20">
        <f>'Kirchman 2007'!C30</f>
        <v>20</v>
      </c>
      <c r="C349" s="20">
        <f>'Kirchman 2007'!G30</f>
        <v>1500</v>
      </c>
      <c r="I349" s="51">
        <f>'Kirchman 2007'!H30</f>
        <v>28776.456359604916</v>
      </c>
      <c r="J349" s="51">
        <f>'Kirchman 2007'!J30*10^5</f>
        <v>14541.091443227713</v>
      </c>
      <c r="K349" s="51">
        <f>'Kirchman 2007'!M30*10^5</f>
        <v>7738.42248910748</v>
      </c>
      <c r="L349" s="51">
        <f>J349+K349</f>
        <v>22279.513932335194</v>
      </c>
      <c r="M349" s="63">
        <f>L349/I349</f>
        <v>0.77422715479346393</v>
      </c>
      <c r="N349" s="63">
        <f>K349/L349</f>
        <v>0.34733354204269162</v>
      </c>
      <c r="O349" s="63" t="s">
        <v>75</v>
      </c>
      <c r="P349" s="51" t="s">
        <v>76</v>
      </c>
      <c r="Q349" s="51" t="s">
        <v>534</v>
      </c>
      <c r="R349" s="51" t="s">
        <v>77</v>
      </c>
      <c r="S349" s="51" t="s">
        <v>78</v>
      </c>
      <c r="T349" s="51" t="s">
        <v>412</v>
      </c>
      <c r="U349" s="20" t="s">
        <v>104</v>
      </c>
      <c r="V349" s="20" t="s">
        <v>444</v>
      </c>
    </row>
    <row r="350" spans="1:22">
      <c r="A350" s="20" t="s">
        <v>72</v>
      </c>
      <c r="B350" s="20">
        <f>'Kirchman 2007'!C24</f>
        <v>33</v>
      </c>
      <c r="C350" s="20">
        <f>'Kirchman 2007'!G24</f>
        <v>1600</v>
      </c>
      <c r="I350" s="51">
        <f>'Kirchman 2007'!H24</f>
        <v>67695.035460992905</v>
      </c>
      <c r="J350" s="51">
        <f>'Kirchman 2007'!J24*10^5</f>
        <v>41054.551158293332</v>
      </c>
      <c r="K350" s="51">
        <f>'Kirchman 2007'!M24*10^5</f>
        <v>4170.7024258768624</v>
      </c>
      <c r="L350" s="51">
        <f>J350+K350</f>
        <v>45225.253584170197</v>
      </c>
      <c r="M350" s="63">
        <f>L350/I350</f>
        <v>0.66807341596312186</v>
      </c>
      <c r="N350" s="63">
        <f>K350/L350</f>
        <v>9.2220653182510784E-2</v>
      </c>
      <c r="O350" s="63" t="s">
        <v>75</v>
      </c>
      <c r="P350" s="51" t="s">
        <v>76</v>
      </c>
      <c r="Q350" s="51" t="s">
        <v>534</v>
      </c>
      <c r="R350" s="51" t="s">
        <v>77</v>
      </c>
      <c r="S350" s="51" t="s">
        <v>78</v>
      </c>
      <c r="T350" s="51" t="s">
        <v>412</v>
      </c>
      <c r="U350" s="20" t="s">
        <v>104</v>
      </c>
      <c r="V350" s="20" t="s">
        <v>444</v>
      </c>
    </row>
    <row r="351" spans="1:22">
      <c r="A351" s="20" t="s">
        <v>73</v>
      </c>
      <c r="B351" s="20">
        <f>'Kirchman 2007'!C18</f>
        <v>16</v>
      </c>
      <c r="C351" s="20">
        <f>'Kirchman 2007'!G18</f>
        <v>1700</v>
      </c>
      <c r="I351" s="51">
        <f>'Kirchman 2007'!H18</f>
        <v>42382.97872340426</v>
      </c>
      <c r="J351" s="51">
        <f>'Kirchman 2007'!J18*10^5</f>
        <v>20880.531481820162</v>
      </c>
      <c r="K351" s="51">
        <f>'Kirchman 2007'!M18*10^5</f>
        <v>1354.2751683481163</v>
      </c>
      <c r="L351" s="51">
        <f>J351+K351</f>
        <v>22234.806650168277</v>
      </c>
      <c r="M351" s="63">
        <f>L351/I351</f>
        <v>0.52461642196682179</v>
      </c>
      <c r="N351" s="63">
        <f>K351/L351</f>
        <v>6.0907890482504681E-2</v>
      </c>
      <c r="O351" s="63" t="s">
        <v>75</v>
      </c>
      <c r="P351" s="51" t="s">
        <v>76</v>
      </c>
      <c r="Q351" s="51" t="s">
        <v>534</v>
      </c>
      <c r="R351" s="51" t="s">
        <v>77</v>
      </c>
      <c r="S351" s="51" t="s">
        <v>78</v>
      </c>
      <c r="T351" s="51" t="s">
        <v>79</v>
      </c>
      <c r="U351" s="20" t="s">
        <v>104</v>
      </c>
      <c r="V351" s="20" t="s">
        <v>444</v>
      </c>
    </row>
    <row r="352" spans="1:22">
      <c r="A352" s="20" t="s">
        <v>72</v>
      </c>
      <c r="B352" s="20">
        <f>'Kirchman 2007'!C23</f>
        <v>30</v>
      </c>
      <c r="C352" s="20">
        <f>'Kirchman 2007'!G23</f>
        <v>2000</v>
      </c>
      <c r="I352" s="51">
        <f>'Kirchman 2007'!H23</f>
        <v>40126.477541371154</v>
      </c>
      <c r="J352" s="51">
        <f>'Kirchman 2007'!J23*10^5</f>
        <v>13677.793317292233</v>
      </c>
      <c r="K352" s="51">
        <f>'Kirchman 2007'!M23*10^5</f>
        <v>4010.6673011858193</v>
      </c>
      <c r="L352" s="51">
        <f>J352+K352</f>
        <v>17688.460618478053</v>
      </c>
      <c r="M352" s="63">
        <f>L352/I352</f>
        <v>0.44081767706225689</v>
      </c>
      <c r="N352" s="63">
        <f>K352/L352</f>
        <v>0.22673919385591532</v>
      </c>
      <c r="O352" s="63" t="s">
        <v>75</v>
      </c>
      <c r="P352" s="51" t="s">
        <v>76</v>
      </c>
      <c r="Q352" s="51" t="s">
        <v>534</v>
      </c>
      <c r="R352" s="51" t="s">
        <v>77</v>
      </c>
      <c r="S352" s="51" t="s">
        <v>78</v>
      </c>
      <c r="T352" s="51" t="s">
        <v>412</v>
      </c>
      <c r="U352" s="20" t="s">
        <v>104</v>
      </c>
      <c r="V352" s="20" t="s">
        <v>444</v>
      </c>
    </row>
    <row r="353" spans="1:22">
      <c r="A353" s="20" t="s">
        <v>73</v>
      </c>
      <c r="B353" s="20">
        <f>'Kirchman 2007'!C19</f>
        <v>37</v>
      </c>
      <c r="C353" s="20">
        <f>'Kirchman 2007'!G19</f>
        <v>2000</v>
      </c>
      <c r="I353" s="51">
        <f>'Kirchman 2007'!H19</f>
        <v>29834.19561468342</v>
      </c>
      <c r="J353" s="51">
        <f>'Kirchman 2007'!J19*10^5</f>
        <v>15849.763097811085</v>
      </c>
      <c r="K353" s="51">
        <f>'Kirchman 2007'!M19*10^5</f>
        <v>2436.6318097400699</v>
      </c>
      <c r="L353" s="51">
        <f>J353+K353</f>
        <v>18286.394907551155</v>
      </c>
      <c r="M353" s="63">
        <f>L353/I353</f>
        <v>0.61293406880228363</v>
      </c>
      <c r="N353" s="63">
        <f>K353/L353</f>
        <v>0.13324834239109049</v>
      </c>
      <c r="O353" s="63" t="s">
        <v>75</v>
      </c>
      <c r="P353" s="51" t="s">
        <v>76</v>
      </c>
      <c r="Q353" s="51" t="s">
        <v>534</v>
      </c>
      <c r="R353" s="51" t="s">
        <v>77</v>
      </c>
      <c r="S353" s="51" t="s">
        <v>78</v>
      </c>
      <c r="T353" s="51" t="s">
        <v>79</v>
      </c>
      <c r="U353" s="20" t="s">
        <v>104</v>
      </c>
      <c r="V353" s="20" t="s">
        <v>444</v>
      </c>
    </row>
    <row r="354" spans="1:22">
      <c r="A354" s="20" t="s">
        <v>72</v>
      </c>
      <c r="B354" s="20">
        <f>'Kirchman 2007'!C36</f>
        <v>12</v>
      </c>
      <c r="C354" s="20">
        <f>'Kirchman 2007'!G36</f>
        <v>2500</v>
      </c>
      <c r="I354" s="51">
        <f>'Kirchman 2007'!H36</f>
        <v>101910.46099290781</v>
      </c>
      <c r="J354" s="51">
        <f>'Kirchman 2007'!J36*10^5</f>
        <v>61300.129000812223</v>
      </c>
      <c r="K354" s="51">
        <f>'Kirchman 2007'!M36*10^5</f>
        <v>11325.211333636071</v>
      </c>
      <c r="L354" s="51">
        <f>J354+K354</f>
        <v>72625.340334448294</v>
      </c>
      <c r="M354" s="63">
        <f>L354/I354</f>
        <v>0.71263871860517303</v>
      </c>
      <c r="N354" s="63">
        <f>K354/L354</f>
        <v>0.15594021703006322</v>
      </c>
      <c r="O354" s="63" t="s">
        <v>75</v>
      </c>
      <c r="P354" s="51" t="s">
        <v>76</v>
      </c>
      <c r="Q354" s="51" t="s">
        <v>534</v>
      </c>
      <c r="R354" s="51" t="s">
        <v>77</v>
      </c>
      <c r="S354" s="51" t="s">
        <v>78</v>
      </c>
      <c r="T354" s="51" t="s">
        <v>412</v>
      </c>
      <c r="U354" s="20" t="s">
        <v>104</v>
      </c>
      <c r="V354" s="20" t="s">
        <v>444</v>
      </c>
    </row>
    <row r="355" spans="1:22">
      <c r="A355" s="20" t="s">
        <v>356</v>
      </c>
      <c r="B355" s="20" t="str">
        <f>'Lin 2006'!A43</f>
        <v>Black Sea</v>
      </c>
      <c r="C355" s="20">
        <f>'Lin 2006'!B43</f>
        <v>9.9757951745644409</v>
      </c>
      <c r="I355" s="51">
        <f>'Lin 2006'!G43</f>
        <v>462278.822068326</v>
      </c>
      <c r="J355" s="51">
        <f>'Lin 2006'!H43</f>
        <v>228909.03950217782</v>
      </c>
      <c r="K355" s="51">
        <f>'Lin 2006'!I43</f>
        <v>-2187.6096156300732</v>
      </c>
      <c r="L355" s="51">
        <f>J355+K355</f>
        <v>226721.42988654776</v>
      </c>
      <c r="M355" s="63">
        <f>L355/I355</f>
        <v>0.49044303797468308</v>
      </c>
      <c r="N355" s="63">
        <f>K355/L355</f>
        <v>-9.6488876976682843E-3</v>
      </c>
      <c r="O355" s="63" t="str">
        <f>'Lin 2006'!F43</f>
        <v>CARDFISH</v>
      </c>
      <c r="P355" s="51" t="s">
        <v>535</v>
      </c>
      <c r="Q355" s="51" t="s">
        <v>534</v>
      </c>
      <c r="R355" s="51" t="s">
        <v>246</v>
      </c>
      <c r="S355" s="51" t="s">
        <v>538</v>
      </c>
      <c r="T355" s="51" t="s">
        <v>412</v>
      </c>
      <c r="U355" s="51" t="s">
        <v>414</v>
      </c>
      <c r="V355" s="51" t="s">
        <v>536</v>
      </c>
    </row>
    <row r="356" spans="1:22">
      <c r="A356" s="20" t="s">
        <v>356</v>
      </c>
      <c r="B356" s="20" t="str">
        <f>'Lin 2006'!A25</f>
        <v>Cariaco Basin</v>
      </c>
      <c r="C356" s="20">
        <f>'Lin 2006'!B25</f>
        <v>29.742711628012799</v>
      </c>
      <c r="I356" s="51">
        <f>'Lin 2006'!G25</f>
        <v>511607.14285714197</v>
      </c>
      <c r="J356" s="51">
        <f>'Lin 2006'!H25</f>
        <v>203150.16306375194</v>
      </c>
      <c r="K356" s="51">
        <f>'Lin 2006'!I25</f>
        <v>33401.861469710035</v>
      </c>
      <c r="L356" s="51">
        <f>J356+K356</f>
        <v>236552.02453346198</v>
      </c>
      <c r="M356" s="63">
        <f>L356/I356</f>
        <v>0.46237044934987415</v>
      </c>
      <c r="N356" s="63">
        <f>K356/L356</f>
        <v>0.14120302515096464</v>
      </c>
      <c r="O356" s="63" t="str">
        <f>'Lin 2006'!F25</f>
        <v>CARDFISH</v>
      </c>
      <c r="P356" s="51" t="s">
        <v>535</v>
      </c>
      <c r="Q356" s="51" t="s">
        <v>534</v>
      </c>
      <c r="R356" s="51" t="s">
        <v>246</v>
      </c>
      <c r="S356" s="51" t="s">
        <v>538</v>
      </c>
      <c r="T356" s="51" t="s">
        <v>412</v>
      </c>
      <c r="U356" s="51" t="s">
        <v>414</v>
      </c>
      <c r="V356" s="51" t="s">
        <v>536</v>
      </c>
    </row>
    <row r="357" spans="1:22">
      <c r="A357" s="20" t="s">
        <v>356</v>
      </c>
      <c r="B357" s="20" t="str">
        <f>'Lin 2006'!A7</f>
        <v>Cariaco Basin</v>
      </c>
      <c r="C357" s="20">
        <f>'Lin 2006'!B7</f>
        <v>29.742711628012799</v>
      </c>
      <c r="I357" s="51">
        <f>'Lin 2006'!G7</f>
        <v>511607.14285714197</v>
      </c>
      <c r="J357" s="51">
        <f>'Lin 2006'!H7</f>
        <v>225154.57252964628</v>
      </c>
      <c r="K357" s="51">
        <f>'Lin 2006'!I7</f>
        <v>12966.884149544881</v>
      </c>
      <c r="L357" s="51">
        <f>J357+K357</f>
        <v>238121.45667919115</v>
      </c>
      <c r="M357" s="63">
        <f>L357/I357</f>
        <v>0.46543810031534827</v>
      </c>
      <c r="N357" s="63">
        <f>K357/L357</f>
        <v>5.4454916958678365E-2</v>
      </c>
      <c r="O357" s="63" t="str">
        <f>'Lin 2006'!F7</f>
        <v>FISH</v>
      </c>
      <c r="P357" s="51" t="s">
        <v>535</v>
      </c>
      <c r="Q357" s="51" t="s">
        <v>534</v>
      </c>
      <c r="R357" s="51" t="s">
        <v>246</v>
      </c>
      <c r="S357" s="51" t="s">
        <v>538</v>
      </c>
      <c r="T357" s="51" t="s">
        <v>412</v>
      </c>
      <c r="U357" s="51" t="s">
        <v>414</v>
      </c>
      <c r="V357" s="51" t="s">
        <v>536</v>
      </c>
    </row>
    <row r="358" spans="1:22">
      <c r="A358" s="20" t="s">
        <v>356</v>
      </c>
      <c r="B358" s="20" t="str">
        <f>'Lin 2006'!A44</f>
        <v>Black Sea</v>
      </c>
      <c r="C358" s="20">
        <f>'Lin 2006'!B44</f>
        <v>29.800878098572301</v>
      </c>
      <c r="I358" s="51">
        <f>'Lin 2006'!G44</f>
        <v>553822.38406971493</v>
      </c>
      <c r="J358" s="51">
        <f>'Lin 2006'!H44</f>
        <v>228293.99920544605</v>
      </c>
      <c r="K358" s="51">
        <f>'Lin 2006'!I44</f>
        <v>13144.518609249619</v>
      </c>
      <c r="L358" s="51">
        <f>J358+K358</f>
        <v>241438.51781469566</v>
      </c>
      <c r="M358" s="63">
        <f>L358/I358</f>
        <v>0.43594936708860704</v>
      </c>
      <c r="N358" s="63">
        <f>K358/L358</f>
        <v>5.4442508710801696E-2</v>
      </c>
      <c r="O358" s="63" t="str">
        <f>'Lin 2006'!F44</f>
        <v>CARDFISH</v>
      </c>
      <c r="P358" s="51" t="s">
        <v>535</v>
      </c>
      <c r="Q358" s="51" t="s">
        <v>534</v>
      </c>
      <c r="R358" s="51" t="s">
        <v>246</v>
      </c>
      <c r="S358" s="51" t="s">
        <v>538</v>
      </c>
      <c r="T358" s="51" t="s">
        <v>412</v>
      </c>
      <c r="U358" s="51" t="s">
        <v>414</v>
      </c>
      <c r="V358" s="51" t="s">
        <v>536</v>
      </c>
    </row>
    <row r="359" spans="1:22">
      <c r="A359" s="20" t="s">
        <v>356</v>
      </c>
      <c r="B359" s="20" t="str">
        <f>'Lin 2006'!A45</f>
        <v>Black Sea</v>
      </c>
      <c r="C359" s="20">
        <f>'Lin 2006'!B45</f>
        <v>61.208899991049499</v>
      </c>
      <c r="I359" s="51">
        <f>'Lin 2006'!G45</f>
        <v>327422.06411686598</v>
      </c>
      <c r="J359" s="51">
        <f>'Lin 2006'!H45</f>
        <v>170227.59193238468</v>
      </c>
      <c r="K359" s="51">
        <f>'Lin 2006'!I45</f>
        <v>48175.996211002835</v>
      </c>
      <c r="L359" s="51">
        <f>J359+K359</f>
        <v>218403.58814338752</v>
      </c>
      <c r="M359" s="63">
        <f>L359/I359</f>
        <v>0.66703992210321306</v>
      </c>
      <c r="N359" s="63">
        <f>K359/L359</f>
        <v>0.22058243923801318</v>
      </c>
      <c r="O359" s="63" t="str">
        <f>'Lin 2006'!F45</f>
        <v>CARDFISH</v>
      </c>
      <c r="P359" s="51" t="s">
        <v>535</v>
      </c>
      <c r="Q359" s="51" t="s">
        <v>534</v>
      </c>
      <c r="R359" s="51" t="s">
        <v>246</v>
      </c>
      <c r="S359" s="51" t="s">
        <v>538</v>
      </c>
      <c r="T359" s="51" t="s">
        <v>412</v>
      </c>
      <c r="U359" s="51" t="s">
        <v>414</v>
      </c>
      <c r="V359" s="51" t="s">
        <v>536</v>
      </c>
    </row>
    <row r="360" spans="1:22">
      <c r="A360" s="20" t="s">
        <v>356</v>
      </c>
      <c r="B360" s="20" t="str">
        <f>'Lin 2006'!A46</f>
        <v>Black Sea</v>
      </c>
      <c r="C360" s="20">
        <f>'Lin 2006'!B46</f>
        <v>69.230460331200504</v>
      </c>
      <c r="I360" s="51">
        <f>'Lin 2006'!G46</f>
        <v>469469.34136021999</v>
      </c>
      <c r="J360" s="51">
        <f>'Lin 2006'!H46</f>
        <v>284074.66421439906</v>
      </c>
      <c r="K360" s="51">
        <f>'Lin 2006'!I46</f>
        <v>64626.317560663527</v>
      </c>
      <c r="L360" s="51">
        <f>J360+K360</f>
        <v>348700.98177506257</v>
      </c>
      <c r="M360" s="63">
        <f>L360/I360</f>
        <v>0.74275559883154785</v>
      </c>
      <c r="N360" s="63">
        <f>K360/L360</f>
        <v>0.18533448696267851</v>
      </c>
      <c r="O360" s="63" t="str">
        <f>'Lin 2006'!F46</f>
        <v>CARDFISH</v>
      </c>
      <c r="P360" s="51" t="s">
        <v>535</v>
      </c>
      <c r="Q360" s="51" t="s">
        <v>534</v>
      </c>
      <c r="R360" s="51" t="s">
        <v>246</v>
      </c>
      <c r="S360" s="51" t="s">
        <v>538</v>
      </c>
      <c r="T360" s="51" t="s">
        <v>412</v>
      </c>
      <c r="U360" s="51" t="s">
        <v>414</v>
      </c>
      <c r="V360" s="51" t="s">
        <v>536</v>
      </c>
    </row>
    <row r="361" spans="1:22">
      <c r="A361" s="20" t="s">
        <v>356</v>
      </c>
      <c r="B361" s="20" t="str">
        <f>'Lin 2006'!A47</f>
        <v>Black Sea</v>
      </c>
      <c r="C361" s="20">
        <f>'Lin 2006'!B47</f>
        <v>75.955768027324595</v>
      </c>
      <c r="I361" s="51">
        <f>'Lin 2006'!G47</f>
        <v>495676.84762245498</v>
      </c>
      <c r="J361" s="51">
        <f>'Lin 2006'!H47</f>
        <v>309250.22721091693</v>
      </c>
      <c r="K361" s="51">
        <f>'Lin 2006'!I47</f>
        <v>72947.028967534265</v>
      </c>
      <c r="L361" s="51">
        <f>J361+K361</f>
        <v>382197.25617845118</v>
      </c>
      <c r="M361" s="63">
        <f>L361/I361</f>
        <v>0.77106134371957102</v>
      </c>
      <c r="N361" s="63">
        <f>K361/L361</f>
        <v>0.19086225185634162</v>
      </c>
      <c r="O361" s="63" t="str">
        <f>'Lin 2006'!F47</f>
        <v>CARDFISH</v>
      </c>
      <c r="P361" s="51" t="s">
        <v>535</v>
      </c>
      <c r="Q361" s="51" t="s">
        <v>534</v>
      </c>
      <c r="R361" s="51" t="s">
        <v>246</v>
      </c>
      <c r="S361" s="51" t="s">
        <v>538</v>
      </c>
      <c r="T361" s="51" t="s">
        <v>412</v>
      </c>
      <c r="U361" s="51" t="s">
        <v>414</v>
      </c>
      <c r="V361" s="51" t="s">
        <v>536</v>
      </c>
    </row>
    <row r="362" spans="1:22">
      <c r="A362" s="20" t="s">
        <v>356</v>
      </c>
      <c r="B362" s="20" t="str">
        <f>'Lin 2006'!A48</f>
        <v>Black Sea</v>
      </c>
      <c r="C362" s="20">
        <f>'Lin 2006'!B48</f>
        <v>83.721429407112694</v>
      </c>
      <c r="I362" s="51">
        <f>'Lin 2006'!G48</f>
        <v>383085.44004041399</v>
      </c>
      <c r="J362" s="51">
        <f>'Lin 2006'!H48</f>
        <v>188015.87207903629</v>
      </c>
      <c r="K362" s="51">
        <f>'Lin 2006'!I48</f>
        <v>60003.041757449762</v>
      </c>
      <c r="L362" s="51">
        <f>J362+K362</f>
        <v>248018.91383648606</v>
      </c>
      <c r="M362" s="63">
        <f>L362/I362</f>
        <v>0.64742453748782791</v>
      </c>
      <c r="N362" s="63">
        <f>K362/L362</f>
        <v>0.24192929817041525</v>
      </c>
      <c r="O362" s="63" t="str">
        <f>'Lin 2006'!F48</f>
        <v>CARDFISH</v>
      </c>
      <c r="P362" s="51" t="s">
        <v>535</v>
      </c>
      <c r="Q362" s="51" t="s">
        <v>534</v>
      </c>
      <c r="R362" s="51" t="s">
        <v>246</v>
      </c>
      <c r="S362" s="51" t="s">
        <v>538</v>
      </c>
      <c r="T362" s="51" t="s">
        <v>412</v>
      </c>
      <c r="U362" s="51" t="s">
        <v>414</v>
      </c>
      <c r="V362" s="51" t="s">
        <v>536</v>
      </c>
    </row>
    <row r="363" spans="1:22">
      <c r="A363" s="20" t="s">
        <v>356</v>
      </c>
      <c r="B363" s="20" t="str">
        <f>'Lin 2006'!A49</f>
        <v>Black Sea</v>
      </c>
      <c r="C363" s="20">
        <f>'Lin 2006'!B49</f>
        <v>90.474106263722007</v>
      </c>
      <c r="I363" s="51">
        <f>'Lin 2006'!G49</f>
        <v>355744.62710758299</v>
      </c>
      <c r="J363" s="51">
        <f>'Lin 2006'!H49</f>
        <v>177912.14863861818</v>
      </c>
      <c r="K363" s="51">
        <f>'Lin 2006'!I49</f>
        <v>43905.191320239908</v>
      </c>
      <c r="L363" s="51">
        <f>J363+K363</f>
        <v>221817.33995885809</v>
      </c>
      <c r="M363" s="63">
        <f>L363/I363</f>
        <v>0.62352969814995096</v>
      </c>
      <c r="N363" s="63">
        <f>K363/L363</f>
        <v>0.19793399077088963</v>
      </c>
      <c r="O363" s="63" t="str">
        <f>'Lin 2006'!F49</f>
        <v>CARDFISH</v>
      </c>
      <c r="P363" s="51" t="s">
        <v>535</v>
      </c>
      <c r="Q363" s="51" t="s">
        <v>534</v>
      </c>
      <c r="R363" s="51" t="s">
        <v>246</v>
      </c>
      <c r="S363" s="51" t="s">
        <v>538</v>
      </c>
      <c r="T363" s="51" t="s">
        <v>412</v>
      </c>
      <c r="U363" s="51" t="s">
        <v>414</v>
      </c>
      <c r="V363" s="51" t="s">
        <v>536</v>
      </c>
    </row>
    <row r="364" spans="1:22">
      <c r="A364" s="20" t="s">
        <v>356</v>
      </c>
      <c r="B364" s="20" t="str">
        <f>'Lin 2006'!A50</f>
        <v>Black Sea</v>
      </c>
      <c r="C364" s="20">
        <f>'Lin 2006'!B50</f>
        <v>98.578446308666003</v>
      </c>
      <c r="I364" s="51">
        <f>'Lin 2006'!G50</f>
        <v>391789.84149704198</v>
      </c>
      <c r="J364" s="51">
        <f>'Lin 2006'!H50</f>
        <v>171693.21914718478</v>
      </c>
      <c r="K364" s="51">
        <f>'Lin 2006'!I50</f>
        <v>44634.285740169187</v>
      </c>
      <c r="L364" s="51">
        <f>J364+K364</f>
        <v>216327.50488735398</v>
      </c>
      <c r="M364" s="63">
        <f>L364/I364</f>
        <v>0.55215189873417703</v>
      </c>
      <c r="N364" s="63">
        <f>K364/L364</f>
        <v>0.20632737276478619</v>
      </c>
      <c r="O364" s="63" t="str">
        <f>'Lin 2006'!F50</f>
        <v>CARDFISH</v>
      </c>
      <c r="P364" s="51" t="s">
        <v>535</v>
      </c>
      <c r="Q364" s="51" t="s">
        <v>534</v>
      </c>
      <c r="R364" s="51" t="s">
        <v>246</v>
      </c>
      <c r="S364" s="51" t="s">
        <v>538</v>
      </c>
      <c r="T364" s="51" t="s">
        <v>412</v>
      </c>
      <c r="U364" s="51" t="s">
        <v>414</v>
      </c>
      <c r="V364" s="51" t="s">
        <v>536</v>
      </c>
    </row>
    <row r="365" spans="1:22">
      <c r="A365" s="20" t="s">
        <v>356</v>
      </c>
      <c r="B365" s="20" t="str">
        <f>'Lin 2006'!A26</f>
        <v>Cariaco Basin</v>
      </c>
      <c r="C365" s="20">
        <f>'Lin 2006'!B26</f>
        <v>99.956317621569596</v>
      </c>
      <c r="I365" s="51">
        <f>'Lin 2006'!G26</f>
        <v>117857.142857142</v>
      </c>
      <c r="J365" s="51">
        <f>'Lin 2006'!H26</f>
        <v>70066.167804960598</v>
      </c>
      <c r="K365" s="51">
        <f>'Lin 2006'!I26</f>
        <v>2358.2929842247822</v>
      </c>
      <c r="L365" s="51">
        <f>J365+K365</f>
        <v>72424.460789185381</v>
      </c>
      <c r="M365" s="63">
        <f>L365/I365</f>
        <v>0.61451057639309259</v>
      </c>
      <c r="N365" s="63">
        <f>K365/L365</f>
        <v>3.2562106207312334E-2</v>
      </c>
      <c r="O365" s="63" t="str">
        <f>'Lin 2006'!F26</f>
        <v>CARDFISH</v>
      </c>
      <c r="P365" s="51" t="s">
        <v>535</v>
      </c>
      <c r="Q365" s="51" t="s">
        <v>534</v>
      </c>
      <c r="R365" s="51" t="s">
        <v>246</v>
      </c>
      <c r="S365" s="51" t="s">
        <v>538</v>
      </c>
      <c r="T365" s="51" t="s">
        <v>412</v>
      </c>
      <c r="U365" s="51" t="s">
        <v>414</v>
      </c>
      <c r="V365" s="51" t="s">
        <v>536</v>
      </c>
    </row>
    <row r="366" spans="1:22">
      <c r="A366" s="20" t="s">
        <v>356</v>
      </c>
      <c r="B366" s="20" t="str">
        <f>'Lin 2006'!A8</f>
        <v>Cariaco Basin</v>
      </c>
      <c r="C366" s="20">
        <f>'Lin 2006'!B8</f>
        <v>99.956317621569596</v>
      </c>
      <c r="I366" s="51">
        <f>'Lin 2006'!G8</f>
        <v>117857.142857142</v>
      </c>
      <c r="J366" s="51">
        <f>'Lin 2006'!H8</f>
        <v>79118.626379086912</v>
      </c>
      <c r="K366" s="51">
        <f>'Lin 2006'!I8</f>
        <v>3806.6011614863405</v>
      </c>
      <c r="L366" s="51">
        <f>J366+K366</f>
        <v>82925.227540573251</v>
      </c>
      <c r="M366" s="63">
        <f>L366/I366</f>
        <v>0.70360799125335394</v>
      </c>
      <c r="N366" s="63">
        <f>K366/L366</f>
        <v>4.5904018287123365E-2</v>
      </c>
      <c r="O366" s="63" t="str">
        <f>'Lin 2006'!F8</f>
        <v>FISH</v>
      </c>
      <c r="P366" s="51" t="s">
        <v>535</v>
      </c>
      <c r="Q366" s="51" t="s">
        <v>534</v>
      </c>
      <c r="R366" s="51" t="s">
        <v>246</v>
      </c>
      <c r="S366" s="51" t="s">
        <v>538</v>
      </c>
      <c r="T366" s="51" t="s">
        <v>412</v>
      </c>
      <c r="U366" s="51" t="s">
        <v>414</v>
      </c>
      <c r="V366" s="51" t="s">
        <v>536</v>
      </c>
    </row>
    <row r="367" spans="1:22">
      <c r="A367" s="20" t="s">
        <v>356</v>
      </c>
      <c r="B367" s="20" t="str">
        <f>'Lin 2006'!A51</f>
        <v>Black Sea</v>
      </c>
      <c r="C367" s="20">
        <f>'Lin 2006'!B51</f>
        <v>113.404933688589</v>
      </c>
      <c r="I367" s="51">
        <f>'Lin 2006'!G51</f>
        <v>290117.24587955402</v>
      </c>
      <c r="J367" s="51">
        <f>'Lin 2006'!H51</f>
        <v>120171.2525775679</v>
      </c>
      <c r="K367" s="51">
        <f>'Lin 2006'!I51</f>
        <v>30288.579457843887</v>
      </c>
      <c r="L367" s="51">
        <f>J367+K367</f>
        <v>150459.83203541179</v>
      </c>
      <c r="M367" s="63">
        <f>L367/I367</f>
        <v>0.518617332035053</v>
      </c>
      <c r="N367" s="63">
        <f>K367/L367</f>
        <v>0.20130674777514876</v>
      </c>
      <c r="O367" s="63" t="str">
        <f>'Lin 2006'!F51</f>
        <v>CARDFISH</v>
      </c>
      <c r="P367" s="51" t="s">
        <v>535</v>
      </c>
      <c r="Q367" s="51" t="s">
        <v>534</v>
      </c>
      <c r="R367" s="51" t="s">
        <v>246</v>
      </c>
      <c r="S367" s="51" t="s">
        <v>538</v>
      </c>
      <c r="T367" s="51" t="s">
        <v>412</v>
      </c>
      <c r="U367" s="51" t="s">
        <v>414</v>
      </c>
      <c r="V367" s="51" t="s">
        <v>536</v>
      </c>
    </row>
    <row r="368" spans="1:22">
      <c r="A368" s="20" t="s">
        <v>356</v>
      </c>
      <c r="B368" s="20" t="str">
        <f>'Lin 2006'!A52</f>
        <v>Black Sea</v>
      </c>
      <c r="C368" s="20">
        <f>'Lin 2006'!B52</f>
        <v>126.43003368463999</v>
      </c>
      <c r="I368" s="51">
        <f>'Lin 2006'!G52</f>
        <v>419053.19216115499</v>
      </c>
      <c r="J368" s="51">
        <f>'Lin 2006'!H52</f>
        <v>193354.08072390032</v>
      </c>
      <c r="K368" s="51">
        <f>'Lin 2006'!I52</f>
        <v>39777.410358159694</v>
      </c>
      <c r="L368" s="51">
        <f>J368+K368</f>
        <v>233131.49108206001</v>
      </c>
      <c r="M368" s="63">
        <f>L368/I368</f>
        <v>0.55632911392404993</v>
      </c>
      <c r="N368" s="63">
        <f>K368/L368</f>
        <v>0.17062221055395058</v>
      </c>
      <c r="O368" s="63" t="str">
        <f>'Lin 2006'!F52</f>
        <v>CARDFISH</v>
      </c>
      <c r="P368" s="51" t="s">
        <v>535</v>
      </c>
      <c r="Q368" s="51" t="s">
        <v>534</v>
      </c>
      <c r="R368" s="51" t="s">
        <v>246</v>
      </c>
      <c r="S368" s="51" t="s">
        <v>538</v>
      </c>
      <c r="T368" s="51" t="s">
        <v>412</v>
      </c>
      <c r="U368" s="51" t="s">
        <v>414</v>
      </c>
      <c r="V368" s="51" t="s">
        <v>536</v>
      </c>
    </row>
    <row r="369" spans="1:22">
      <c r="A369" s="20" t="s">
        <v>356</v>
      </c>
      <c r="B369" s="20" t="str">
        <f>'Lin 2006'!A9</f>
        <v>Cariaco Basin</v>
      </c>
      <c r="C369" s="20">
        <f>'Lin 2006'!B9</f>
        <v>151.10352878358299</v>
      </c>
      <c r="I369" s="51">
        <f>'Lin 2006'!G9</f>
        <v>99107.14285714271</v>
      </c>
      <c r="J369" s="51">
        <f>'Lin 2006'!H9</f>
        <v>65645.015890083407</v>
      </c>
      <c r="K369" s="51">
        <f>'Lin 2006'!I9</f>
        <v>2314.8969855311188</v>
      </c>
      <c r="L369" s="51">
        <f>J369+K369</f>
        <v>67959.912875614522</v>
      </c>
      <c r="M369" s="63">
        <f>L369/I369</f>
        <v>0.68572164342962505</v>
      </c>
      <c r="N369" s="63">
        <f>K369/L369</f>
        <v>3.4062683243400005E-2</v>
      </c>
      <c r="O369" s="63" t="str">
        <f>'Lin 2006'!F9</f>
        <v>FISH</v>
      </c>
      <c r="P369" s="51" t="s">
        <v>535</v>
      </c>
      <c r="Q369" s="51" t="s">
        <v>534</v>
      </c>
      <c r="R369" s="51" t="s">
        <v>246</v>
      </c>
      <c r="S369" s="51" t="s">
        <v>538</v>
      </c>
      <c r="T369" s="51" t="s">
        <v>412</v>
      </c>
      <c r="U369" s="51" t="s">
        <v>414</v>
      </c>
      <c r="V369" s="51" t="s">
        <v>536</v>
      </c>
    </row>
    <row r="370" spans="1:22">
      <c r="A370" s="20" t="s">
        <v>356</v>
      </c>
      <c r="B370" s="20" t="str">
        <f>'Lin 2006'!A27</f>
        <v>Cariaco Basin</v>
      </c>
      <c r="C370" s="20">
        <f>'Lin 2006'!B27</f>
        <v>151.10352878358299</v>
      </c>
      <c r="I370" s="51">
        <f>'Lin 2006'!G27</f>
        <v>99107.14285714271</v>
      </c>
      <c r="J370" s="51">
        <f>'Lin 2006'!H27</f>
        <v>68537.517732739245</v>
      </c>
      <c r="K370" s="51">
        <f>'Lin 2006'!I27</f>
        <v>2009.9753516535936</v>
      </c>
      <c r="L370" s="51">
        <f>J370+K370</f>
        <v>70547.493084392845</v>
      </c>
      <c r="M370" s="63">
        <f>L370/I370</f>
        <v>0.71183056085153251</v>
      </c>
      <c r="N370" s="63">
        <f>K370/L370</f>
        <v>2.8491095342667229E-2</v>
      </c>
      <c r="O370" s="63" t="str">
        <f>'Lin 2006'!F27</f>
        <v>CARDFISH</v>
      </c>
      <c r="P370" s="51" t="s">
        <v>535</v>
      </c>
      <c r="Q370" s="51" t="s">
        <v>534</v>
      </c>
      <c r="R370" s="51" t="s">
        <v>246</v>
      </c>
      <c r="S370" s="51" t="s">
        <v>538</v>
      </c>
      <c r="T370" s="51" t="s">
        <v>412</v>
      </c>
      <c r="U370" s="51" t="s">
        <v>414</v>
      </c>
      <c r="V370" s="51" t="s">
        <v>536</v>
      </c>
    </row>
    <row r="371" spans="1:22">
      <c r="A371" s="20" t="s">
        <v>356</v>
      </c>
      <c r="B371" s="20" t="str">
        <f>'Lin 2006'!A53</f>
        <v>Black Sea</v>
      </c>
      <c r="C371" s="20">
        <f>'Lin 2006'!B53</f>
        <v>157.432780177675</v>
      </c>
      <c r="I371" s="51">
        <f>'Lin 2006'!G53</f>
        <v>381842.67581619503</v>
      </c>
      <c r="J371" s="51">
        <f>'Lin 2006'!H53</f>
        <v>174210.60853656984</v>
      </c>
      <c r="K371" s="51">
        <f>'Lin 2006'!I53</f>
        <v>30824.408021948777</v>
      </c>
      <c r="L371" s="51">
        <f>J371+K371</f>
        <v>205035.0165585186</v>
      </c>
      <c r="M371" s="63">
        <f>L371/I371</f>
        <v>0.53696202531645487</v>
      </c>
      <c r="N371" s="63">
        <f>K371/L371</f>
        <v>0.15033728647589933</v>
      </c>
      <c r="O371" s="63" t="str">
        <f>'Lin 2006'!F53</f>
        <v>CARDFISH</v>
      </c>
      <c r="P371" s="51" t="s">
        <v>535</v>
      </c>
      <c r="Q371" s="51" t="s">
        <v>534</v>
      </c>
      <c r="R371" s="51" t="s">
        <v>246</v>
      </c>
      <c r="S371" s="51" t="s">
        <v>538</v>
      </c>
      <c r="T371" s="51" t="s">
        <v>412</v>
      </c>
      <c r="U371" s="51" t="s">
        <v>414</v>
      </c>
      <c r="V371" s="51" t="s">
        <v>536</v>
      </c>
    </row>
    <row r="372" spans="1:22">
      <c r="A372" s="20" t="s">
        <v>356</v>
      </c>
      <c r="B372" s="20" t="str">
        <f>'Lin 2006'!A10</f>
        <v>Cariaco Basin</v>
      </c>
      <c r="C372" s="20">
        <f>'Lin 2006'!B10</f>
        <v>174.17811073180101</v>
      </c>
      <c r="I372" s="51">
        <f>'Lin 2006'!G10</f>
        <v>93749.999999999505</v>
      </c>
      <c r="J372" s="51">
        <f>'Lin 2006'!H10</f>
        <v>65130.544587109151</v>
      </c>
      <c r="K372" s="51">
        <f>'Lin 2006'!I10</f>
        <v>2918.7016020456781</v>
      </c>
      <c r="L372" s="51">
        <f>J372+K372</f>
        <v>68049.24618915483</v>
      </c>
      <c r="M372" s="63">
        <f>L372/I372</f>
        <v>0.72585862601765538</v>
      </c>
      <c r="N372" s="63">
        <f>K372/L372</f>
        <v>4.2891020334488855E-2</v>
      </c>
      <c r="O372" s="63" t="str">
        <f>'Lin 2006'!F10</f>
        <v>FISH</v>
      </c>
      <c r="P372" s="51" t="s">
        <v>535</v>
      </c>
      <c r="Q372" s="51" t="s">
        <v>534</v>
      </c>
      <c r="R372" s="51" t="s">
        <v>246</v>
      </c>
      <c r="S372" s="51" t="s">
        <v>538</v>
      </c>
      <c r="T372" s="51" t="s">
        <v>412</v>
      </c>
      <c r="U372" s="51" t="s">
        <v>414</v>
      </c>
      <c r="V372" s="51" t="s">
        <v>536</v>
      </c>
    </row>
    <row r="373" spans="1:22">
      <c r="A373" s="20" t="s">
        <v>356</v>
      </c>
      <c r="B373" s="20" t="str">
        <f>'Lin 2006'!A28</f>
        <v>Cariaco Basin</v>
      </c>
      <c r="C373" s="20">
        <f>'Lin 2006'!B28</f>
        <v>174.17811073180101</v>
      </c>
      <c r="I373" s="51">
        <f>'Lin 2006'!G28</f>
        <v>93749.999999999505</v>
      </c>
      <c r="J373" s="51">
        <f>'Lin 2006'!H28</f>
        <v>66138.599994578093</v>
      </c>
      <c r="K373" s="51">
        <f>'Lin 2006'!I28</f>
        <v>3062.7095173983771</v>
      </c>
      <c r="L373" s="51">
        <f>J373+K373</f>
        <v>69201.309511976477</v>
      </c>
      <c r="M373" s="63">
        <f>L373/I373</f>
        <v>0.73814730146108631</v>
      </c>
      <c r="N373" s="63">
        <f>K373/L373</f>
        <v>4.4257970535489972E-2</v>
      </c>
      <c r="O373" s="63" t="str">
        <f>'Lin 2006'!F28</f>
        <v>CARDFISH</v>
      </c>
      <c r="P373" s="51" t="s">
        <v>535</v>
      </c>
      <c r="Q373" s="51" t="s">
        <v>534</v>
      </c>
      <c r="R373" s="51" t="s">
        <v>246</v>
      </c>
      <c r="S373" s="51" t="s">
        <v>538</v>
      </c>
      <c r="T373" s="51" t="s">
        <v>412</v>
      </c>
      <c r="U373" s="51" t="s">
        <v>414</v>
      </c>
      <c r="V373" s="51" t="s">
        <v>536</v>
      </c>
    </row>
    <row r="374" spans="1:22">
      <c r="A374" s="20" t="s">
        <v>356</v>
      </c>
      <c r="B374" s="20" t="str">
        <f>'Lin 2006'!A54</f>
        <v>Black Sea</v>
      </c>
      <c r="C374" s="20">
        <f>'Lin 2006'!B54</f>
        <v>196.12535011073501</v>
      </c>
      <c r="I374" s="51">
        <f>'Lin 2006'!G54</f>
        <v>369768.66567032103</v>
      </c>
      <c r="J374" s="51">
        <f>'Lin 2006'!H54</f>
        <v>184331.66009727915</v>
      </c>
      <c r="K374" s="51">
        <f>'Lin 2006'!I54</f>
        <v>22823.403813867342</v>
      </c>
      <c r="L374" s="51">
        <f>J374+K374</f>
        <v>207155.06391114648</v>
      </c>
      <c r="M374" s="63">
        <f>L374/I374</f>
        <v>0.56022882181110001</v>
      </c>
      <c r="N374" s="63">
        <f>K374/L374</f>
        <v>0.11017545689183258</v>
      </c>
      <c r="O374" s="63" t="str">
        <f>'Lin 2006'!F54</f>
        <v>CARDFISH</v>
      </c>
      <c r="P374" s="51" t="s">
        <v>535</v>
      </c>
      <c r="Q374" s="51" t="s">
        <v>534</v>
      </c>
      <c r="R374" s="51" t="s">
        <v>246</v>
      </c>
      <c r="S374" s="51" t="s">
        <v>538</v>
      </c>
      <c r="T374" s="51" t="s">
        <v>412</v>
      </c>
      <c r="U374" s="51" t="s">
        <v>414</v>
      </c>
      <c r="V374" s="51" t="s">
        <v>536</v>
      </c>
    </row>
    <row r="375" spans="1:22">
      <c r="A375" s="20" t="s">
        <v>356</v>
      </c>
      <c r="B375" s="20" t="str">
        <f>'Lin 2006'!A11</f>
        <v>Cariaco Basin</v>
      </c>
      <c r="C375" s="20">
        <f>'Lin 2006'!B11</f>
        <v>202.17852155020799</v>
      </c>
      <c r="I375" s="51">
        <f>'Lin 2006'!G11</f>
        <v>101785.71428571398</v>
      </c>
      <c r="J375" s="51">
        <f>'Lin 2006'!H11</f>
        <v>57746.109123954011</v>
      </c>
      <c r="K375" s="51">
        <f>'Lin 2006'!I11</f>
        <v>2553.5870798518058</v>
      </c>
      <c r="L375" s="51">
        <f>J375+K375</f>
        <v>60299.696203805819</v>
      </c>
      <c r="M375" s="63">
        <f>L375/I375</f>
        <v>0.59241806796721685</v>
      </c>
      <c r="N375" s="63">
        <f>K375/L375</f>
        <v>4.2348257795876525E-2</v>
      </c>
      <c r="O375" s="63" t="str">
        <f>'Lin 2006'!F11</f>
        <v>FISH</v>
      </c>
      <c r="P375" s="51" t="s">
        <v>535</v>
      </c>
      <c r="Q375" s="51" t="s">
        <v>534</v>
      </c>
      <c r="R375" s="51" t="s">
        <v>246</v>
      </c>
      <c r="S375" s="51" t="s">
        <v>538</v>
      </c>
      <c r="T375" s="51" t="s">
        <v>412</v>
      </c>
      <c r="U375" s="51" t="s">
        <v>414</v>
      </c>
      <c r="V375" s="51" t="s">
        <v>536</v>
      </c>
    </row>
    <row r="376" spans="1:22">
      <c r="A376" s="20" t="s">
        <v>356</v>
      </c>
      <c r="B376" s="20" t="str">
        <f>'Lin 2006'!A29</f>
        <v>Cariaco Basin</v>
      </c>
      <c r="C376" s="20">
        <f>'Lin 2006'!B29</f>
        <v>202.17852155020799</v>
      </c>
      <c r="I376" s="51">
        <f>'Lin 2006'!G29</f>
        <v>101785.71428571398</v>
      </c>
      <c r="J376" s="51">
        <f>'Lin 2006'!H29</f>
        <v>67909.873150405649</v>
      </c>
      <c r="K376" s="51">
        <f>'Lin 2006'!I29</f>
        <v>12248.296753440329</v>
      </c>
      <c r="L376" s="51">
        <f>J376+K376</f>
        <v>80158.169903845977</v>
      </c>
      <c r="M376" s="63">
        <f>L376/I376</f>
        <v>0.78751886221322598</v>
      </c>
      <c r="N376" s="63">
        <f>K376/L376</f>
        <v>0.15280160173483023</v>
      </c>
      <c r="O376" s="63" t="str">
        <f>'Lin 2006'!F29</f>
        <v>CARDFISH</v>
      </c>
      <c r="P376" s="51" t="s">
        <v>535</v>
      </c>
      <c r="Q376" s="51" t="s">
        <v>534</v>
      </c>
      <c r="R376" s="51" t="s">
        <v>246</v>
      </c>
      <c r="S376" s="51" t="s">
        <v>538</v>
      </c>
      <c r="T376" s="51" t="s">
        <v>412</v>
      </c>
      <c r="U376" s="51" t="s">
        <v>414</v>
      </c>
      <c r="V376" s="51" t="s">
        <v>536</v>
      </c>
    </row>
    <row r="377" spans="1:22">
      <c r="A377" s="20" t="s">
        <v>356</v>
      </c>
      <c r="B377" s="20" t="str">
        <f>'Lin 2006'!A12</f>
        <v>Cariaco Basin</v>
      </c>
      <c r="C377" s="20">
        <f>'Lin 2006'!B12</f>
        <v>229.91731836997201</v>
      </c>
      <c r="I377" s="51">
        <f>'Lin 2006'!G12</f>
        <v>77678.571428571391</v>
      </c>
      <c r="J377" s="51">
        <f>'Lin 2006'!H12</f>
        <v>44315.410573424124</v>
      </c>
      <c r="K377" s="51">
        <f>'Lin 2006'!I12</f>
        <v>2552.0622901598995</v>
      </c>
      <c r="L377" s="51">
        <f>J377+K377</f>
        <v>46867.472863584022</v>
      </c>
      <c r="M377" s="63">
        <f>L377/I377</f>
        <v>0.60335137479556467</v>
      </c>
      <c r="N377" s="63">
        <f>K377/L377</f>
        <v>5.4452739484975504E-2</v>
      </c>
      <c r="O377" s="63" t="str">
        <f>'Lin 2006'!F12</f>
        <v>FISH</v>
      </c>
      <c r="P377" s="51" t="s">
        <v>535</v>
      </c>
      <c r="Q377" s="51" t="s">
        <v>534</v>
      </c>
      <c r="R377" s="51" t="s">
        <v>246</v>
      </c>
      <c r="S377" s="51" t="s">
        <v>538</v>
      </c>
      <c r="T377" s="51" t="s">
        <v>412</v>
      </c>
      <c r="U377" s="51" t="s">
        <v>414</v>
      </c>
      <c r="V377" s="51" t="s">
        <v>536</v>
      </c>
    </row>
    <row r="378" spans="1:22">
      <c r="A378" s="20" t="s">
        <v>356</v>
      </c>
      <c r="B378" s="20" t="str">
        <f>'Lin 2006'!A30</f>
        <v>Cariaco Basin</v>
      </c>
      <c r="C378" s="20">
        <f>'Lin 2006'!B30</f>
        <v>229.91731836997201</v>
      </c>
      <c r="I378" s="51">
        <f>'Lin 2006'!G30</f>
        <v>77678.571428571391</v>
      </c>
      <c r="J378" s="51">
        <f>'Lin 2006'!H30</f>
        <v>50639.06436968255</v>
      </c>
      <c r="K378" s="51">
        <f>'Lin 2006'!I30</f>
        <v>3506.6290433549934</v>
      </c>
      <c r="L378" s="51">
        <f>J378+K378</f>
        <v>54145.693413037545</v>
      </c>
      <c r="M378" s="63">
        <f>L378/I378</f>
        <v>0.69704800715634574</v>
      </c>
      <c r="N378" s="63">
        <f>K378/L378</f>
        <v>6.476284303177185E-2</v>
      </c>
      <c r="O378" s="63" t="str">
        <f>'Lin 2006'!F30</f>
        <v>CARDFISH</v>
      </c>
      <c r="P378" s="51" t="s">
        <v>535</v>
      </c>
      <c r="Q378" s="51" t="s">
        <v>534</v>
      </c>
      <c r="R378" s="51" t="s">
        <v>246</v>
      </c>
      <c r="S378" s="51" t="s">
        <v>538</v>
      </c>
      <c r="T378" s="51" t="s">
        <v>412</v>
      </c>
      <c r="U378" s="51" t="s">
        <v>414</v>
      </c>
      <c r="V378" s="51" t="s">
        <v>536</v>
      </c>
    </row>
    <row r="379" spans="1:22">
      <c r="A379" s="20" t="s">
        <v>356</v>
      </c>
      <c r="B379" s="20" t="str">
        <f>'Lin 2006'!A13</f>
        <v>Cariaco Basin</v>
      </c>
      <c r="C379" s="20">
        <f>'Lin 2006'!B13</f>
        <v>254.553628362696</v>
      </c>
      <c r="I379" s="51">
        <f>'Lin 2006'!G13</f>
        <v>136607.142857142</v>
      </c>
      <c r="J379" s="51">
        <f>'Lin 2006'!H13</f>
        <v>73745.219098563233</v>
      </c>
      <c r="K379" s="51">
        <f>'Lin 2006'!I13</f>
        <v>2398.9661441828416</v>
      </c>
      <c r="L379" s="51">
        <f>J379+K379</f>
        <v>76144.185242746069</v>
      </c>
      <c r="M379" s="63">
        <f>L379/I379</f>
        <v>0.55739534295343873</v>
      </c>
      <c r="N379" s="63">
        <f>K379/L379</f>
        <v>3.1505572441743089E-2</v>
      </c>
      <c r="O379" s="63" t="str">
        <f>'Lin 2006'!F13</f>
        <v>FISH</v>
      </c>
      <c r="P379" s="51" t="s">
        <v>535</v>
      </c>
      <c r="Q379" s="51" t="s">
        <v>534</v>
      </c>
      <c r="R379" s="51" t="s">
        <v>246</v>
      </c>
      <c r="S379" s="51" t="s">
        <v>538</v>
      </c>
      <c r="T379" s="51" t="s">
        <v>412</v>
      </c>
      <c r="U379" s="51" t="s">
        <v>414</v>
      </c>
      <c r="V379" s="51" t="s">
        <v>536</v>
      </c>
    </row>
    <row r="380" spans="1:22">
      <c r="A380" s="20" t="s">
        <v>356</v>
      </c>
      <c r="B380" s="20" t="str">
        <f>'Lin 2006'!A31</f>
        <v>Cariaco Basin</v>
      </c>
      <c r="C380" s="20">
        <f>'Lin 2006'!B31</f>
        <v>254.553628362696</v>
      </c>
      <c r="I380" s="51">
        <f>'Lin 2006'!G31</f>
        <v>136607.142857142</v>
      </c>
      <c r="J380" s="51">
        <f>'Lin 2006'!H31</f>
        <v>75843.002974065428</v>
      </c>
      <c r="K380" s="51">
        <f>'Lin 2006'!I31</f>
        <v>22123.318858856899</v>
      </c>
      <c r="L380" s="51">
        <f>J380+K380</f>
        <v>97966.321832922331</v>
      </c>
      <c r="M380" s="63">
        <f>L380/I380</f>
        <v>0.7171390879272791</v>
      </c>
      <c r="N380" s="63">
        <f>K380/L380</f>
        <v>0.22582575771893673</v>
      </c>
      <c r="O380" s="63" t="str">
        <f>'Lin 2006'!F31</f>
        <v>CARDFISH</v>
      </c>
      <c r="P380" s="51" t="s">
        <v>535</v>
      </c>
      <c r="Q380" s="51" t="s">
        <v>534</v>
      </c>
      <c r="R380" s="51" t="s">
        <v>246</v>
      </c>
      <c r="S380" s="51" t="s">
        <v>538</v>
      </c>
      <c r="T380" s="51" t="s">
        <v>412</v>
      </c>
      <c r="U380" s="51" t="s">
        <v>414</v>
      </c>
      <c r="V380" s="51" t="s">
        <v>536</v>
      </c>
    </row>
    <row r="381" spans="1:22">
      <c r="A381" s="20" t="s">
        <v>356</v>
      </c>
      <c r="B381" s="20" t="str">
        <f>'Lin 2006'!A14</f>
        <v>Cariaco Basin</v>
      </c>
      <c r="C381" s="20">
        <f>'Lin 2006'!B14</f>
        <v>266.83379931892102</v>
      </c>
      <c r="I381" s="51">
        <f>'Lin 2006'!G14</f>
        <v>270535.71428571298</v>
      </c>
      <c r="J381" s="51">
        <f>'Lin 2006'!H14</f>
        <v>149794.32281266013</v>
      </c>
      <c r="K381" s="51">
        <f>'Lin 2006'!I14</f>
        <v>10577.369281151145</v>
      </c>
      <c r="L381" s="51">
        <f>J381+K381</f>
        <v>160371.69209381129</v>
      </c>
      <c r="M381" s="63">
        <f>L381/I381</f>
        <v>0.59279305328405774</v>
      </c>
      <c r="N381" s="63">
        <f>K381/L381</f>
        <v>6.5955338769910776E-2</v>
      </c>
      <c r="O381" s="63" t="str">
        <f>'Lin 2006'!F14</f>
        <v>FISH</v>
      </c>
      <c r="P381" s="51" t="s">
        <v>535</v>
      </c>
      <c r="Q381" s="51" t="s">
        <v>534</v>
      </c>
      <c r="R381" s="51" t="s">
        <v>246</v>
      </c>
      <c r="S381" s="51" t="s">
        <v>538</v>
      </c>
      <c r="T381" s="51" t="s">
        <v>412</v>
      </c>
      <c r="U381" s="51" t="s">
        <v>414</v>
      </c>
      <c r="V381" s="51" t="s">
        <v>536</v>
      </c>
    </row>
    <row r="382" spans="1:22">
      <c r="A382" s="20" t="s">
        <v>356</v>
      </c>
      <c r="B382" s="20" t="str">
        <f>'Lin 2006'!A32</f>
        <v>Cariaco Basin</v>
      </c>
      <c r="C382" s="20">
        <f>'Lin 2006'!B32</f>
        <v>266.83379931892102</v>
      </c>
      <c r="I382" s="51">
        <f>'Lin 2006'!G32</f>
        <v>270535.71428571298</v>
      </c>
      <c r="J382" s="51">
        <f>'Lin 2006'!H32</f>
        <v>198414.28729554804</v>
      </c>
      <c r="K382" s="51">
        <f>'Lin 2006'!I32</f>
        <v>78315.800403253801</v>
      </c>
      <c r="L382" s="51">
        <f>J382+K382</f>
        <v>276730.08769880183</v>
      </c>
      <c r="M382" s="63">
        <f>L382/I382</f>
        <v>1.0228966938041568</v>
      </c>
      <c r="N382" s="63">
        <f>K382/L382</f>
        <v>0.28300428426306207</v>
      </c>
      <c r="O382" s="63" t="str">
        <f>'Lin 2006'!F32</f>
        <v>CARDFISH</v>
      </c>
      <c r="P382" s="51" t="s">
        <v>535</v>
      </c>
      <c r="Q382" s="51" t="s">
        <v>534</v>
      </c>
      <c r="R382" s="51" t="s">
        <v>246</v>
      </c>
      <c r="S382" s="51" t="s">
        <v>538</v>
      </c>
      <c r="T382" s="51" t="s">
        <v>412</v>
      </c>
      <c r="U382" s="51" t="s">
        <v>414</v>
      </c>
      <c r="V382" s="51" t="s">
        <v>536</v>
      </c>
    </row>
    <row r="383" spans="1:22">
      <c r="A383" s="20" t="s">
        <v>356</v>
      </c>
      <c r="B383" s="20" t="str">
        <f>'Lin 2006'!A15</f>
        <v>Cariaco Basin</v>
      </c>
      <c r="C383" s="20">
        <f>'Lin 2006'!B15</f>
        <v>277.93995948365801</v>
      </c>
      <c r="I383" s="51">
        <f>'Lin 2006'!G15</f>
        <v>249107.14285714302</v>
      </c>
      <c r="J383" s="51">
        <f>'Lin 2006'!H15</f>
        <v>112298.65515162691</v>
      </c>
      <c r="K383" s="51">
        <f>'Lin 2006'!I15</f>
        <v>7067.7632674451515</v>
      </c>
      <c r="L383" s="51">
        <f>J383+K383</f>
        <v>119366.41841907206</v>
      </c>
      <c r="M383" s="63">
        <f>L383/I383</f>
        <v>0.47917702017691977</v>
      </c>
      <c r="N383" s="63">
        <f>K383/L383</f>
        <v>5.9210650374308983E-2</v>
      </c>
      <c r="O383" s="63" t="str">
        <f>'Lin 2006'!F15</f>
        <v>FISH</v>
      </c>
      <c r="P383" s="51" t="s">
        <v>535</v>
      </c>
      <c r="Q383" s="51" t="s">
        <v>534</v>
      </c>
      <c r="R383" s="51" t="s">
        <v>246</v>
      </c>
      <c r="S383" s="51" t="s">
        <v>538</v>
      </c>
      <c r="T383" s="51" t="s">
        <v>412</v>
      </c>
      <c r="U383" s="51" t="s">
        <v>414</v>
      </c>
      <c r="V383" s="51" t="s">
        <v>536</v>
      </c>
    </row>
    <row r="384" spans="1:22">
      <c r="A384" s="20" t="s">
        <v>356</v>
      </c>
      <c r="B384" s="20" t="str">
        <f>'Lin 2006'!A33</f>
        <v>Cariaco Basin</v>
      </c>
      <c r="C384" s="20">
        <f>'Lin 2006'!B33</f>
        <v>277.93995948365801</v>
      </c>
      <c r="I384" s="51">
        <f>'Lin 2006'!G33</f>
        <v>249107.14285714302</v>
      </c>
      <c r="J384" s="51">
        <f>'Lin 2006'!H33</f>
        <v>178878.56074697583</v>
      </c>
      <c r="K384" s="51">
        <f>'Lin 2006'!I33</f>
        <v>38447.28164688895</v>
      </c>
      <c r="L384" s="51">
        <f>J384+K384</f>
        <v>217325.84239386476</v>
      </c>
      <c r="M384" s="63">
        <f>L384/I384</f>
        <v>0.87241915226210887</v>
      </c>
      <c r="N384" s="63">
        <f>K384/L384</f>
        <v>0.17691076782856791</v>
      </c>
      <c r="O384" s="63" t="str">
        <f>'Lin 2006'!F33</f>
        <v>CARDFISH</v>
      </c>
      <c r="P384" s="51" t="s">
        <v>535</v>
      </c>
      <c r="Q384" s="51" t="s">
        <v>534</v>
      </c>
      <c r="R384" s="51" t="s">
        <v>246</v>
      </c>
      <c r="S384" s="51" t="s">
        <v>538</v>
      </c>
      <c r="T384" s="51" t="s">
        <v>412</v>
      </c>
      <c r="U384" s="51" t="s">
        <v>414</v>
      </c>
      <c r="V384" s="51" t="s">
        <v>536</v>
      </c>
    </row>
    <row r="385" spans="1:22">
      <c r="A385" s="20" t="s">
        <v>356</v>
      </c>
      <c r="B385" s="20" t="str">
        <f>'Lin 2006'!A16</f>
        <v>Cariaco Basin</v>
      </c>
      <c r="C385" s="20">
        <f>'Lin 2006'!B16</f>
        <v>289.39395808131599</v>
      </c>
      <c r="I385" s="51">
        <f>'Lin 2006'!G16</f>
        <v>176785.71428571298</v>
      </c>
      <c r="J385" s="51">
        <f>'Lin 2006'!H16</f>
        <v>114186.85305351534</v>
      </c>
      <c r="K385" s="51">
        <f>'Lin 2006'!I16</f>
        <v>8279.3175912646402</v>
      </c>
      <c r="L385" s="51">
        <f>J385+K385</f>
        <v>122466.17064477998</v>
      </c>
      <c r="M385" s="63">
        <f>L385/I385</f>
        <v>0.69273793496037672</v>
      </c>
      <c r="N385" s="63">
        <f>K385/L385</f>
        <v>6.760493569509303E-2</v>
      </c>
      <c r="O385" s="63" t="str">
        <f>'Lin 2006'!F16</f>
        <v>FISH</v>
      </c>
      <c r="P385" s="51" t="s">
        <v>535</v>
      </c>
      <c r="Q385" s="51" t="s">
        <v>534</v>
      </c>
      <c r="R385" s="51" t="s">
        <v>246</v>
      </c>
      <c r="S385" s="51" t="s">
        <v>538</v>
      </c>
      <c r="T385" s="51" t="s">
        <v>412</v>
      </c>
      <c r="U385" s="51" t="s">
        <v>414</v>
      </c>
      <c r="V385" s="51" t="s">
        <v>536</v>
      </c>
    </row>
    <row r="386" spans="1:22">
      <c r="A386" s="20" t="s">
        <v>356</v>
      </c>
      <c r="B386" s="20" t="str">
        <f>'Lin 2006'!A34</f>
        <v>Cariaco Basin</v>
      </c>
      <c r="C386" s="20">
        <f>'Lin 2006'!B34</f>
        <v>289.39395808131599</v>
      </c>
      <c r="I386" s="51">
        <f>'Lin 2006'!G34</f>
        <v>176785.71428571298</v>
      </c>
      <c r="J386" s="51">
        <f>'Lin 2006'!H34</f>
        <v>145415.9981257176</v>
      </c>
      <c r="K386" s="51">
        <f>'Lin 2006'!I34</f>
        <v>49556.899342581193</v>
      </c>
      <c r="L386" s="51">
        <f>J386+K386</f>
        <v>194972.89746829879</v>
      </c>
      <c r="M386" s="63">
        <f>L386/I386</f>
        <v>1.1028769957802842</v>
      </c>
      <c r="N386" s="63">
        <f>K386/L386</f>
        <v>0.2541732722140973</v>
      </c>
      <c r="O386" s="63" t="str">
        <f>'Lin 2006'!F34</f>
        <v>CARDFISH</v>
      </c>
      <c r="P386" s="51" t="s">
        <v>535</v>
      </c>
      <c r="Q386" s="51" t="s">
        <v>534</v>
      </c>
      <c r="R386" s="51" t="s">
        <v>246</v>
      </c>
      <c r="S386" s="51" t="s">
        <v>538</v>
      </c>
      <c r="T386" s="51" t="s">
        <v>412</v>
      </c>
      <c r="U386" s="51" t="s">
        <v>414</v>
      </c>
      <c r="V386" s="51" t="s">
        <v>536</v>
      </c>
    </row>
    <row r="387" spans="1:22">
      <c r="A387" s="20" t="s">
        <v>356</v>
      </c>
      <c r="B387" s="20" t="str">
        <f>'Lin 2006'!A55</f>
        <v>Black Sea</v>
      </c>
      <c r="C387" s="20">
        <f>'Lin 2006'!B55</f>
        <v>298.00011471844601</v>
      </c>
      <c r="I387" s="51">
        <f>'Lin 2006'!G55</f>
        <v>352183.04670890502</v>
      </c>
      <c r="J387" s="51">
        <f>'Lin 2006'!H55</f>
        <v>165246.5488148524</v>
      </c>
      <c r="K387" s="51">
        <f>'Lin 2006'!I55</f>
        <v>23404.569559769123</v>
      </c>
      <c r="L387" s="51">
        <f>J387+K387</f>
        <v>188651.11837462152</v>
      </c>
      <c r="M387" s="63">
        <f>L387/I387</f>
        <v>0.53566212268743896</v>
      </c>
      <c r="N387" s="63">
        <f>K387/L387</f>
        <v>0.1240627130197689</v>
      </c>
      <c r="O387" s="63" t="str">
        <f>'Lin 2006'!F55</f>
        <v>CARDFISH</v>
      </c>
      <c r="P387" s="51" t="s">
        <v>535</v>
      </c>
      <c r="Q387" s="51" t="s">
        <v>534</v>
      </c>
      <c r="R387" s="51" t="s">
        <v>246</v>
      </c>
      <c r="S387" s="51" t="s">
        <v>538</v>
      </c>
      <c r="T387" s="51" t="s">
        <v>412</v>
      </c>
      <c r="U387" s="51" t="s">
        <v>414</v>
      </c>
      <c r="V387" s="51" t="s">
        <v>536</v>
      </c>
    </row>
    <row r="388" spans="1:22">
      <c r="A388" s="20" t="s">
        <v>356</v>
      </c>
      <c r="B388" s="20" t="str">
        <f>'Lin 2006'!A17</f>
        <v>Cariaco Basin</v>
      </c>
      <c r="C388" s="20">
        <f>'Lin 2006'!B17</f>
        <v>305.517949433159</v>
      </c>
      <c r="I388" s="51">
        <f>'Lin 2006'!G17</f>
        <v>171428.57142857098</v>
      </c>
      <c r="J388" s="51">
        <f>'Lin 2006'!H17</f>
        <v>94933.115785913411</v>
      </c>
      <c r="K388" s="51">
        <f>'Lin 2006'!I17</f>
        <v>7507.9676312157744</v>
      </c>
      <c r="L388" s="51">
        <f>J388+K388</f>
        <v>102441.08341712918</v>
      </c>
      <c r="M388" s="63">
        <f>L388/I388</f>
        <v>0.59757298659992175</v>
      </c>
      <c r="N388" s="63">
        <f>K388/L388</f>
        <v>7.3290591828711241E-2</v>
      </c>
      <c r="O388" s="63" t="str">
        <f>'Lin 2006'!F17</f>
        <v>FISH</v>
      </c>
      <c r="P388" s="51" t="s">
        <v>535</v>
      </c>
      <c r="Q388" s="51" t="s">
        <v>534</v>
      </c>
      <c r="R388" s="51" t="s">
        <v>246</v>
      </c>
      <c r="S388" s="51" t="s">
        <v>538</v>
      </c>
      <c r="T388" s="51" t="s">
        <v>412</v>
      </c>
      <c r="U388" s="51" t="s">
        <v>414</v>
      </c>
      <c r="V388" s="51" t="s">
        <v>536</v>
      </c>
    </row>
    <row r="389" spans="1:22">
      <c r="A389" s="20" t="s">
        <v>356</v>
      </c>
      <c r="B389" s="20" t="str">
        <f>'Lin 2006'!A35</f>
        <v>Cariaco Basin</v>
      </c>
      <c r="C389" s="20">
        <f>'Lin 2006'!B35</f>
        <v>305.517949433159</v>
      </c>
      <c r="I389" s="51">
        <f>'Lin 2006'!G35</f>
        <v>171428.57142857098</v>
      </c>
      <c r="J389" s="51">
        <f>'Lin 2006'!H35</f>
        <v>125215.14863230355</v>
      </c>
      <c r="K389" s="51">
        <f>'Lin 2006'!I35</f>
        <v>34630.829859932142</v>
      </c>
      <c r="L389" s="51">
        <f>J389+K389</f>
        <v>159845.97849223571</v>
      </c>
      <c r="M389" s="63">
        <f>L389/I389</f>
        <v>0.93243487453804408</v>
      </c>
      <c r="N389" s="63">
        <f>K389/L389</f>
        <v>0.21665124256857227</v>
      </c>
      <c r="O389" s="63" t="str">
        <f>'Lin 2006'!F35</f>
        <v>CARDFISH</v>
      </c>
      <c r="P389" s="51" t="s">
        <v>535</v>
      </c>
      <c r="Q389" s="51" t="s">
        <v>534</v>
      </c>
      <c r="R389" s="51" t="s">
        <v>246</v>
      </c>
      <c r="S389" s="51" t="s">
        <v>538</v>
      </c>
      <c r="T389" s="51" t="s">
        <v>412</v>
      </c>
      <c r="U389" s="51" t="s">
        <v>414</v>
      </c>
      <c r="V389" s="51" t="s">
        <v>536</v>
      </c>
    </row>
    <row r="390" spans="1:22">
      <c r="A390" s="20" t="s">
        <v>356</v>
      </c>
      <c r="B390" s="20" t="str">
        <f>'Lin 2006'!A18</f>
        <v>Cariaco Basin</v>
      </c>
      <c r="C390" s="20">
        <f>'Lin 2006'!B18</f>
        <v>318.26732895478699</v>
      </c>
      <c r="I390" s="51">
        <f>'Lin 2006'!G18</f>
        <v>179464.28571428501</v>
      </c>
      <c r="J390" s="51">
        <f>'Lin 2006'!H18</f>
        <v>111242.68988391536</v>
      </c>
      <c r="K390" s="51">
        <f>'Lin 2006'!I18</f>
        <v>4556.7008778916197</v>
      </c>
      <c r="L390" s="51">
        <f>J390+K390</f>
        <v>115799.39076180698</v>
      </c>
      <c r="M390" s="63">
        <f>L390/I390</f>
        <v>0.64525033658320563</v>
      </c>
      <c r="N390" s="63">
        <f>K390/L390</f>
        <v>3.9349955538751535E-2</v>
      </c>
      <c r="O390" s="63" t="str">
        <f>'Lin 2006'!F18</f>
        <v>FISH</v>
      </c>
      <c r="P390" s="51" t="s">
        <v>535</v>
      </c>
      <c r="Q390" s="51" t="s">
        <v>534</v>
      </c>
      <c r="R390" s="51" t="s">
        <v>246</v>
      </c>
      <c r="S390" s="51" t="s">
        <v>538</v>
      </c>
      <c r="T390" s="51" t="s">
        <v>412</v>
      </c>
      <c r="U390" s="51" t="s">
        <v>414</v>
      </c>
      <c r="V390" s="51" t="s">
        <v>536</v>
      </c>
    </row>
    <row r="391" spans="1:22">
      <c r="A391" s="20" t="s">
        <v>356</v>
      </c>
      <c r="B391" s="20" t="str">
        <f>'Lin 2006'!A36</f>
        <v>Cariaco Basin</v>
      </c>
      <c r="C391" s="20">
        <f>'Lin 2006'!B36</f>
        <v>318.26732895478699</v>
      </c>
      <c r="I391" s="51">
        <f>'Lin 2006'!G36</f>
        <v>179464.28571428501</v>
      </c>
      <c r="J391" s="51">
        <f>'Lin 2006'!H36</f>
        <v>141291.78085109341</v>
      </c>
      <c r="K391" s="51">
        <f>'Lin 2006'!I36</f>
        <v>45909.166745191622</v>
      </c>
      <c r="L391" s="51">
        <f>J391+K391</f>
        <v>187200.94759628503</v>
      </c>
      <c r="M391" s="63">
        <f>L391/I391</f>
        <v>1.043109757750448</v>
      </c>
      <c r="N391" s="63">
        <f>K391/L391</f>
        <v>0.245240033956445</v>
      </c>
      <c r="O391" s="63" t="str">
        <f>'Lin 2006'!F36</f>
        <v>CARDFISH</v>
      </c>
      <c r="P391" s="51" t="s">
        <v>535</v>
      </c>
      <c r="Q391" s="51" t="s">
        <v>534</v>
      </c>
      <c r="R391" s="51" t="s">
        <v>246</v>
      </c>
      <c r="S391" s="51" t="s">
        <v>538</v>
      </c>
      <c r="T391" s="51" t="s">
        <v>412</v>
      </c>
      <c r="U391" s="51" t="s">
        <v>414</v>
      </c>
      <c r="V391" s="51" t="s">
        <v>536</v>
      </c>
    </row>
    <row r="392" spans="1:22">
      <c r="A392" s="20" t="s">
        <v>356</v>
      </c>
      <c r="B392" s="20" t="str">
        <f>'Lin 2006'!A19</f>
        <v>Cariaco Basin</v>
      </c>
      <c r="C392" s="20">
        <f>'Lin 2006'!B19</f>
        <v>331.50046174646599</v>
      </c>
      <c r="I392" s="51">
        <f>'Lin 2006'!G19</f>
        <v>115178.571428571</v>
      </c>
      <c r="J392" s="51">
        <f>'Lin 2006'!H19</f>
        <v>81659.276949568346</v>
      </c>
      <c r="K392" s="51">
        <f>'Lin 2006'!I19</f>
        <v>2042.9519541188383</v>
      </c>
      <c r="L392" s="51">
        <f>J392+K392</f>
        <v>83702.228903687181</v>
      </c>
      <c r="M392" s="63">
        <f>L392/I392</f>
        <v>0.72671702614054257</v>
      </c>
      <c r="N392" s="63">
        <f>K392/L392</f>
        <v>2.4407378165157128E-2</v>
      </c>
      <c r="O392" s="63" t="str">
        <f>'Lin 2006'!F19</f>
        <v>FISH</v>
      </c>
      <c r="P392" s="51" t="s">
        <v>535</v>
      </c>
      <c r="Q392" s="51" t="s">
        <v>534</v>
      </c>
      <c r="R392" s="51" t="s">
        <v>246</v>
      </c>
      <c r="S392" s="51" t="s">
        <v>538</v>
      </c>
      <c r="T392" s="51" t="s">
        <v>412</v>
      </c>
      <c r="U392" s="51" t="s">
        <v>414</v>
      </c>
      <c r="V392" s="51" t="s">
        <v>536</v>
      </c>
    </row>
    <row r="393" spans="1:22">
      <c r="A393" s="20" t="s">
        <v>356</v>
      </c>
      <c r="B393" s="20" t="str">
        <f>'Lin 2006'!A37</f>
        <v>Cariaco Basin</v>
      </c>
      <c r="C393" s="20">
        <f>'Lin 2006'!B37</f>
        <v>331.50046174646599</v>
      </c>
      <c r="I393" s="51">
        <f>'Lin 2006'!G37</f>
        <v>115178.571428571</v>
      </c>
      <c r="J393" s="51">
        <f>'Lin 2006'!H37</f>
        <v>86968.037987754869</v>
      </c>
      <c r="K393" s="51">
        <f>'Lin 2006'!I37</f>
        <v>24866.669646326038</v>
      </c>
      <c r="L393" s="51">
        <f>J393+K393</f>
        <v>111834.7076340809</v>
      </c>
      <c r="M393" s="63">
        <f>L393/I393</f>
        <v>0.97096800426489205</v>
      </c>
      <c r="N393" s="63">
        <f>K393/L393</f>
        <v>0.22235198868395023</v>
      </c>
      <c r="O393" s="63" t="str">
        <f>'Lin 2006'!F37</f>
        <v>CARDFISH</v>
      </c>
      <c r="P393" s="51" t="s">
        <v>535</v>
      </c>
      <c r="Q393" s="51" t="s">
        <v>534</v>
      </c>
      <c r="R393" s="51" t="s">
        <v>246</v>
      </c>
      <c r="S393" s="51" t="s">
        <v>538</v>
      </c>
      <c r="T393" s="51" t="s">
        <v>412</v>
      </c>
      <c r="U393" s="51" t="s">
        <v>414</v>
      </c>
      <c r="V393" s="51" t="s">
        <v>536</v>
      </c>
    </row>
    <row r="394" spans="1:22">
      <c r="A394" s="20" t="s">
        <v>356</v>
      </c>
      <c r="B394" s="20" t="str">
        <f>'Lin 2006'!A20</f>
        <v>Cariaco Basin</v>
      </c>
      <c r="C394" s="20">
        <f>'Lin 2006'!B20</f>
        <v>357.12373490932703</v>
      </c>
      <c r="I394" s="51">
        <f>'Lin 2006'!G20</f>
        <v>152678.57142857098</v>
      </c>
      <c r="J394" s="51">
        <f>'Lin 2006'!H20</f>
        <v>83626.872828989639</v>
      </c>
      <c r="K394" s="51">
        <f>'Lin 2006'!I20</f>
        <v>3184.7410987778985</v>
      </c>
      <c r="L394" s="51">
        <f>J394+K394</f>
        <v>86811.613927767539</v>
      </c>
      <c r="M394" s="63">
        <f>L394/I394</f>
        <v>0.56859068771403465</v>
      </c>
      <c r="N394" s="63">
        <f>K394/L394</f>
        <v>3.6685657076111884E-2</v>
      </c>
      <c r="O394" s="63" t="str">
        <f>'Lin 2006'!F20</f>
        <v>FISH</v>
      </c>
      <c r="P394" s="51" t="s">
        <v>535</v>
      </c>
      <c r="Q394" s="51" t="s">
        <v>534</v>
      </c>
      <c r="R394" s="51" t="s">
        <v>246</v>
      </c>
      <c r="S394" s="51" t="s">
        <v>538</v>
      </c>
      <c r="T394" s="51" t="s">
        <v>412</v>
      </c>
      <c r="U394" s="51" t="s">
        <v>414</v>
      </c>
      <c r="V394" s="51" t="s">
        <v>536</v>
      </c>
    </row>
    <row r="395" spans="1:22">
      <c r="A395" s="20" t="s">
        <v>356</v>
      </c>
      <c r="B395" s="20" t="str">
        <f>'Lin 2006'!A38</f>
        <v>Cariaco Basin</v>
      </c>
      <c r="C395" s="20">
        <f>'Lin 2006'!B38</f>
        <v>357.12373490932703</v>
      </c>
      <c r="I395" s="51">
        <f>'Lin 2006'!G38</f>
        <v>152678.57142857098</v>
      </c>
      <c r="J395" s="51">
        <f>'Lin 2006'!H38</f>
        <v>124435.2913138939</v>
      </c>
      <c r="K395" s="51">
        <f>'Lin 2006'!I38</f>
        <v>20774.279331144768</v>
      </c>
      <c r="L395" s="51">
        <f>J395+K395</f>
        <v>145209.57064503868</v>
      </c>
      <c r="M395" s="63">
        <f>L395/I395</f>
        <v>0.951080228786221</v>
      </c>
      <c r="N395" s="63">
        <f>K395/L395</f>
        <v>0.14306411925097551</v>
      </c>
      <c r="O395" s="63" t="str">
        <f>'Lin 2006'!F38</f>
        <v>CARDFISH</v>
      </c>
      <c r="P395" s="51" t="s">
        <v>535</v>
      </c>
      <c r="Q395" s="51" t="s">
        <v>534</v>
      </c>
      <c r="R395" s="51" t="s">
        <v>246</v>
      </c>
      <c r="S395" s="51" t="s">
        <v>538</v>
      </c>
      <c r="T395" s="51" t="s">
        <v>412</v>
      </c>
      <c r="U395" s="51" t="s">
        <v>414</v>
      </c>
      <c r="V395" s="51" t="s">
        <v>536</v>
      </c>
    </row>
    <row r="396" spans="1:22">
      <c r="A396" s="20" t="s">
        <v>356</v>
      </c>
      <c r="B396" s="20" t="str">
        <f>'Lin 2006'!A56</f>
        <v>Black Sea</v>
      </c>
      <c r="C396" s="20">
        <f>'Lin 2006'!B56</f>
        <v>392.92368393727202</v>
      </c>
      <c r="I396" s="51">
        <f>'Lin 2006'!G56</f>
        <v>340095.56486412504</v>
      </c>
      <c r="J396" s="51">
        <f>'Lin 2006'!H56</f>
        <v>152913.85397435093</v>
      </c>
      <c r="K396" s="51">
        <f>'Lin 2006'!I56</f>
        <v>17753.187178544795</v>
      </c>
      <c r="L396" s="51">
        <f>J396+K396</f>
        <v>170667.04115289572</v>
      </c>
      <c r="M396" s="63">
        <f>L396/I396</f>
        <v>0.50182083739045702</v>
      </c>
      <c r="N396" s="63">
        <f>K396/L396</f>
        <v>0.10402235287269217</v>
      </c>
      <c r="O396" s="63" t="str">
        <f>'Lin 2006'!F56</f>
        <v>CARDFISH</v>
      </c>
      <c r="P396" s="51" t="s">
        <v>535</v>
      </c>
      <c r="Q396" s="51" t="s">
        <v>534</v>
      </c>
      <c r="R396" s="51" t="s">
        <v>246</v>
      </c>
      <c r="S396" s="51" t="s">
        <v>538</v>
      </c>
      <c r="T396" s="51" t="s">
        <v>412</v>
      </c>
      <c r="U396" s="51" t="s">
        <v>414</v>
      </c>
      <c r="V396" s="51" t="s">
        <v>536</v>
      </c>
    </row>
    <row r="397" spans="1:22">
      <c r="A397" s="20" t="s">
        <v>356</v>
      </c>
      <c r="B397" s="20" t="str">
        <f>'Lin 2006'!A21</f>
        <v>Cariaco Basin</v>
      </c>
      <c r="C397" s="20">
        <f>'Lin 2006'!B21</f>
        <v>395.333002365769</v>
      </c>
      <c r="I397" s="51">
        <f>'Lin 2006'!G21</f>
        <v>120535.71428571398</v>
      </c>
      <c r="J397" s="51">
        <f>'Lin 2006'!H21</f>
        <v>93249.058180165637</v>
      </c>
      <c r="K397" s="51">
        <f>'Lin 2006'!I21</f>
        <v>1966.9787026411491</v>
      </c>
      <c r="L397" s="51">
        <f>J397+K397</f>
        <v>95216.036882806788</v>
      </c>
      <c r="M397" s="63">
        <f>L397/I397</f>
        <v>0.78994045413884351</v>
      </c>
      <c r="N397" s="63">
        <f>K397/L397</f>
        <v>2.0658061047658743E-2</v>
      </c>
      <c r="O397" s="63" t="str">
        <f>'Lin 2006'!F21</f>
        <v>FISH</v>
      </c>
      <c r="P397" s="51" t="s">
        <v>535</v>
      </c>
      <c r="Q397" s="51" t="s">
        <v>534</v>
      </c>
      <c r="R397" s="51" t="s">
        <v>246</v>
      </c>
      <c r="S397" s="51" t="s">
        <v>538</v>
      </c>
      <c r="T397" s="51" t="s">
        <v>412</v>
      </c>
      <c r="U397" s="51" t="s">
        <v>414</v>
      </c>
      <c r="V397" s="51" t="s">
        <v>536</v>
      </c>
    </row>
    <row r="398" spans="1:22">
      <c r="A398" s="20" t="s">
        <v>356</v>
      </c>
      <c r="B398" s="20" t="str">
        <f>'Lin 2006'!A39</f>
        <v>Cariaco Basin</v>
      </c>
      <c r="C398" s="20">
        <f>'Lin 2006'!B39</f>
        <v>395.333002365769</v>
      </c>
      <c r="I398" s="51">
        <f>'Lin 2006'!G39</f>
        <v>120535.71428571398</v>
      </c>
      <c r="J398" s="51">
        <f>'Lin 2006'!H39</f>
        <v>88433.990160023634</v>
      </c>
      <c r="K398" s="51">
        <f>'Lin 2006'!I39</f>
        <v>11781.178641455941</v>
      </c>
      <c r="L398" s="51">
        <f>J398+K398</f>
        <v>100215.16880147958</v>
      </c>
      <c r="M398" s="63">
        <f>L398/I398</f>
        <v>0.8314147337604253</v>
      </c>
      <c r="N398" s="63">
        <f>K398/L398</f>
        <v>0.11755883647508264</v>
      </c>
      <c r="O398" s="63" t="str">
        <f>'Lin 2006'!F39</f>
        <v>CARDFISH</v>
      </c>
      <c r="P398" s="51" t="s">
        <v>535</v>
      </c>
      <c r="Q398" s="51" t="s">
        <v>534</v>
      </c>
      <c r="R398" s="51" t="s">
        <v>246</v>
      </c>
      <c r="S398" s="51" t="s">
        <v>538</v>
      </c>
      <c r="T398" s="51" t="s">
        <v>412</v>
      </c>
      <c r="U398" s="51" t="s">
        <v>414</v>
      </c>
      <c r="V398" s="51" t="s">
        <v>536</v>
      </c>
    </row>
    <row r="399" spans="1:22">
      <c r="A399" s="20" t="s">
        <v>356</v>
      </c>
      <c r="B399" s="20" t="str">
        <f>'Lin 2006'!A40</f>
        <v>Cariaco Basin</v>
      </c>
      <c r="C399" s="20">
        <f>'Lin 2006'!B40</f>
        <v>500.76301239769799</v>
      </c>
      <c r="I399" s="51">
        <f>'Lin 2006'!G40</f>
        <v>104464.28571428501</v>
      </c>
      <c r="J399" s="51">
        <f>'Lin 2006'!H40</f>
        <v>82435.612729879605</v>
      </c>
      <c r="K399" s="51">
        <f>'Lin 2006'!I40</f>
        <v>4609.1488026931429</v>
      </c>
      <c r="L399" s="51">
        <f>J399+K399</f>
        <v>87044.761532572753</v>
      </c>
      <c r="M399" s="63">
        <f>L399/I399</f>
        <v>0.83324899928617213</v>
      </c>
      <c r="N399" s="63">
        <f>K399/L399</f>
        <v>5.2951478314618251E-2</v>
      </c>
      <c r="O399" s="63" t="str">
        <f>'Lin 2006'!F40</f>
        <v>CARDFISH</v>
      </c>
      <c r="P399" s="51" t="s">
        <v>535</v>
      </c>
      <c r="Q399" s="51" t="s">
        <v>534</v>
      </c>
      <c r="R399" s="51" t="s">
        <v>246</v>
      </c>
      <c r="S399" s="51" t="s">
        <v>538</v>
      </c>
      <c r="T399" s="51" t="s">
        <v>412</v>
      </c>
      <c r="U399" s="51" t="s">
        <v>414</v>
      </c>
      <c r="V399" s="51" t="s">
        <v>536</v>
      </c>
    </row>
    <row r="400" spans="1:22">
      <c r="A400" s="20" t="s">
        <v>356</v>
      </c>
      <c r="B400" s="20" t="str">
        <f>'Lin 2006'!A22</f>
        <v>Cariaco Basin</v>
      </c>
      <c r="C400" s="20">
        <f>'Lin 2006'!B22</f>
        <v>500.76301239769799</v>
      </c>
      <c r="I400" s="51">
        <f>'Lin 2006'!G22</f>
        <v>104464.28571428501</v>
      </c>
      <c r="J400" s="51">
        <f>'Lin 2006'!H22</f>
        <v>81151.413068592694</v>
      </c>
      <c r="K400" s="51">
        <f>'Lin 2006'!I22</f>
        <v>6535.2123152664271</v>
      </c>
      <c r="L400" s="51">
        <f>J400+K400</f>
        <v>87686.625383859122</v>
      </c>
      <c r="M400" s="63">
        <f>L400/I400</f>
        <v>0.83939333700788787</v>
      </c>
      <c r="N400" s="63">
        <f>K400/L400</f>
        <v>7.4529180324339334E-2</v>
      </c>
      <c r="O400" s="63" t="str">
        <f>'Lin 2006'!F22</f>
        <v>FISH</v>
      </c>
      <c r="P400" s="51" t="s">
        <v>535</v>
      </c>
      <c r="Q400" s="51" t="s">
        <v>534</v>
      </c>
      <c r="R400" s="51" t="s">
        <v>246</v>
      </c>
      <c r="S400" s="51" t="s">
        <v>538</v>
      </c>
      <c r="T400" s="51" t="s">
        <v>412</v>
      </c>
      <c r="U400" s="51" t="s">
        <v>414</v>
      </c>
      <c r="V400" s="51" t="s">
        <v>536</v>
      </c>
    </row>
    <row r="401" spans="1:22">
      <c r="A401" s="20" t="s">
        <v>356</v>
      </c>
      <c r="B401" s="20" t="str">
        <f>'Lin 2006'!A57</f>
        <v>Black Sea</v>
      </c>
      <c r="C401" s="20">
        <f>'Lin 2006'!B57</f>
        <v>588.70125662736098</v>
      </c>
      <c r="I401" s="51">
        <f>'Lin 2006'!G57</f>
        <v>331256.44641842099</v>
      </c>
      <c r="J401" s="51">
        <f>'Lin 2006'!H57</f>
        <v>126645.11306886935</v>
      </c>
      <c r="K401" s="51">
        <f>'Lin 2006'!I57</f>
        <v>22018.715983206675</v>
      </c>
      <c r="L401" s="51">
        <f>J401+K401</f>
        <v>148663.82905207603</v>
      </c>
      <c r="M401" s="63">
        <f>L401/I401</f>
        <v>0.44878773125608495</v>
      </c>
      <c r="N401" s="63">
        <f>K401/L401</f>
        <v>0.14811078204835995</v>
      </c>
      <c r="O401" s="63" t="str">
        <f>'Lin 2006'!F57</f>
        <v>CARDFISH</v>
      </c>
      <c r="P401" s="51" t="s">
        <v>535</v>
      </c>
      <c r="Q401" s="51" t="s">
        <v>534</v>
      </c>
      <c r="R401" s="51" t="s">
        <v>246</v>
      </c>
      <c r="S401" s="51" t="s">
        <v>538</v>
      </c>
      <c r="T401" s="51" t="s">
        <v>412</v>
      </c>
      <c r="U401" s="51" t="s">
        <v>414</v>
      </c>
      <c r="V401" s="51" t="s">
        <v>536</v>
      </c>
    </row>
    <row r="402" spans="1:22">
      <c r="A402" s="20" t="s">
        <v>356</v>
      </c>
      <c r="B402" s="20" t="str">
        <f>'Lin 2006'!A58</f>
        <v>Black Sea</v>
      </c>
      <c r="C402" s="20">
        <f>'Lin 2006'!B58</f>
        <v>781.52359211110604</v>
      </c>
      <c r="I402" s="51">
        <f>'Lin 2006'!G58</f>
        <v>302773.90700317797</v>
      </c>
      <c r="J402" s="51">
        <f>'Lin 2006'!H58</f>
        <v>131392.67271000615</v>
      </c>
      <c r="K402" s="51">
        <f>'Lin 2006'!I58</f>
        <v>18679.41065990374</v>
      </c>
      <c r="L402" s="51">
        <f>J402+K402</f>
        <v>150072.0833699099</v>
      </c>
      <c r="M402" s="63">
        <f>L402/I402</f>
        <v>0.495657254138266</v>
      </c>
      <c r="N402" s="63">
        <f>K402/L402</f>
        <v>0.12446958981612327</v>
      </c>
      <c r="O402" s="63" t="str">
        <f>'Lin 2006'!F58</f>
        <v>CARDFISH</v>
      </c>
      <c r="P402" s="51" t="s">
        <v>535</v>
      </c>
      <c r="Q402" s="51" t="s">
        <v>534</v>
      </c>
      <c r="R402" s="51" t="s">
        <v>246</v>
      </c>
      <c r="S402" s="51" t="s">
        <v>538</v>
      </c>
      <c r="T402" s="51" t="s">
        <v>412</v>
      </c>
      <c r="U402" s="51" t="s">
        <v>414</v>
      </c>
      <c r="V402" s="51" t="s">
        <v>536</v>
      </c>
    </row>
    <row r="403" spans="1:22">
      <c r="A403" s="20" t="s">
        <v>356</v>
      </c>
      <c r="B403" s="20" t="str">
        <f>'Lin 2006'!A23</f>
        <v>Cariaco Basin</v>
      </c>
      <c r="C403" s="20">
        <f>'Lin 2006'!B23</f>
        <v>903.10485899207299</v>
      </c>
      <c r="I403" s="51">
        <f>'Lin 2006'!G23</f>
        <v>66964.285714285696</v>
      </c>
      <c r="J403" s="51">
        <f>'Lin 2006'!H23</f>
        <v>45875.294631320277</v>
      </c>
      <c r="K403" s="51">
        <f>'Lin 2006'!I23</f>
        <v>1643.9895210643522</v>
      </c>
      <c r="L403" s="51">
        <f>J403+K403</f>
        <v>47519.284152384629</v>
      </c>
      <c r="M403" s="63">
        <f>L403/I403</f>
        <v>0.70962131000894402</v>
      </c>
      <c r="N403" s="63">
        <f>K403/L403</f>
        <v>3.4596260242313708E-2</v>
      </c>
      <c r="O403" s="63" t="str">
        <f>'Lin 2006'!F23</f>
        <v>FISH</v>
      </c>
      <c r="P403" s="51" t="s">
        <v>535</v>
      </c>
      <c r="Q403" s="51" t="s">
        <v>534</v>
      </c>
      <c r="R403" s="51" t="s">
        <v>246</v>
      </c>
      <c r="S403" s="51" t="s">
        <v>538</v>
      </c>
      <c r="T403" s="51" t="s">
        <v>412</v>
      </c>
      <c r="U403" s="51" t="s">
        <v>414</v>
      </c>
      <c r="V403" s="51" t="s">
        <v>536</v>
      </c>
    </row>
    <row r="404" spans="1:22">
      <c r="A404" s="20" t="s">
        <v>356</v>
      </c>
      <c r="B404" s="20" t="str">
        <f>'Lin 2006'!A41</f>
        <v>Cariaco Basin</v>
      </c>
      <c r="C404" s="20">
        <f>'Lin 2006'!B41</f>
        <v>903.10485899207299</v>
      </c>
      <c r="I404" s="51">
        <f>'Lin 2006'!G41</f>
        <v>66964.285714285696</v>
      </c>
      <c r="J404" s="51">
        <f>'Lin 2006'!H41</f>
        <v>41554.452095464345</v>
      </c>
      <c r="K404" s="51">
        <f>'Lin 2006'!I41</f>
        <v>7712.2894499397298</v>
      </c>
      <c r="L404" s="51">
        <f>J404+K404</f>
        <v>49266.741545404075</v>
      </c>
      <c r="M404" s="63">
        <f>L404/I404</f>
        <v>0.73571667374470107</v>
      </c>
      <c r="N404" s="63">
        <f>K404/L404</f>
        <v>0.15654149651509036</v>
      </c>
      <c r="O404" s="63" t="str">
        <f>'Lin 2006'!F41</f>
        <v>CARDFISH</v>
      </c>
      <c r="P404" s="51" t="s">
        <v>535</v>
      </c>
      <c r="Q404" s="51" t="s">
        <v>534</v>
      </c>
      <c r="R404" s="51" t="s">
        <v>246</v>
      </c>
      <c r="S404" s="51" t="s">
        <v>538</v>
      </c>
      <c r="T404" s="51" t="s">
        <v>412</v>
      </c>
      <c r="U404" s="51" t="s">
        <v>414</v>
      </c>
      <c r="V404" s="51" t="s">
        <v>536</v>
      </c>
    </row>
    <row r="405" spans="1:22">
      <c r="A405" s="20" t="s">
        <v>356</v>
      </c>
      <c r="B405" s="20" t="str">
        <f>'Lin 2006'!A59</f>
        <v>Black Sea</v>
      </c>
      <c r="C405" s="20">
        <f>'Lin 2006'!B59</f>
        <v>987.91772607864698</v>
      </c>
      <c r="I405" s="51">
        <f>'Lin 2006'!G59</f>
        <v>313647.25198391697</v>
      </c>
      <c r="J405" s="51">
        <f>'Lin 2006'!H59</f>
        <v>132982.46462280097</v>
      </c>
      <c r="K405" s="51">
        <f>'Lin 2006'!I59</f>
        <v>22337.059406138076</v>
      </c>
      <c r="L405" s="51">
        <f>J405+K405</f>
        <v>155319.52402893905</v>
      </c>
      <c r="M405" s="63">
        <f>L405/I405</f>
        <v>0.49520447906523801</v>
      </c>
      <c r="N405" s="63">
        <f>K405/L405</f>
        <v>0.14381359681462999</v>
      </c>
      <c r="O405" s="63" t="str">
        <f>'Lin 2006'!F59</f>
        <v>CARDFISH</v>
      </c>
      <c r="P405" s="51" t="s">
        <v>535</v>
      </c>
      <c r="Q405" s="51" t="s">
        <v>534</v>
      </c>
      <c r="R405" s="51" t="s">
        <v>246</v>
      </c>
      <c r="S405" s="51" t="s">
        <v>538</v>
      </c>
      <c r="T405" s="51" t="s">
        <v>412</v>
      </c>
      <c r="U405" s="51" t="s">
        <v>414</v>
      </c>
      <c r="V405" s="51" t="s">
        <v>536</v>
      </c>
    </row>
    <row r="406" spans="1:22">
      <c r="A406" s="20" t="s">
        <v>356</v>
      </c>
      <c r="B406" s="20" t="str">
        <f>'Lin 2006'!A24</f>
        <v>Cariaco Basin</v>
      </c>
      <c r="C406" s="20">
        <f>'Lin 2006'!B24</f>
        <v>1319.6282641944199</v>
      </c>
      <c r="I406" s="51">
        <f>'Lin 2006'!G24</f>
        <v>99107.142857142098</v>
      </c>
      <c r="J406" s="51">
        <f>'Lin 2006'!H24</f>
        <v>73551.933852847593</v>
      </c>
      <c r="K406" s="51">
        <f>'Lin 2006'!I24</f>
        <v>2305.9418714671237</v>
      </c>
      <c r="L406" s="51">
        <f>J406+K406</f>
        <v>75857.875724314712</v>
      </c>
      <c r="M406" s="63">
        <f>L406/I406</f>
        <v>0.76541280010119939</v>
      </c>
      <c r="N406" s="63">
        <f>K406/L406</f>
        <v>3.0398186733404671E-2</v>
      </c>
      <c r="O406" s="63" t="str">
        <f>'Lin 2006'!F24</f>
        <v>FISH</v>
      </c>
      <c r="P406" s="51" t="s">
        <v>535</v>
      </c>
      <c r="Q406" s="51" t="s">
        <v>534</v>
      </c>
      <c r="R406" s="51" t="s">
        <v>246</v>
      </c>
      <c r="S406" s="51" t="s">
        <v>538</v>
      </c>
      <c r="T406" s="51" t="s">
        <v>412</v>
      </c>
      <c r="U406" s="51" t="s">
        <v>414</v>
      </c>
      <c r="V406" s="51" t="s">
        <v>536</v>
      </c>
    </row>
    <row r="407" spans="1:22">
      <c r="A407" s="20" t="s">
        <v>356</v>
      </c>
      <c r="B407" s="20" t="str">
        <f>'Lin 2006'!A42</f>
        <v>Cariaco Basin</v>
      </c>
      <c r="C407" s="20">
        <f>'Lin 2006'!B42</f>
        <v>1319.6282641944199</v>
      </c>
      <c r="I407" s="51">
        <f>'Lin 2006'!G42</f>
        <v>99107.142857142098</v>
      </c>
      <c r="J407" s="51">
        <f>'Lin 2006'!H42</f>
        <v>71573.749156121092</v>
      </c>
      <c r="K407" s="51">
        <f>'Lin 2006'!I42</f>
        <v>10830.314948941101</v>
      </c>
      <c r="L407" s="51">
        <f>J407+K407</f>
        <v>82404.064105062193</v>
      </c>
      <c r="M407" s="63">
        <f>L407/I407</f>
        <v>0.83146443060964292</v>
      </c>
      <c r="N407" s="63">
        <f>K407/L407</f>
        <v>0.13142937871526386</v>
      </c>
      <c r="O407" s="63" t="str">
        <f>'Lin 2006'!F42</f>
        <v>CARDFISH</v>
      </c>
      <c r="P407" s="51" t="s">
        <v>535</v>
      </c>
      <c r="Q407" s="51" t="s">
        <v>534</v>
      </c>
      <c r="R407" s="51" t="s">
        <v>246</v>
      </c>
      <c r="S407" s="51" t="s">
        <v>538</v>
      </c>
      <c r="T407" s="51" t="s">
        <v>412</v>
      </c>
      <c r="U407" s="51" t="s">
        <v>414</v>
      </c>
      <c r="V407" s="51" t="s">
        <v>536</v>
      </c>
    </row>
    <row r="408" spans="1:22">
      <c r="A408" s="20" t="s">
        <v>356</v>
      </c>
      <c r="B408" s="20" t="str">
        <f>'Lin 2006'!A60</f>
        <v>Black Sea</v>
      </c>
      <c r="C408" s="20">
        <f>'Lin 2006'!B60</f>
        <v>1482.62608741552</v>
      </c>
      <c r="I408" s="51">
        <f>'Lin 2006'!G60</f>
        <v>398796.80889131996</v>
      </c>
      <c r="J408" s="51">
        <f>'Lin 2006'!H60</f>
        <v>161174.87583493226</v>
      </c>
      <c r="K408" s="51">
        <f>'Lin 2006'!I60</f>
        <v>24620.946122448157</v>
      </c>
      <c r="L408" s="51">
        <f>J408+K408</f>
        <v>185795.82195738042</v>
      </c>
      <c r="M408" s="63">
        <f>L408/I408</f>
        <v>0.46589094449853902</v>
      </c>
      <c r="N408" s="63">
        <f>K408/L408</f>
        <v>0.13251614521286673</v>
      </c>
      <c r="O408" s="63" t="str">
        <f>'Lin 2006'!F60</f>
        <v>CARDFISH</v>
      </c>
      <c r="P408" s="51" t="s">
        <v>535</v>
      </c>
      <c r="Q408" s="51" t="s">
        <v>534</v>
      </c>
      <c r="R408" s="51" t="s">
        <v>246</v>
      </c>
      <c r="S408" s="51" t="s">
        <v>538</v>
      </c>
      <c r="T408" s="51" t="s">
        <v>412</v>
      </c>
      <c r="U408" s="51" t="s">
        <v>414</v>
      </c>
      <c r="V408" s="51" t="s">
        <v>536</v>
      </c>
    </row>
    <row r="409" spans="1:22">
      <c r="A409" s="20" t="s">
        <v>356</v>
      </c>
      <c r="B409" s="20" t="str">
        <f>'Lin 2006'!A61</f>
        <v>Black Sea</v>
      </c>
      <c r="C409" s="20">
        <f>'Lin 2006'!B61</f>
        <v>1988.80309189071</v>
      </c>
      <c r="I409" s="51">
        <f>'Lin 2006'!G61</f>
        <v>556104.15307217801</v>
      </c>
      <c r="J409" s="51">
        <f>'Lin 2006'!H61</f>
        <v>219154.85284605893</v>
      </c>
      <c r="K409" s="51">
        <f>'Lin 2006'!I61</f>
        <v>36964.41091477294</v>
      </c>
      <c r="L409" s="51">
        <f>J409+K409</f>
        <v>256119.26376083188</v>
      </c>
      <c r="M409" s="63">
        <f>L409/I409</f>
        <v>0.46055988315481899</v>
      </c>
      <c r="N409" s="63">
        <f>K409/L409</f>
        <v>0.1443249928646167</v>
      </c>
      <c r="O409" s="63" t="str">
        <f>'Lin 2006'!F61</f>
        <v>CARDFISH</v>
      </c>
      <c r="P409" s="51" t="s">
        <v>535</v>
      </c>
      <c r="Q409" s="51" t="s">
        <v>534</v>
      </c>
      <c r="R409" s="51" t="s">
        <v>246</v>
      </c>
      <c r="S409" s="51" t="s">
        <v>538</v>
      </c>
      <c r="T409" s="51" t="s">
        <v>412</v>
      </c>
      <c r="U409" s="51" t="s">
        <v>414</v>
      </c>
      <c r="V409" s="51" t="s">
        <v>536</v>
      </c>
    </row>
    <row r="410" spans="1:22">
      <c r="A410" s="20" t="s">
        <v>637</v>
      </c>
      <c r="B410" s="20" t="s">
        <v>839</v>
      </c>
      <c r="I410" s="65">
        <f>'EXD Manini 2008 Figures 1 &amp;4'!D9</f>
        <v>166666.66666666666</v>
      </c>
      <c r="J410" s="51">
        <f>'EXD Manini 2008 Figures 1 &amp;4'!J9</f>
        <v>115212.5279642058</v>
      </c>
      <c r="K410" s="51">
        <f>'EXD Manini 2008 Figures 1 &amp;4'!N9</f>
        <v>51454.138702460856</v>
      </c>
      <c r="L410" s="51">
        <f>J410+K410</f>
        <v>166666.66666666666</v>
      </c>
      <c r="M410" s="63">
        <f>L410/I410</f>
        <v>1</v>
      </c>
      <c r="N410" s="63">
        <f>K410/L410</f>
        <v>0.30872483221476515</v>
      </c>
      <c r="O410" s="63" t="s">
        <v>396</v>
      </c>
      <c r="P410" s="65" t="s">
        <v>366</v>
      </c>
      <c r="Q410" s="65" t="s">
        <v>263</v>
      </c>
      <c r="R410" s="51" t="s">
        <v>246</v>
      </c>
      <c r="S410" s="51" t="s">
        <v>538</v>
      </c>
      <c r="T410" s="20" t="s">
        <v>672</v>
      </c>
      <c r="U410" s="20" t="s">
        <v>634</v>
      </c>
    </row>
    <row r="411" spans="1:22">
      <c r="A411" s="20" t="s">
        <v>637</v>
      </c>
      <c r="B411" s="20" t="s">
        <v>631</v>
      </c>
      <c r="I411" s="65">
        <f>'EXD Manini 2008 Figures 1 &amp;4'!D6</f>
        <v>196666.66666666666</v>
      </c>
      <c r="J411" s="51">
        <f>'EXD Manini 2008 Figures 1 &amp;4'!J6</f>
        <v>137270.69351230425</v>
      </c>
      <c r="K411" s="51">
        <f>'EXD Manini 2008 Figures 1 &amp;4'!N6</f>
        <v>58076.062639821001</v>
      </c>
      <c r="L411" s="51">
        <f>J411+K411</f>
        <v>195346.75615212525</v>
      </c>
      <c r="M411" s="63">
        <f>L411/I411</f>
        <v>0.99328859060402674</v>
      </c>
      <c r="N411" s="63">
        <f>K411/L411</f>
        <v>0.2972972972972972</v>
      </c>
      <c r="O411" s="63" t="s">
        <v>396</v>
      </c>
      <c r="P411" s="65" t="s">
        <v>366</v>
      </c>
      <c r="Q411" s="65" t="s">
        <v>263</v>
      </c>
      <c r="R411" s="51" t="s">
        <v>246</v>
      </c>
      <c r="S411" s="51" t="s">
        <v>538</v>
      </c>
      <c r="T411" s="20" t="s">
        <v>672</v>
      </c>
      <c r="U411" s="20" t="s">
        <v>634</v>
      </c>
    </row>
    <row r="412" spans="1:22">
      <c r="A412" s="20" t="s">
        <v>637</v>
      </c>
      <c r="B412" s="20" t="s">
        <v>632</v>
      </c>
      <c r="I412" s="65">
        <f>'EXD Manini 2008 Figures 1 &amp;4'!D7</f>
        <v>153333.33333333334</v>
      </c>
      <c r="J412" s="51">
        <f>'EXD Manini 2008 Figures 1 &amp;4'!J7</f>
        <v>86442.953020134228</v>
      </c>
      <c r="K412" s="51">
        <f>'EXD Manini 2008 Figures 1 &amp;4'!N7</f>
        <v>66890.380313199115</v>
      </c>
      <c r="L412" s="51">
        <f>J412+K412</f>
        <v>153333.33333333334</v>
      </c>
      <c r="M412" s="63">
        <f>L412/I412</f>
        <v>1</v>
      </c>
      <c r="N412" s="63">
        <f>K412/L412</f>
        <v>0.43624161073825507</v>
      </c>
      <c r="O412" s="63" t="s">
        <v>396</v>
      </c>
      <c r="P412" s="65" t="s">
        <v>366</v>
      </c>
      <c r="Q412" s="65" t="s">
        <v>263</v>
      </c>
      <c r="R412" s="51" t="s">
        <v>246</v>
      </c>
      <c r="S412" s="51" t="s">
        <v>538</v>
      </c>
      <c r="T412" s="20" t="s">
        <v>672</v>
      </c>
      <c r="U412" s="20" t="s">
        <v>634</v>
      </c>
    </row>
    <row r="413" spans="1:22">
      <c r="A413" s="20" t="s">
        <v>637</v>
      </c>
      <c r="B413" s="20" t="s">
        <v>838</v>
      </c>
      <c r="I413" s="65">
        <f>'EXD Manini 2008 Figures 1 &amp;4'!D8</f>
        <v>113333.33333333333</v>
      </c>
      <c r="J413" s="51">
        <f>'EXD Manini 2008 Figures 1 &amp;4'!J8</f>
        <v>65413.870246085004</v>
      </c>
      <c r="K413" s="51">
        <f>'EXD Manini 2008 Figures 1 &amp;4'!N8</f>
        <v>47919.463087248325</v>
      </c>
      <c r="L413" s="51">
        <f>J413+K413</f>
        <v>113333.33333333333</v>
      </c>
      <c r="M413" s="63">
        <f>L413/I413</f>
        <v>1</v>
      </c>
      <c r="N413" s="63">
        <f>K413/L413</f>
        <v>0.42281879194630878</v>
      </c>
      <c r="O413" s="63" t="s">
        <v>396</v>
      </c>
      <c r="P413" s="65" t="s">
        <v>366</v>
      </c>
      <c r="Q413" s="65" t="s">
        <v>263</v>
      </c>
      <c r="R413" s="51" t="s">
        <v>246</v>
      </c>
      <c r="S413" s="51" t="s">
        <v>538</v>
      </c>
      <c r="T413" s="20" t="s">
        <v>672</v>
      </c>
      <c r="U413" s="20" t="s">
        <v>634</v>
      </c>
    </row>
    <row r="414" spans="1:22">
      <c r="A414" s="20" t="s">
        <v>308</v>
      </c>
      <c r="B414" s="20" t="str">
        <f>'Pernthaler 2002'!B6</f>
        <v>Fig2, 40 min lysozyme</v>
      </c>
      <c r="C414" s="20">
        <f>'Pernthaler 2002'!A6</f>
        <v>0</v>
      </c>
      <c r="I414" s="51">
        <f>'Pernthaler 2002'!F6</f>
        <v>402912.62135922298</v>
      </c>
      <c r="J414" s="51">
        <f>'Pernthaler 2002'!G6</f>
        <v>345998.63628809893</v>
      </c>
      <c r="L414" s="51">
        <f>J414</f>
        <v>345998.63628809893</v>
      </c>
      <c r="M414" s="63">
        <f>L414/I414</f>
        <v>0.85874360331745103</v>
      </c>
      <c r="O414" s="63" t="s">
        <v>396</v>
      </c>
      <c r="P414" s="51" t="s">
        <v>535</v>
      </c>
      <c r="Q414" s="51" t="s">
        <v>534</v>
      </c>
      <c r="R414" s="51" t="s">
        <v>246</v>
      </c>
      <c r="S414" s="51" t="s">
        <v>246</v>
      </c>
      <c r="T414" s="51" t="s">
        <v>412</v>
      </c>
      <c r="U414" s="51" t="s">
        <v>309</v>
      </c>
      <c r="V414" s="51" t="s">
        <v>536</v>
      </c>
    </row>
    <row r="415" spans="1:22">
      <c r="A415" s="20" t="s">
        <v>308</v>
      </c>
      <c r="B415" s="20" t="str">
        <f>'Pernthaler 2002'!B7</f>
        <v>German Bight, station 1, transect 1</v>
      </c>
      <c r="C415" s="20">
        <f>'Pernthaler 2002'!A7</f>
        <v>0</v>
      </c>
      <c r="I415" s="51">
        <f>'Pernthaler 2002'!F7</f>
        <v>450000</v>
      </c>
      <c r="J415" s="51">
        <f>'Pernthaler 2002'!G7</f>
        <v>423774.41008950362</v>
      </c>
      <c r="L415" s="51">
        <f>J415</f>
        <v>423774.41008950362</v>
      </c>
      <c r="M415" s="63">
        <f>L415/I415</f>
        <v>0.94172091131000801</v>
      </c>
      <c r="O415" s="63" t="s">
        <v>396</v>
      </c>
      <c r="P415" s="51" t="s">
        <v>535</v>
      </c>
      <c r="Q415" s="51" t="s">
        <v>534</v>
      </c>
      <c r="R415" s="51" t="s">
        <v>246</v>
      </c>
      <c r="S415" s="51" t="s">
        <v>246</v>
      </c>
      <c r="T415" s="51" t="s">
        <v>412</v>
      </c>
      <c r="U415" s="51" t="s">
        <v>309</v>
      </c>
      <c r="V415" s="51" t="s">
        <v>536</v>
      </c>
    </row>
    <row r="416" spans="1:22">
      <c r="A416" s="20" t="s">
        <v>308</v>
      </c>
      <c r="B416" s="20" t="str">
        <f>'Pernthaler 2002'!B7</f>
        <v>German Bight, station 1, transect 1</v>
      </c>
      <c r="C416" s="20">
        <f>'Pernthaler 2002'!A7</f>
        <v>0</v>
      </c>
      <c r="I416" s="51">
        <f>'Pernthaler 2002'!F7</f>
        <v>450000</v>
      </c>
      <c r="J416" s="51">
        <f>'Pernthaler 2002'!H7</f>
        <v>81968.234194954799</v>
      </c>
      <c r="L416" s="51">
        <f>J416</f>
        <v>81968.234194954799</v>
      </c>
      <c r="M416" s="63">
        <f>L416/I416</f>
        <v>0.18215163154434399</v>
      </c>
      <c r="O416" s="63" t="s">
        <v>262</v>
      </c>
      <c r="P416" s="51" t="s">
        <v>535</v>
      </c>
      <c r="Q416" s="51" t="s">
        <v>534</v>
      </c>
      <c r="R416" s="51" t="s">
        <v>247</v>
      </c>
      <c r="S416" s="51" t="s">
        <v>247</v>
      </c>
      <c r="T416" s="51" t="s">
        <v>412</v>
      </c>
      <c r="U416" s="51" t="s">
        <v>309</v>
      </c>
      <c r="V416" s="51" t="s">
        <v>536</v>
      </c>
    </row>
    <row r="417" spans="1:22">
      <c r="A417" s="20" t="s">
        <v>308</v>
      </c>
      <c r="B417" s="20" t="str">
        <f>'Pernthaler 2002'!B15</f>
        <v>German Bight, station 1, transect 2</v>
      </c>
      <c r="C417" s="20">
        <f>'Pernthaler 2002'!A15</f>
        <v>0</v>
      </c>
      <c r="I417" s="51">
        <f>'Pernthaler 2002'!F15</f>
        <v>650000</v>
      </c>
      <c r="J417" s="51">
        <f>'Pernthaler 2002'!G15</f>
        <v>592243.56268467708</v>
      </c>
      <c r="L417" s="51">
        <f>J417</f>
        <v>592243.56268467708</v>
      </c>
      <c r="M417" s="63">
        <f>L417/I417</f>
        <v>0.91114394259181086</v>
      </c>
      <c r="O417" s="63" t="s">
        <v>396</v>
      </c>
      <c r="P417" s="51" t="s">
        <v>535</v>
      </c>
      <c r="Q417" s="51" t="s">
        <v>534</v>
      </c>
      <c r="R417" s="51" t="s">
        <v>246</v>
      </c>
      <c r="S417" s="51" t="s">
        <v>246</v>
      </c>
      <c r="T417" s="51" t="s">
        <v>412</v>
      </c>
      <c r="U417" s="51" t="s">
        <v>309</v>
      </c>
      <c r="V417" s="51" t="s">
        <v>536</v>
      </c>
    </row>
    <row r="418" spans="1:22">
      <c r="A418" s="20" t="s">
        <v>308</v>
      </c>
      <c r="B418" s="20" t="str">
        <f>'Pernthaler 2002'!B15</f>
        <v>German Bight, station 1, transect 2</v>
      </c>
      <c r="C418" s="20">
        <f>'Pernthaler 2002'!A15</f>
        <v>0</v>
      </c>
      <c r="I418" s="51">
        <f>'Pernthaler 2002'!F15</f>
        <v>650000</v>
      </c>
      <c r="J418" s="51">
        <f>'Pernthaler 2002'!H15</f>
        <v>369847.01682814857</v>
      </c>
      <c r="L418" s="51">
        <f>J418</f>
        <v>369847.01682814857</v>
      </c>
      <c r="M418" s="63">
        <f>L418/I418</f>
        <v>0.56899541050484392</v>
      </c>
      <c r="O418" s="63" t="s">
        <v>262</v>
      </c>
      <c r="P418" s="51" t="s">
        <v>535</v>
      </c>
      <c r="Q418" s="51" t="s">
        <v>534</v>
      </c>
      <c r="R418" s="51" t="s">
        <v>247</v>
      </c>
      <c r="S418" s="51" t="s">
        <v>247</v>
      </c>
      <c r="T418" s="51" t="s">
        <v>412</v>
      </c>
      <c r="U418" s="51" t="s">
        <v>309</v>
      </c>
      <c r="V418" s="51" t="s">
        <v>536</v>
      </c>
    </row>
    <row r="419" spans="1:22">
      <c r="A419" s="20" t="s">
        <v>308</v>
      </c>
      <c r="B419" s="20" t="str">
        <f>'Pernthaler 2002'!B21</f>
        <v>German Bight, station 1, transect 3</v>
      </c>
      <c r="C419" s="20">
        <f>'Pernthaler 2002'!A21</f>
        <v>0</v>
      </c>
      <c r="I419" s="51">
        <f>'Pernthaler 2002'!F21</f>
        <v>280000</v>
      </c>
      <c r="J419" s="51">
        <f>'Pernthaler 2002'!G21</f>
        <v>279540.22988505737</v>
      </c>
      <c r="L419" s="51">
        <f>J419</f>
        <v>279540.22988505737</v>
      </c>
      <c r="M419" s="63">
        <f>L419/I419</f>
        <v>0.99835796387520492</v>
      </c>
      <c r="O419" s="63" t="s">
        <v>396</v>
      </c>
      <c r="P419" s="51" t="s">
        <v>535</v>
      </c>
      <c r="Q419" s="51" t="s">
        <v>534</v>
      </c>
      <c r="R419" s="51" t="s">
        <v>246</v>
      </c>
      <c r="S419" s="51" t="s">
        <v>246</v>
      </c>
      <c r="T419" s="51" t="s">
        <v>412</v>
      </c>
      <c r="U419" s="51" t="s">
        <v>309</v>
      </c>
      <c r="V419" s="51" t="s">
        <v>536</v>
      </c>
    </row>
    <row r="420" spans="1:22">
      <c r="A420" s="20" t="s">
        <v>308</v>
      </c>
      <c r="B420" s="20" t="str">
        <f>'Pernthaler 2002'!B21</f>
        <v>German Bight, station 1, transect 3</v>
      </c>
      <c r="C420" s="20">
        <f>'Pernthaler 2002'!A21</f>
        <v>0</v>
      </c>
      <c r="I420" s="51">
        <f>'Pernthaler 2002'!F21</f>
        <v>280000</v>
      </c>
      <c r="J420" s="51">
        <f>'Pernthaler 2002'!H21</f>
        <v>137873.56321839071</v>
      </c>
      <c r="L420" s="51">
        <f>J420</f>
        <v>137873.56321839071</v>
      </c>
      <c r="M420" s="63">
        <f>L420/I420</f>
        <v>0.49240558292282399</v>
      </c>
      <c r="O420" s="63" t="s">
        <v>262</v>
      </c>
      <c r="P420" s="51" t="s">
        <v>535</v>
      </c>
      <c r="Q420" s="51" t="s">
        <v>534</v>
      </c>
      <c r="R420" s="51" t="s">
        <v>247</v>
      </c>
      <c r="S420" s="51" t="s">
        <v>247</v>
      </c>
      <c r="T420" s="51" t="s">
        <v>412</v>
      </c>
      <c r="U420" s="51" t="s">
        <v>309</v>
      </c>
      <c r="V420" s="51" t="s">
        <v>536</v>
      </c>
    </row>
    <row r="421" spans="1:22">
      <c r="A421" s="20" t="s">
        <v>308</v>
      </c>
      <c r="B421" s="20" t="str">
        <f>'Pernthaler 2002'!B8</f>
        <v>German Bight, station 2, transect 1</v>
      </c>
      <c r="C421" s="20">
        <f>'Pernthaler 2002'!A8</f>
        <v>0</v>
      </c>
      <c r="I421" s="51">
        <f>'Pernthaler 2002'!F8</f>
        <v>420000</v>
      </c>
      <c r="J421" s="51">
        <f>'Pernthaler 2002'!G8</f>
        <v>404493.4906427986</v>
      </c>
      <c r="L421" s="51">
        <f>J421</f>
        <v>404493.4906427986</v>
      </c>
      <c r="M421" s="63">
        <f>L421/I421</f>
        <v>0.96307973962571092</v>
      </c>
      <c r="O421" s="63" t="s">
        <v>396</v>
      </c>
      <c r="P421" s="51" t="s">
        <v>535</v>
      </c>
      <c r="Q421" s="51" t="s">
        <v>534</v>
      </c>
      <c r="R421" s="51" t="s">
        <v>246</v>
      </c>
      <c r="S421" s="51" t="s">
        <v>246</v>
      </c>
      <c r="T421" s="51" t="s">
        <v>412</v>
      </c>
      <c r="U421" s="51" t="s">
        <v>309</v>
      </c>
      <c r="V421" s="51" t="s">
        <v>536</v>
      </c>
    </row>
    <row r="422" spans="1:22">
      <c r="A422" s="20" t="s">
        <v>308</v>
      </c>
      <c r="B422" s="20" t="str">
        <f>'Pernthaler 2002'!B8</f>
        <v>German Bight, station 2, transect 1</v>
      </c>
      <c r="C422" s="20">
        <f>'Pernthaler 2002'!A8</f>
        <v>0</v>
      </c>
      <c r="I422" s="51">
        <f>'Pernthaler 2002'!F8</f>
        <v>420000</v>
      </c>
      <c r="J422" s="51">
        <f>'Pernthaler 2002'!H8</f>
        <v>74509.498598567254</v>
      </c>
      <c r="L422" s="51">
        <f>J422</f>
        <v>74509.498598567254</v>
      </c>
      <c r="M422" s="63">
        <f>L422/I422</f>
        <v>0.17740356809182681</v>
      </c>
      <c r="O422" s="63" t="s">
        <v>262</v>
      </c>
      <c r="P422" s="51" t="s">
        <v>535</v>
      </c>
      <c r="Q422" s="51" t="s">
        <v>534</v>
      </c>
      <c r="R422" s="51" t="s">
        <v>247</v>
      </c>
      <c r="S422" s="51" t="s">
        <v>247</v>
      </c>
      <c r="T422" s="51" t="s">
        <v>412</v>
      </c>
      <c r="U422" s="51" t="s">
        <v>309</v>
      </c>
      <c r="V422" s="51" t="s">
        <v>536</v>
      </c>
    </row>
    <row r="423" spans="1:22">
      <c r="A423" s="20" t="s">
        <v>308</v>
      </c>
      <c r="B423" s="20" t="str">
        <f>'Pernthaler 2002'!B16</f>
        <v>German Bight, station 2, transect 2</v>
      </c>
      <c r="C423" s="20">
        <f>'Pernthaler 2002'!A16</f>
        <v>0</v>
      </c>
      <c r="I423" s="51">
        <f>'Pernthaler 2002'!F16</f>
        <v>630000</v>
      </c>
      <c r="J423" s="51">
        <f>'Pernthaler 2002'!G16</f>
        <v>563449.76783452916</v>
      </c>
      <c r="L423" s="51">
        <f>J423</f>
        <v>563449.76783452916</v>
      </c>
      <c r="M423" s="63">
        <f>L423/I423</f>
        <v>0.89436471084845903</v>
      </c>
      <c r="O423" s="63" t="s">
        <v>396</v>
      </c>
      <c r="P423" s="51" t="s">
        <v>535</v>
      </c>
      <c r="Q423" s="51" t="s">
        <v>534</v>
      </c>
      <c r="R423" s="51" t="s">
        <v>246</v>
      </c>
      <c r="S423" s="51" t="s">
        <v>246</v>
      </c>
      <c r="T423" s="51" t="s">
        <v>412</v>
      </c>
      <c r="U423" s="51" t="s">
        <v>309</v>
      </c>
      <c r="V423" s="51" t="s">
        <v>536</v>
      </c>
    </row>
    <row r="424" spans="1:22">
      <c r="A424" s="20" t="s">
        <v>308</v>
      </c>
      <c r="B424" s="20" t="str">
        <f>'Pernthaler 2002'!B16</f>
        <v>German Bight, station 2, transect 2</v>
      </c>
      <c r="C424" s="20">
        <f>'Pernthaler 2002'!A16</f>
        <v>0</v>
      </c>
      <c r="I424" s="51">
        <f>'Pernthaler 2002'!F16</f>
        <v>630000</v>
      </c>
      <c r="J424" s="51">
        <f>'Pernthaler 2002'!H16</f>
        <v>269541.05048444634</v>
      </c>
      <c r="L424" s="51">
        <f>J424</f>
        <v>269541.05048444634</v>
      </c>
      <c r="M424" s="63">
        <f>L424/I424</f>
        <v>0.42784293727689898</v>
      </c>
      <c r="O424" s="63" t="s">
        <v>262</v>
      </c>
      <c r="P424" s="51" t="s">
        <v>535</v>
      </c>
      <c r="Q424" s="51" t="s">
        <v>534</v>
      </c>
      <c r="R424" s="51" t="s">
        <v>247</v>
      </c>
      <c r="S424" s="51" t="s">
        <v>247</v>
      </c>
      <c r="T424" s="51" t="s">
        <v>412</v>
      </c>
      <c r="U424" s="51" t="s">
        <v>309</v>
      </c>
      <c r="V424" s="51" t="s">
        <v>536</v>
      </c>
    </row>
    <row r="425" spans="1:22">
      <c r="A425" s="20" t="s">
        <v>308</v>
      </c>
      <c r="B425" s="20" t="str">
        <f>'Pernthaler 2002'!B22</f>
        <v>German Bight, station 2, transect 3</v>
      </c>
      <c r="C425" s="20">
        <f>'Pernthaler 2002'!A22</f>
        <v>0</v>
      </c>
      <c r="I425" s="51">
        <f>'Pernthaler 2002'!F22</f>
        <v>170000</v>
      </c>
      <c r="J425" s="51">
        <f>'Pernthaler 2002'!G22</f>
        <v>161311.57635467971</v>
      </c>
      <c r="L425" s="51">
        <f>J425</f>
        <v>161311.57635467971</v>
      </c>
      <c r="M425" s="63">
        <f>L425/I425</f>
        <v>0.94889162561576301</v>
      </c>
      <c r="O425" s="63" t="s">
        <v>396</v>
      </c>
      <c r="P425" s="51" t="s">
        <v>535</v>
      </c>
      <c r="Q425" s="51" t="s">
        <v>534</v>
      </c>
      <c r="R425" s="51" t="s">
        <v>246</v>
      </c>
      <c r="S425" s="51" t="s">
        <v>246</v>
      </c>
      <c r="T425" s="51" t="s">
        <v>412</v>
      </c>
      <c r="U425" s="51" t="s">
        <v>309</v>
      </c>
      <c r="V425" s="51" t="s">
        <v>536</v>
      </c>
    </row>
    <row r="426" spans="1:22">
      <c r="A426" s="20" t="s">
        <v>308</v>
      </c>
      <c r="B426" s="20" t="str">
        <f>'Pernthaler 2002'!B22</f>
        <v>German Bight, station 2, transect 3</v>
      </c>
      <c r="C426" s="20">
        <f>'Pernthaler 2002'!A22</f>
        <v>0</v>
      </c>
      <c r="I426" s="51">
        <f>'Pernthaler 2002'!F22</f>
        <v>170000</v>
      </c>
      <c r="J426" s="51">
        <f>'Pernthaler 2002'!H22</f>
        <v>85139.573070607483</v>
      </c>
      <c r="L426" s="51">
        <f>J426</f>
        <v>85139.573070607483</v>
      </c>
      <c r="M426" s="63">
        <f>L426/I426</f>
        <v>0.50082101806239698</v>
      </c>
      <c r="O426" s="63" t="s">
        <v>262</v>
      </c>
      <c r="P426" s="51" t="s">
        <v>535</v>
      </c>
      <c r="Q426" s="51" t="s">
        <v>534</v>
      </c>
      <c r="R426" s="51" t="s">
        <v>247</v>
      </c>
      <c r="S426" s="51" t="s">
        <v>247</v>
      </c>
      <c r="T426" s="51" t="s">
        <v>412</v>
      </c>
      <c r="U426" s="51" t="s">
        <v>309</v>
      </c>
      <c r="V426" s="51" t="s">
        <v>536</v>
      </c>
    </row>
    <row r="427" spans="1:22">
      <c r="A427" s="20" t="s">
        <v>308</v>
      </c>
      <c r="B427" s="20" t="str">
        <f>'Pernthaler 2002'!B9</f>
        <v>German Bight, station 3, transect 1</v>
      </c>
      <c r="C427" s="20">
        <f>'Pernthaler 2002'!A9</f>
        <v>0</v>
      </c>
      <c r="I427" s="51">
        <f>'Pernthaler 2002'!F9</f>
        <v>250000</v>
      </c>
      <c r="J427" s="51">
        <f>'Pernthaler 2002'!G9</f>
        <v>231743.28722538624</v>
      </c>
      <c r="L427" s="51">
        <f>J427</f>
        <v>231743.28722538624</v>
      </c>
      <c r="M427" s="63">
        <f>L427/I427</f>
        <v>0.92697314890154503</v>
      </c>
      <c r="O427" s="63" t="s">
        <v>396</v>
      </c>
      <c r="P427" s="51" t="s">
        <v>535</v>
      </c>
      <c r="Q427" s="51" t="s">
        <v>534</v>
      </c>
      <c r="R427" s="51" t="s">
        <v>246</v>
      </c>
      <c r="S427" s="51" t="s">
        <v>246</v>
      </c>
      <c r="T427" s="51" t="s">
        <v>412</v>
      </c>
      <c r="U427" s="51" t="s">
        <v>309</v>
      </c>
      <c r="V427" s="51" t="s">
        <v>536</v>
      </c>
    </row>
    <row r="428" spans="1:22">
      <c r="A428" s="20" t="s">
        <v>308</v>
      </c>
      <c r="B428" s="20" t="str">
        <f>'Pernthaler 2002'!B9</f>
        <v>German Bight, station 3, transect 1</v>
      </c>
      <c r="C428" s="20">
        <f>'Pernthaler 2002'!A9</f>
        <v>0</v>
      </c>
      <c r="I428" s="51">
        <f>'Pernthaler 2002'!F9</f>
        <v>250000</v>
      </c>
      <c r="J428" s="51">
        <f>'Pernthaler 2002'!H9</f>
        <v>282528.80722516321</v>
      </c>
      <c r="L428" s="51">
        <f>J428</f>
        <v>282528.80722516321</v>
      </c>
      <c r="M428" s="63">
        <f>L428/I428</f>
        <v>1.1301152289006529</v>
      </c>
      <c r="O428" s="63" t="s">
        <v>262</v>
      </c>
      <c r="P428" s="51" t="s">
        <v>535</v>
      </c>
      <c r="Q428" s="51" t="s">
        <v>534</v>
      </c>
      <c r="R428" s="51" t="s">
        <v>247</v>
      </c>
      <c r="S428" s="51" t="s">
        <v>247</v>
      </c>
      <c r="T428" s="51" t="s">
        <v>412</v>
      </c>
      <c r="U428" s="51" t="s">
        <v>309</v>
      </c>
      <c r="V428" s="51" t="s">
        <v>536</v>
      </c>
    </row>
    <row r="429" spans="1:22">
      <c r="A429" s="20" t="s">
        <v>308</v>
      </c>
      <c r="B429" s="20" t="str">
        <f>'Pernthaler 2002'!B17</f>
        <v>German Bight, station 3, transect 2</v>
      </c>
      <c r="C429" s="20">
        <f>'Pernthaler 2002'!A17</f>
        <v>0</v>
      </c>
      <c r="I429" s="51">
        <f>'Pernthaler 2002'!F17</f>
        <v>509999.99999999994</v>
      </c>
      <c r="J429" s="51">
        <f>'Pernthaler 2002'!G17</f>
        <v>441594.55466441525</v>
      </c>
      <c r="L429" s="51">
        <f>J429</f>
        <v>441594.55466441525</v>
      </c>
      <c r="M429" s="63">
        <f>L429/I429</f>
        <v>0.86587167581257907</v>
      </c>
      <c r="O429" s="63" t="s">
        <v>396</v>
      </c>
      <c r="P429" s="51" t="s">
        <v>535</v>
      </c>
      <c r="Q429" s="51" t="s">
        <v>534</v>
      </c>
      <c r="R429" s="51" t="s">
        <v>246</v>
      </c>
      <c r="S429" s="51" t="s">
        <v>246</v>
      </c>
      <c r="T429" s="51" t="s">
        <v>412</v>
      </c>
      <c r="U429" s="51" t="s">
        <v>309</v>
      </c>
      <c r="V429" s="51" t="s">
        <v>536</v>
      </c>
    </row>
    <row r="430" spans="1:22">
      <c r="A430" s="20" t="s">
        <v>308</v>
      </c>
      <c r="B430" s="20" t="str">
        <f>'Pernthaler 2002'!B17</f>
        <v>German Bight, station 3, transect 2</v>
      </c>
      <c r="C430" s="20">
        <f>'Pernthaler 2002'!A17</f>
        <v>0</v>
      </c>
      <c r="I430" s="51">
        <f>'Pernthaler 2002'!F17</f>
        <v>509999.99999999994</v>
      </c>
      <c r="J430" s="51">
        <f>'Pernthaler 2002'!H17</f>
        <v>252893.42172361017</v>
      </c>
      <c r="L430" s="51">
        <f>J430</f>
        <v>252893.42172361017</v>
      </c>
      <c r="M430" s="63">
        <f>L430/I430</f>
        <v>0.49586945436002</v>
      </c>
      <c r="O430" s="63" t="s">
        <v>262</v>
      </c>
      <c r="P430" s="51" t="s">
        <v>535</v>
      </c>
      <c r="Q430" s="51" t="s">
        <v>534</v>
      </c>
      <c r="R430" s="51" t="s">
        <v>247</v>
      </c>
      <c r="S430" s="51" t="s">
        <v>247</v>
      </c>
      <c r="T430" s="51" t="s">
        <v>412</v>
      </c>
      <c r="U430" s="51" t="s">
        <v>309</v>
      </c>
      <c r="V430" s="51" t="s">
        <v>536</v>
      </c>
    </row>
    <row r="431" spans="1:22">
      <c r="A431" s="20" t="s">
        <v>308</v>
      </c>
      <c r="B431" s="20" t="str">
        <f>'Pernthaler 2002'!B23</f>
        <v>German Bight, station 3, transect 3</v>
      </c>
      <c r="C431" s="20">
        <f>'Pernthaler 2002'!A23</f>
        <v>0</v>
      </c>
      <c r="I431" s="51">
        <f>'Pernthaler 2002'!F23</f>
        <v>240000</v>
      </c>
      <c r="J431" s="51">
        <f>'Pernthaler 2002'!G23</f>
        <v>232512.31527093574</v>
      </c>
      <c r="L431" s="51">
        <f>J431</f>
        <v>232512.31527093574</v>
      </c>
      <c r="M431" s="63">
        <f>L431/I431</f>
        <v>0.96880131362889887</v>
      </c>
      <c r="O431" s="63" t="s">
        <v>396</v>
      </c>
      <c r="P431" s="51" t="s">
        <v>535</v>
      </c>
      <c r="Q431" s="51" t="s">
        <v>534</v>
      </c>
      <c r="R431" s="51" t="s">
        <v>246</v>
      </c>
      <c r="S431" s="51" t="s">
        <v>246</v>
      </c>
      <c r="T431" s="51" t="s">
        <v>412</v>
      </c>
      <c r="U431" s="51" t="s">
        <v>309</v>
      </c>
      <c r="V431" s="51" t="s">
        <v>536</v>
      </c>
    </row>
    <row r="432" spans="1:22">
      <c r="A432" s="20" t="s">
        <v>308</v>
      </c>
      <c r="B432" s="20" t="str">
        <f>'Pernthaler 2002'!B23</f>
        <v>German Bight, station 3, transect 3</v>
      </c>
      <c r="C432" s="20">
        <f>'Pernthaler 2002'!A23</f>
        <v>0</v>
      </c>
      <c r="I432" s="51">
        <f>'Pernthaler 2002'!F23</f>
        <v>240000</v>
      </c>
      <c r="J432" s="51">
        <f>'Pernthaler 2002'!H23</f>
        <v>135862.06896551713</v>
      </c>
      <c r="L432" s="51">
        <f>J432</f>
        <v>135862.06896551713</v>
      </c>
      <c r="M432" s="63">
        <f>L432/I432</f>
        <v>0.56609195402298806</v>
      </c>
      <c r="O432" s="63" t="s">
        <v>262</v>
      </c>
      <c r="P432" s="51" t="s">
        <v>535</v>
      </c>
      <c r="Q432" s="51" t="s">
        <v>534</v>
      </c>
      <c r="R432" s="51" t="s">
        <v>247</v>
      </c>
      <c r="S432" s="51" t="s">
        <v>247</v>
      </c>
      <c r="T432" s="51" t="s">
        <v>412</v>
      </c>
      <c r="U432" s="51" t="s">
        <v>309</v>
      </c>
      <c r="V432" s="51" t="s">
        <v>536</v>
      </c>
    </row>
    <row r="433" spans="1:22">
      <c r="A433" s="20" t="s">
        <v>308</v>
      </c>
      <c r="B433" s="20" t="str">
        <f>'Pernthaler 2002'!B10</f>
        <v>German Bight, station 4, transect 1</v>
      </c>
      <c r="C433" s="20">
        <f>'Pernthaler 2002'!A10</f>
        <v>0</v>
      </c>
      <c r="I433" s="51">
        <f>'Pernthaler 2002'!F10</f>
        <v>600000</v>
      </c>
      <c r="J433" s="51">
        <f>'Pernthaler 2002'!G10</f>
        <v>541415.78519121173</v>
      </c>
      <c r="L433" s="51">
        <f>J433</f>
        <v>541415.78519121173</v>
      </c>
      <c r="M433" s="63">
        <f>L433/I433</f>
        <v>0.9023596419853529</v>
      </c>
      <c r="O433" s="63" t="s">
        <v>396</v>
      </c>
      <c r="P433" s="51" t="s">
        <v>535</v>
      </c>
      <c r="Q433" s="51" t="s">
        <v>534</v>
      </c>
      <c r="R433" s="51" t="s">
        <v>246</v>
      </c>
      <c r="S433" s="51" t="s">
        <v>246</v>
      </c>
      <c r="T433" s="51" t="s">
        <v>412</v>
      </c>
      <c r="U433" s="51" t="s">
        <v>309</v>
      </c>
      <c r="V433" s="51" t="s">
        <v>536</v>
      </c>
    </row>
    <row r="434" spans="1:22">
      <c r="A434" s="20" t="s">
        <v>308</v>
      </c>
      <c r="B434" s="20" t="str">
        <f>'Pernthaler 2002'!B10</f>
        <v>German Bight, station 4, transect 1</v>
      </c>
      <c r="C434" s="20">
        <f>'Pernthaler 2002'!A10</f>
        <v>0</v>
      </c>
      <c r="I434" s="51">
        <f>'Pernthaler 2002'!F10</f>
        <v>600000</v>
      </c>
      <c r="J434" s="51">
        <f>'Pernthaler 2002'!H10</f>
        <v>233183.8471919439</v>
      </c>
      <c r="L434" s="51">
        <f>J434</f>
        <v>233183.8471919439</v>
      </c>
      <c r="M434" s="63">
        <f>L434/I434</f>
        <v>0.38863974531990653</v>
      </c>
      <c r="O434" s="63" t="s">
        <v>262</v>
      </c>
      <c r="P434" s="51" t="s">
        <v>535</v>
      </c>
      <c r="Q434" s="51" t="s">
        <v>534</v>
      </c>
      <c r="R434" s="51" t="s">
        <v>247</v>
      </c>
      <c r="S434" s="51" t="s">
        <v>247</v>
      </c>
      <c r="T434" s="51" t="s">
        <v>412</v>
      </c>
      <c r="U434" s="51" t="s">
        <v>309</v>
      </c>
      <c r="V434" s="51" t="s">
        <v>536</v>
      </c>
    </row>
    <row r="435" spans="1:22">
      <c r="A435" s="20" t="s">
        <v>308</v>
      </c>
      <c r="B435" s="20" t="str">
        <f>'Pernthaler 2002'!B18</f>
        <v>German Bight, station 4, transect 2</v>
      </c>
      <c r="C435" s="20">
        <f>'Pernthaler 2002'!A18</f>
        <v>0</v>
      </c>
      <c r="I435" s="51">
        <f>'Pernthaler 2002'!F18</f>
        <v>320000</v>
      </c>
      <c r="J435" s="51">
        <f>'Pernthaler 2002'!G18</f>
        <v>301696.91853102559</v>
      </c>
      <c r="L435" s="51">
        <f>J435</f>
        <v>301696.91853102559</v>
      </c>
      <c r="M435" s="63">
        <f>L435/I435</f>
        <v>0.94280287040945499</v>
      </c>
      <c r="O435" s="63" t="s">
        <v>396</v>
      </c>
      <c r="P435" s="51" t="s">
        <v>535</v>
      </c>
      <c r="Q435" s="51" t="s">
        <v>534</v>
      </c>
      <c r="R435" s="51" t="s">
        <v>246</v>
      </c>
      <c r="S435" s="51" t="s">
        <v>246</v>
      </c>
      <c r="T435" s="51" t="s">
        <v>412</v>
      </c>
      <c r="U435" s="51" t="s">
        <v>309</v>
      </c>
      <c r="V435" s="51" t="s">
        <v>536</v>
      </c>
    </row>
    <row r="436" spans="1:22">
      <c r="A436" s="20" t="s">
        <v>308</v>
      </c>
      <c r="B436" s="20" t="str">
        <f>'Pernthaler 2002'!B18</f>
        <v>German Bight, station 4, transect 2</v>
      </c>
      <c r="C436" s="20">
        <f>'Pernthaler 2002'!A18</f>
        <v>0</v>
      </c>
      <c r="I436" s="51">
        <f>'Pernthaler 2002'!F18</f>
        <v>320000</v>
      </c>
      <c r="J436" s="51">
        <f>'Pernthaler 2002'!H18</f>
        <v>135898.01121876575</v>
      </c>
      <c r="L436" s="51">
        <f>J436</f>
        <v>135898.01121876575</v>
      </c>
      <c r="M436" s="63">
        <f>L436/I436</f>
        <v>0.42468128505864294</v>
      </c>
      <c r="O436" s="63" t="s">
        <v>262</v>
      </c>
      <c r="P436" s="51" t="s">
        <v>535</v>
      </c>
      <c r="Q436" s="51" t="s">
        <v>534</v>
      </c>
      <c r="R436" s="51" t="s">
        <v>247</v>
      </c>
      <c r="S436" s="51" t="s">
        <v>247</v>
      </c>
      <c r="T436" s="51" t="s">
        <v>412</v>
      </c>
      <c r="U436" s="51" t="s">
        <v>309</v>
      </c>
      <c r="V436" s="51" t="s">
        <v>536</v>
      </c>
    </row>
    <row r="437" spans="1:22">
      <c r="A437" s="20" t="s">
        <v>308</v>
      </c>
      <c r="B437" s="20" t="str">
        <f>'Pernthaler 2002'!B24</f>
        <v>German Bight, station 4, transect 3</v>
      </c>
      <c r="C437" s="20">
        <f>'Pernthaler 2002'!A24</f>
        <v>0</v>
      </c>
      <c r="I437" s="51">
        <f>'Pernthaler 2002'!F24</f>
        <v>260000</v>
      </c>
      <c r="J437" s="51">
        <f>'Pernthaler 2002'!G24</f>
        <v>256958.12807881762</v>
      </c>
      <c r="L437" s="51">
        <f>J437</f>
        <v>256958.12807881762</v>
      </c>
      <c r="M437" s="63">
        <f>L437/I437</f>
        <v>0.98830049261083697</v>
      </c>
      <c r="O437" s="63" t="s">
        <v>396</v>
      </c>
      <c r="P437" s="51" t="s">
        <v>535</v>
      </c>
      <c r="Q437" s="51" t="s">
        <v>534</v>
      </c>
      <c r="R437" s="51" t="s">
        <v>246</v>
      </c>
      <c r="S437" s="51" t="s">
        <v>246</v>
      </c>
      <c r="T437" s="51" t="s">
        <v>412</v>
      </c>
      <c r="U437" s="51" t="s">
        <v>309</v>
      </c>
      <c r="V437" s="51" t="s">
        <v>536</v>
      </c>
    </row>
    <row r="438" spans="1:22">
      <c r="A438" s="20" t="s">
        <v>308</v>
      </c>
      <c r="B438" s="20" t="str">
        <f>'Pernthaler 2002'!B24</f>
        <v>German Bight, station 4, transect 3</v>
      </c>
      <c r="C438" s="20">
        <f>'Pernthaler 2002'!A24</f>
        <v>0</v>
      </c>
      <c r="I438" s="51">
        <f>'Pernthaler 2002'!F24</f>
        <v>260000</v>
      </c>
      <c r="J438" s="51">
        <f>'Pernthaler 2002'!H24</f>
        <v>122475.36945812794</v>
      </c>
      <c r="L438" s="51">
        <f>J438</f>
        <v>122475.36945812794</v>
      </c>
      <c r="M438" s="63">
        <f>L438/I438</f>
        <v>0.4710591133004921</v>
      </c>
      <c r="O438" s="63" t="s">
        <v>262</v>
      </c>
      <c r="P438" s="51" t="s">
        <v>535</v>
      </c>
      <c r="Q438" s="51" t="s">
        <v>534</v>
      </c>
      <c r="R438" s="51" t="s">
        <v>247</v>
      </c>
      <c r="S438" s="51" t="s">
        <v>247</v>
      </c>
      <c r="T438" s="51" t="s">
        <v>412</v>
      </c>
      <c r="U438" s="51" t="s">
        <v>309</v>
      </c>
      <c r="V438" s="51" t="s">
        <v>536</v>
      </c>
    </row>
    <row r="439" spans="1:22">
      <c r="A439" s="20" t="s">
        <v>308</v>
      </c>
      <c r="B439" s="20" t="str">
        <f>'Pernthaler 2002'!B11</f>
        <v>German Bight, station 5, transect 1</v>
      </c>
      <c r="C439" s="20">
        <f>'Pernthaler 2002'!A11</f>
        <v>0</v>
      </c>
      <c r="I439" s="51">
        <f>'Pernthaler 2002'!F11</f>
        <v>620000</v>
      </c>
      <c r="J439" s="51">
        <f>'Pernthaler 2002'!G11</f>
        <v>565579.73962571146</v>
      </c>
      <c r="L439" s="51">
        <f>J439</f>
        <v>565579.73962571146</v>
      </c>
      <c r="M439" s="63">
        <f>L439/I439</f>
        <v>0.91222538649308305</v>
      </c>
      <c r="O439" s="63" t="s">
        <v>396</v>
      </c>
      <c r="P439" s="51" t="s">
        <v>535</v>
      </c>
      <c r="Q439" s="51" t="s">
        <v>534</v>
      </c>
      <c r="R439" s="51" t="s">
        <v>246</v>
      </c>
      <c r="S439" s="51" t="s">
        <v>246</v>
      </c>
      <c r="T439" s="51" t="s">
        <v>412</v>
      </c>
      <c r="U439" s="51" t="s">
        <v>309</v>
      </c>
      <c r="V439" s="51" t="s">
        <v>536</v>
      </c>
    </row>
    <row r="440" spans="1:22">
      <c r="A440" s="20" t="s">
        <v>308</v>
      </c>
      <c r="B440" s="20" t="str">
        <f>'Pernthaler 2002'!B11</f>
        <v>German Bight, station 5, transect 1</v>
      </c>
      <c r="C440" s="20">
        <f>'Pernthaler 2002'!A11</f>
        <v>0</v>
      </c>
      <c r="I440" s="51">
        <f>'Pernthaler 2002'!F11</f>
        <v>620000</v>
      </c>
      <c r="J440" s="51">
        <f>'Pernthaler 2002'!H11</f>
        <v>364247.8978511364</v>
      </c>
      <c r="L440" s="51">
        <f>J440</f>
        <v>364247.8978511364</v>
      </c>
      <c r="M440" s="63">
        <f>L440/I440</f>
        <v>0.58749660943731674</v>
      </c>
      <c r="O440" s="63" t="s">
        <v>262</v>
      </c>
      <c r="P440" s="51" t="s">
        <v>535</v>
      </c>
      <c r="Q440" s="51" t="s">
        <v>534</v>
      </c>
      <c r="R440" s="51" t="s">
        <v>247</v>
      </c>
      <c r="S440" s="51" t="s">
        <v>247</v>
      </c>
      <c r="T440" s="51" t="s">
        <v>412</v>
      </c>
      <c r="U440" s="51" t="s">
        <v>309</v>
      </c>
      <c r="V440" s="51" t="s">
        <v>536</v>
      </c>
    </row>
    <row r="441" spans="1:22">
      <c r="A441" s="20" t="s">
        <v>308</v>
      </c>
      <c r="B441" s="20" t="str">
        <f>'Pernthaler 2002'!B19</f>
        <v>German Bight, station 5, transect 2</v>
      </c>
      <c r="C441" s="20">
        <f>'Pernthaler 2002'!A19</f>
        <v>0</v>
      </c>
      <c r="I441" s="51">
        <f>'Pernthaler 2002'!F19</f>
        <v>320000</v>
      </c>
      <c r="J441" s="51">
        <f>'Pernthaler 2002'!G19</f>
        <v>303723.08991135488</v>
      </c>
      <c r="L441" s="51">
        <f>J441</f>
        <v>303723.08991135488</v>
      </c>
      <c r="M441" s="63">
        <f>L441/I441</f>
        <v>0.94913465597298396</v>
      </c>
      <c r="O441" s="63" t="s">
        <v>396</v>
      </c>
      <c r="P441" s="51" t="s">
        <v>535</v>
      </c>
      <c r="Q441" s="51" t="s">
        <v>534</v>
      </c>
      <c r="R441" s="51" t="s">
        <v>246</v>
      </c>
      <c r="S441" s="51" t="s">
        <v>246</v>
      </c>
      <c r="T441" s="51" t="s">
        <v>412</v>
      </c>
      <c r="U441" s="51" t="s">
        <v>309</v>
      </c>
      <c r="V441" s="51" t="s">
        <v>536</v>
      </c>
    </row>
    <row r="442" spans="1:22">
      <c r="A442" s="20" t="s">
        <v>308</v>
      </c>
      <c r="B442" s="20" t="str">
        <f>'Pernthaler 2002'!B19</f>
        <v>German Bight, station 5, transect 2</v>
      </c>
      <c r="C442" s="20">
        <f>'Pernthaler 2002'!A19</f>
        <v>0</v>
      </c>
      <c r="I442" s="51">
        <f>'Pernthaler 2002'!F19</f>
        <v>320000</v>
      </c>
      <c r="J442" s="51">
        <f>'Pernthaler 2002'!H19</f>
        <v>179989.80112187649</v>
      </c>
      <c r="L442" s="51">
        <f>J442</f>
        <v>179989.80112187649</v>
      </c>
      <c r="M442" s="63">
        <f>L442/I442</f>
        <v>0.56246812850586403</v>
      </c>
      <c r="O442" s="63" t="s">
        <v>262</v>
      </c>
      <c r="P442" s="51" t="s">
        <v>535</v>
      </c>
      <c r="Q442" s="51" t="s">
        <v>534</v>
      </c>
      <c r="R442" s="51" t="s">
        <v>247</v>
      </c>
      <c r="S442" s="51" t="s">
        <v>247</v>
      </c>
      <c r="T442" s="51" t="s">
        <v>412</v>
      </c>
      <c r="U442" s="51" t="s">
        <v>309</v>
      </c>
      <c r="V442" s="51" t="s">
        <v>536</v>
      </c>
    </row>
    <row r="443" spans="1:22">
      <c r="A443" s="20" t="s">
        <v>308</v>
      </c>
      <c r="B443" s="20" t="str">
        <f>'Pernthaler 2002'!B25</f>
        <v>German Bight, station 5, transect 3</v>
      </c>
      <c r="C443" s="20">
        <f>'Pernthaler 2002'!A25</f>
        <v>0</v>
      </c>
      <c r="I443" s="51">
        <f>'Pernthaler 2002'!F25</f>
        <v>250000</v>
      </c>
      <c r="J443" s="51">
        <f>'Pernthaler 2002'!G25</f>
        <v>249127.66830870253</v>
      </c>
      <c r="L443" s="51">
        <f>J443</f>
        <v>249127.66830870253</v>
      </c>
      <c r="M443" s="63">
        <f>L443/I443</f>
        <v>0.99651067323481013</v>
      </c>
      <c r="O443" s="63" t="s">
        <v>396</v>
      </c>
      <c r="P443" s="51" t="s">
        <v>535</v>
      </c>
      <c r="Q443" s="51" t="s">
        <v>534</v>
      </c>
      <c r="R443" s="51" t="s">
        <v>246</v>
      </c>
      <c r="S443" s="51" t="s">
        <v>246</v>
      </c>
      <c r="T443" s="51" t="s">
        <v>412</v>
      </c>
      <c r="U443" s="51" t="s">
        <v>309</v>
      </c>
      <c r="V443" s="51" t="s">
        <v>536</v>
      </c>
    </row>
    <row r="444" spans="1:22">
      <c r="A444" s="20" t="s">
        <v>308</v>
      </c>
      <c r="B444" s="20" t="str">
        <f>'Pernthaler 2002'!B25</f>
        <v>German Bight, station 5, transect 3</v>
      </c>
      <c r="C444" s="20">
        <f>'Pernthaler 2002'!A25</f>
        <v>0</v>
      </c>
      <c r="I444" s="51">
        <f>'Pernthaler 2002'!F25</f>
        <v>250000</v>
      </c>
      <c r="J444" s="51">
        <f>'Pernthaler 2002'!H25</f>
        <v>119817.3234811165</v>
      </c>
      <c r="L444" s="51">
        <f>J444</f>
        <v>119817.3234811165</v>
      </c>
      <c r="M444" s="63">
        <f>L444/I444</f>
        <v>0.47926929392446599</v>
      </c>
      <c r="O444" s="63" t="s">
        <v>262</v>
      </c>
      <c r="P444" s="51" t="s">
        <v>535</v>
      </c>
      <c r="Q444" s="51" t="s">
        <v>534</v>
      </c>
      <c r="R444" s="51" t="s">
        <v>247</v>
      </c>
      <c r="S444" s="51" t="s">
        <v>247</v>
      </c>
      <c r="T444" s="51" t="s">
        <v>412</v>
      </c>
      <c r="U444" s="51" t="s">
        <v>309</v>
      </c>
      <c r="V444" s="51" t="s">
        <v>536</v>
      </c>
    </row>
    <row r="445" spans="1:22">
      <c r="A445" s="20" t="s">
        <v>308</v>
      </c>
      <c r="B445" s="20" t="str">
        <f>'Pernthaler 2002'!B12</f>
        <v>German Bight, station 6, transect 1</v>
      </c>
      <c r="C445" s="20">
        <f>'Pernthaler 2002'!A12</f>
        <v>0</v>
      </c>
      <c r="I445" s="51">
        <f>'Pernthaler 2002'!F12</f>
        <v>600000</v>
      </c>
      <c r="J445" s="51">
        <f>'Pernthaler 2002'!G12</f>
        <v>518714.40195280686</v>
      </c>
      <c r="L445" s="51">
        <f>J445</f>
        <v>518714.40195280686</v>
      </c>
      <c r="M445" s="63">
        <f>L445/I445</f>
        <v>0.86452400325467815</v>
      </c>
      <c r="O445" s="63" t="s">
        <v>396</v>
      </c>
      <c r="P445" s="51" t="s">
        <v>535</v>
      </c>
      <c r="Q445" s="51" t="s">
        <v>534</v>
      </c>
      <c r="R445" s="51" t="s">
        <v>246</v>
      </c>
      <c r="S445" s="51" t="s">
        <v>246</v>
      </c>
      <c r="T445" s="51" t="s">
        <v>412</v>
      </c>
      <c r="U445" s="51" t="s">
        <v>309</v>
      </c>
      <c r="V445" s="51" t="s">
        <v>536</v>
      </c>
    </row>
    <row r="446" spans="1:22">
      <c r="A446" s="20" t="s">
        <v>308</v>
      </c>
      <c r="B446" s="20" t="str">
        <f>'Pernthaler 2002'!B12</f>
        <v>German Bight, station 6, transect 1</v>
      </c>
      <c r="C446" s="20">
        <f>'Pernthaler 2002'!A12</f>
        <v>0</v>
      </c>
      <c r="I446" s="51">
        <f>'Pernthaler 2002'!F12</f>
        <v>600000</v>
      </c>
      <c r="J446" s="51">
        <f>'Pernthaler 2002'!H12</f>
        <v>484157.58330738044</v>
      </c>
      <c r="L446" s="51">
        <f>J446</f>
        <v>484157.58330738044</v>
      </c>
      <c r="M446" s="63">
        <f>L446/I446</f>
        <v>0.80692930551230069</v>
      </c>
      <c r="O446" s="63" t="s">
        <v>262</v>
      </c>
      <c r="P446" s="51" t="s">
        <v>535</v>
      </c>
      <c r="Q446" s="51" t="s">
        <v>534</v>
      </c>
      <c r="R446" s="51" t="s">
        <v>247</v>
      </c>
      <c r="S446" s="51" t="s">
        <v>247</v>
      </c>
      <c r="T446" s="51" t="s">
        <v>412</v>
      </c>
      <c r="U446" s="51" t="s">
        <v>309</v>
      </c>
      <c r="V446" s="51" t="s">
        <v>536</v>
      </c>
    </row>
    <row r="447" spans="1:22">
      <c r="A447" s="20" t="s">
        <v>308</v>
      </c>
      <c r="B447" s="20" t="str">
        <f>'Pernthaler 2002'!B20</f>
        <v>German Bight, station 6, transect 2</v>
      </c>
      <c r="C447" s="20">
        <f>'Pernthaler 2002'!A20</f>
        <v>0</v>
      </c>
      <c r="I447" s="51">
        <f>'Pernthaler 2002'!F20</f>
        <v>210000</v>
      </c>
      <c r="J447" s="51">
        <f>'Pernthaler 2002'!G20</f>
        <v>198254.53777965382</v>
      </c>
      <c r="L447" s="51">
        <f>J447</f>
        <v>198254.53777965382</v>
      </c>
      <c r="M447" s="63">
        <f>L447/I447</f>
        <v>0.94406922752216105</v>
      </c>
      <c r="O447" s="63" t="s">
        <v>396</v>
      </c>
      <c r="P447" s="51" t="s">
        <v>535</v>
      </c>
      <c r="Q447" s="51" t="s">
        <v>534</v>
      </c>
      <c r="R447" s="51" t="s">
        <v>246</v>
      </c>
      <c r="S447" s="51" t="s">
        <v>246</v>
      </c>
      <c r="T447" s="51" t="s">
        <v>412</v>
      </c>
      <c r="U447" s="51" t="s">
        <v>309</v>
      </c>
      <c r="V447" s="51" t="s">
        <v>536</v>
      </c>
    </row>
    <row r="448" spans="1:22">
      <c r="A448" s="20" t="s">
        <v>308</v>
      </c>
      <c r="B448" s="20" t="str">
        <f>'Pernthaler 2002'!B20</f>
        <v>German Bight, station 6, transect 2</v>
      </c>
      <c r="C448" s="20">
        <f>'Pernthaler 2002'!A20</f>
        <v>0</v>
      </c>
      <c r="I448" s="51">
        <f>'Pernthaler 2002'!F20</f>
        <v>210000</v>
      </c>
      <c r="J448" s="51">
        <f>'Pernthaler 2002'!H20</f>
        <v>107987.7613462517</v>
      </c>
      <c r="L448" s="51">
        <f>J448</f>
        <v>107987.7613462517</v>
      </c>
      <c r="M448" s="63">
        <f>L448/I448</f>
        <v>0.51422743498215095</v>
      </c>
      <c r="O448" s="63" t="s">
        <v>262</v>
      </c>
      <c r="P448" s="51" t="s">
        <v>535</v>
      </c>
      <c r="Q448" s="51" t="s">
        <v>534</v>
      </c>
      <c r="R448" s="51" t="s">
        <v>247</v>
      </c>
      <c r="S448" s="51" t="s">
        <v>247</v>
      </c>
      <c r="T448" s="51" t="s">
        <v>412</v>
      </c>
      <c r="U448" s="51" t="s">
        <v>309</v>
      </c>
      <c r="V448" s="51" t="s">
        <v>536</v>
      </c>
    </row>
    <row r="449" spans="1:22">
      <c r="A449" s="20" t="s">
        <v>308</v>
      </c>
      <c r="B449" s="20" t="str">
        <f>'Pernthaler 2002'!B26</f>
        <v>German Bight, station 6, transect 3</v>
      </c>
      <c r="C449" s="20">
        <f>'Pernthaler 2002'!A26</f>
        <v>0</v>
      </c>
      <c r="I449" s="51">
        <f>'Pernthaler 2002'!F26</f>
        <v>229999.99999999997</v>
      </c>
      <c r="J449" s="51">
        <f>'Pernthaler 2002'!G26</f>
        <v>220511.08374384209</v>
      </c>
      <c r="L449" s="51">
        <f>J449</f>
        <v>220511.08374384209</v>
      </c>
      <c r="M449" s="63">
        <f>L449/I449</f>
        <v>0.95874384236453092</v>
      </c>
      <c r="O449" s="63" t="s">
        <v>396</v>
      </c>
      <c r="P449" s="51" t="s">
        <v>535</v>
      </c>
      <c r="Q449" s="51" t="s">
        <v>534</v>
      </c>
      <c r="R449" s="51" t="s">
        <v>246</v>
      </c>
      <c r="S449" s="51" t="s">
        <v>246</v>
      </c>
      <c r="T449" s="51" t="s">
        <v>412</v>
      </c>
      <c r="U449" s="51" t="s">
        <v>309</v>
      </c>
      <c r="V449" s="51" t="s">
        <v>536</v>
      </c>
    </row>
    <row r="450" spans="1:22">
      <c r="A450" s="20" t="s">
        <v>308</v>
      </c>
      <c r="B450" s="20" t="str">
        <f>'Pernthaler 2002'!B26</f>
        <v>German Bight, station 6, transect 3</v>
      </c>
      <c r="C450" s="20">
        <f>'Pernthaler 2002'!A26</f>
        <v>0</v>
      </c>
      <c r="I450" s="51">
        <f>'Pernthaler 2002'!F26</f>
        <v>229999.99999999997</v>
      </c>
      <c r="J450" s="51">
        <f>'Pernthaler 2002'!H26</f>
        <v>141200.73891625603</v>
      </c>
      <c r="L450" s="51">
        <f>J450</f>
        <v>141200.73891625603</v>
      </c>
      <c r="M450" s="63">
        <f>L450/I450</f>
        <v>0.61391625615763501</v>
      </c>
      <c r="O450" s="63" t="s">
        <v>262</v>
      </c>
      <c r="P450" s="51" t="s">
        <v>535</v>
      </c>
      <c r="Q450" s="51" t="s">
        <v>534</v>
      </c>
      <c r="R450" s="51" t="s">
        <v>247</v>
      </c>
      <c r="S450" s="51" t="s">
        <v>247</v>
      </c>
      <c r="T450" s="51" t="s">
        <v>412</v>
      </c>
      <c r="U450" s="51" t="s">
        <v>309</v>
      </c>
      <c r="V450" s="51" t="s">
        <v>536</v>
      </c>
    </row>
    <row r="451" spans="1:22">
      <c r="A451" s="20" t="s">
        <v>308</v>
      </c>
      <c r="B451" s="20" t="str">
        <f>'Pernthaler 2002'!B13</f>
        <v>German Bight, station 7, transect 1</v>
      </c>
      <c r="C451" s="20">
        <f>'Pernthaler 2002'!A13</f>
        <v>0</v>
      </c>
      <c r="I451" s="51">
        <f>'Pernthaler 2002'!F13</f>
        <v>990000</v>
      </c>
      <c r="J451" s="51">
        <f>'Pernthaler 2002'!G13</f>
        <v>911158.46216436091</v>
      </c>
      <c r="L451" s="51">
        <f>J451</f>
        <v>911158.46216436091</v>
      </c>
      <c r="M451" s="63">
        <f>L451/I451</f>
        <v>0.920362082994304</v>
      </c>
      <c r="O451" s="63" t="s">
        <v>396</v>
      </c>
      <c r="P451" s="51" t="s">
        <v>535</v>
      </c>
      <c r="Q451" s="51" t="s">
        <v>534</v>
      </c>
      <c r="R451" s="51" t="s">
        <v>246</v>
      </c>
      <c r="S451" s="51" t="s">
        <v>246</v>
      </c>
      <c r="T451" s="51" t="s">
        <v>412</v>
      </c>
      <c r="U451" s="51" t="s">
        <v>309</v>
      </c>
      <c r="V451" s="51" t="s">
        <v>536</v>
      </c>
    </row>
    <row r="452" spans="1:22">
      <c r="A452" s="20" t="s">
        <v>308</v>
      </c>
      <c r="B452" s="20" t="str">
        <f>'Pernthaler 2002'!B13</f>
        <v>German Bight, station 7, transect 1</v>
      </c>
      <c r="C452" s="20">
        <f>'Pernthaler 2002'!A13</f>
        <v>0</v>
      </c>
      <c r="I452" s="51">
        <f>'Pernthaler 2002'!F13</f>
        <v>990000</v>
      </c>
      <c r="J452" s="51">
        <f>'Pernthaler 2002'!H13</f>
        <v>377053.87729679205</v>
      </c>
      <c r="L452" s="51">
        <f>J452</f>
        <v>377053.87729679205</v>
      </c>
      <c r="M452" s="63">
        <f>L452/I452</f>
        <v>0.38086250231999197</v>
      </c>
      <c r="O452" s="63" t="s">
        <v>262</v>
      </c>
      <c r="P452" s="51" t="s">
        <v>535</v>
      </c>
      <c r="Q452" s="51" t="s">
        <v>534</v>
      </c>
      <c r="R452" s="51" t="s">
        <v>247</v>
      </c>
      <c r="S452" s="51" t="s">
        <v>247</v>
      </c>
      <c r="T452" s="51" t="s">
        <v>412</v>
      </c>
      <c r="U452" s="51" t="s">
        <v>309</v>
      </c>
      <c r="V452" s="51" t="s">
        <v>536</v>
      </c>
    </row>
    <row r="453" spans="1:22">
      <c r="A453" s="20" t="s">
        <v>308</v>
      </c>
      <c r="B453" s="20" t="str">
        <f>'Pernthaler 2002'!B14</f>
        <v>German Bight, station 8, transect 1</v>
      </c>
      <c r="C453" s="20">
        <f>'Pernthaler 2002'!A14</f>
        <v>0</v>
      </c>
      <c r="I453" s="51">
        <f>'Pernthaler 2002'!F14</f>
        <v>560000</v>
      </c>
      <c r="J453" s="51">
        <f>'Pernthaler 2002'!G14</f>
        <v>475874.69487388094</v>
      </c>
      <c r="L453" s="51">
        <f>J453</f>
        <v>475874.69487388094</v>
      </c>
      <c r="M453" s="63">
        <f>L453/I453</f>
        <v>0.84977624084621595</v>
      </c>
      <c r="O453" s="63" t="s">
        <v>396</v>
      </c>
      <c r="P453" s="51" t="s">
        <v>535</v>
      </c>
      <c r="Q453" s="51" t="s">
        <v>534</v>
      </c>
      <c r="R453" s="51" t="s">
        <v>246</v>
      </c>
      <c r="S453" s="51" t="s">
        <v>246</v>
      </c>
      <c r="T453" s="51" t="s">
        <v>412</v>
      </c>
      <c r="U453" s="51" t="s">
        <v>309</v>
      </c>
      <c r="V453" s="51" t="s">
        <v>536</v>
      </c>
    </row>
    <row r="454" spans="1:22">
      <c r="A454" s="20" t="s">
        <v>308</v>
      </c>
      <c r="B454" s="20" t="str">
        <f>'Pernthaler 2002'!B14</f>
        <v>German Bight, station 8, transect 1</v>
      </c>
      <c r="C454" s="20">
        <f>'Pernthaler 2002'!A14</f>
        <v>0</v>
      </c>
      <c r="I454" s="51">
        <f>'Pernthaler 2002'!F14</f>
        <v>560000</v>
      </c>
      <c r="J454" s="51">
        <f>'Pernthaler 2002'!H14</f>
        <v>369847.01682814857</v>
      </c>
      <c r="L454" s="51">
        <f>J454</f>
        <v>369847.01682814857</v>
      </c>
      <c r="M454" s="63">
        <f>L454/I454</f>
        <v>0.66044110147883672</v>
      </c>
      <c r="O454" s="63" t="s">
        <v>262</v>
      </c>
      <c r="P454" s="51" t="s">
        <v>535</v>
      </c>
      <c r="Q454" s="51" t="s">
        <v>534</v>
      </c>
      <c r="R454" s="51" t="s">
        <v>247</v>
      </c>
      <c r="S454" s="51" t="s">
        <v>247</v>
      </c>
      <c r="T454" s="51" t="s">
        <v>412</v>
      </c>
      <c r="U454" s="51" t="s">
        <v>309</v>
      </c>
      <c r="V454" s="51" t="s">
        <v>536</v>
      </c>
    </row>
    <row r="455" spans="1:22">
      <c r="A455" s="20" t="s">
        <v>442</v>
      </c>
      <c r="B455" s="20" t="str">
        <f>'Pernthaler 2002b'!A6</f>
        <v>Monterey Bay, April 2000</v>
      </c>
      <c r="C455" s="20">
        <f>'Pernthaler 2002b'!C6</f>
        <v>0</v>
      </c>
      <c r="M455" s="63">
        <f>'Pernthaler 2002b'!E6</f>
        <v>0.79790594657479064</v>
      </c>
      <c r="N455" s="63">
        <f>'Pernthaler 2002b'!F6</f>
        <v>0.12119512796931428</v>
      </c>
      <c r="O455" s="63" t="s">
        <v>262</v>
      </c>
      <c r="P455" s="51" t="s">
        <v>535</v>
      </c>
      <c r="Q455" s="51" t="s">
        <v>534</v>
      </c>
      <c r="R455" s="51" t="s">
        <v>247</v>
      </c>
      <c r="S455" s="51" t="s">
        <v>247</v>
      </c>
      <c r="T455" s="51" t="s">
        <v>412</v>
      </c>
      <c r="U455" s="20" t="s">
        <v>707</v>
      </c>
      <c r="V455" s="20" t="s">
        <v>444</v>
      </c>
    </row>
    <row r="456" spans="1:22">
      <c r="A456" s="20" t="s">
        <v>442</v>
      </c>
      <c r="B456" s="20" t="str">
        <f>'Pernthaler 2002b'!A7</f>
        <v>Monterey Bay, April 2000</v>
      </c>
      <c r="C456" s="20">
        <f>'Pernthaler 2002b'!C7</f>
        <v>20.0357957850463</v>
      </c>
      <c r="M456" s="63">
        <f>'Pernthaler 2002b'!E7</f>
        <v>0.89729294375587187</v>
      </c>
      <c r="N456" s="63">
        <f>'Pernthaler 2002b'!F7</f>
        <v>0.13139785375194471</v>
      </c>
      <c r="O456" s="63" t="s">
        <v>262</v>
      </c>
      <c r="P456" s="51" t="s">
        <v>535</v>
      </c>
      <c r="Q456" s="51" t="s">
        <v>534</v>
      </c>
      <c r="R456" s="51" t="s">
        <v>247</v>
      </c>
      <c r="S456" s="51" t="s">
        <v>247</v>
      </c>
      <c r="T456" s="51" t="s">
        <v>412</v>
      </c>
      <c r="U456" s="20" t="s">
        <v>707</v>
      </c>
      <c r="V456" s="20" t="s">
        <v>444</v>
      </c>
    </row>
    <row r="457" spans="1:22">
      <c r="A457" s="20" t="s">
        <v>442</v>
      </c>
      <c r="B457" s="20" t="str">
        <f>'Pernthaler 2002b'!A8</f>
        <v>Monterey Bay, April 2000</v>
      </c>
      <c r="C457" s="20">
        <f>'Pernthaler 2002b'!C8</f>
        <v>40.083672647545697</v>
      </c>
      <c r="M457" s="63">
        <f>'Pernthaler 2002b'!E8</f>
        <v>0.75314331737437801</v>
      </c>
      <c r="N457" s="63">
        <f>'Pernthaler 2002b'!F8</f>
        <v>0.23742870722433421</v>
      </c>
      <c r="O457" s="63" t="s">
        <v>262</v>
      </c>
      <c r="P457" s="51" t="s">
        <v>535</v>
      </c>
      <c r="Q457" s="51" t="s">
        <v>534</v>
      </c>
      <c r="R457" s="51" t="s">
        <v>247</v>
      </c>
      <c r="S457" s="51" t="s">
        <v>247</v>
      </c>
      <c r="T457" s="51" t="s">
        <v>412</v>
      </c>
      <c r="U457" s="20" t="s">
        <v>414</v>
      </c>
      <c r="V457" s="20" t="s">
        <v>444</v>
      </c>
    </row>
    <row r="458" spans="1:22">
      <c r="A458" s="20" t="s">
        <v>442</v>
      </c>
      <c r="B458" s="20" t="str">
        <f>'Pernthaler 2002b'!A9</f>
        <v>Monterey Bay, April 2000</v>
      </c>
      <c r="C458" s="20">
        <f>'Pernthaler 2002b'!C9</f>
        <v>99.962861873014404</v>
      </c>
      <c r="M458" s="63">
        <f>'Pernthaler 2002b'!E9</f>
        <v>0.83187614658373799</v>
      </c>
      <c r="N458" s="63">
        <f>'Pernthaler 2002b'!F9</f>
        <v>0.25604036231416294</v>
      </c>
      <c r="O458" s="63" t="s">
        <v>262</v>
      </c>
      <c r="P458" s="51" t="s">
        <v>535</v>
      </c>
      <c r="Q458" s="51" t="s">
        <v>534</v>
      </c>
      <c r="R458" s="51" t="s">
        <v>247</v>
      </c>
      <c r="S458" s="51" t="s">
        <v>247</v>
      </c>
      <c r="T458" s="51" t="s">
        <v>412</v>
      </c>
      <c r="U458" s="20" t="s">
        <v>414</v>
      </c>
      <c r="V458" s="20" t="s">
        <v>444</v>
      </c>
    </row>
    <row r="459" spans="1:22">
      <c r="A459" s="20" t="s">
        <v>442</v>
      </c>
      <c r="B459" s="20" t="str">
        <f>'Pernthaler 2002b'!A10</f>
        <v>Monterey Bay, April 2000</v>
      </c>
      <c r="C459" s="20">
        <f>'Pernthaler 2002b'!C10</f>
        <v>200.82643518725601</v>
      </c>
      <c r="M459" s="63">
        <f>'Pernthaler 2002b'!E10</f>
        <v>0.77435232001431697</v>
      </c>
      <c r="N459" s="63">
        <f>'Pernthaler 2002b'!F10</f>
        <v>0.48772679995377327</v>
      </c>
      <c r="O459" s="63" t="s">
        <v>262</v>
      </c>
      <c r="P459" s="51" t="s">
        <v>535</v>
      </c>
      <c r="Q459" s="51" t="s">
        <v>534</v>
      </c>
      <c r="R459" s="51" t="s">
        <v>247</v>
      </c>
      <c r="S459" s="51" t="s">
        <v>247</v>
      </c>
      <c r="T459" s="51" t="s">
        <v>412</v>
      </c>
      <c r="U459" s="20" t="s">
        <v>414</v>
      </c>
      <c r="V459" s="20" t="s">
        <v>444</v>
      </c>
    </row>
    <row r="460" spans="1:22">
      <c r="A460" s="20" t="s">
        <v>391</v>
      </c>
      <c r="B460" s="20" t="str">
        <f>'Tamburini 2009'!B3</f>
        <v>Station 2</v>
      </c>
      <c r="C460" s="20">
        <f>'Tamburini 2009'!D3</f>
        <v>15</v>
      </c>
      <c r="D460" s="64" t="s">
        <v>768</v>
      </c>
      <c r="H460" s="53"/>
      <c r="I460" s="65">
        <f>'Tamburini 2009'!N3</f>
        <v>369800</v>
      </c>
      <c r="J460" s="51">
        <f>'Tamburini 2009'!O3</f>
        <v>71001.600000000006</v>
      </c>
      <c r="K460" s="51">
        <f>'Tamburini 2009'!P3</f>
        <v>96887.6</v>
      </c>
      <c r="L460" s="51">
        <f>J460+K460</f>
        <v>167889.2</v>
      </c>
      <c r="M460" s="63">
        <f>L460/I460</f>
        <v>0.45400000000000001</v>
      </c>
      <c r="N460" s="63">
        <f>K460/L460</f>
        <v>0.5770925110132159</v>
      </c>
      <c r="O460" s="63" t="s">
        <v>396</v>
      </c>
      <c r="P460" s="51" t="s">
        <v>535</v>
      </c>
      <c r="Q460" s="51" t="s">
        <v>534</v>
      </c>
      <c r="R460" s="51" t="s">
        <v>537</v>
      </c>
      <c r="S460" s="51" t="s">
        <v>538</v>
      </c>
      <c r="T460" s="20" t="s">
        <v>769</v>
      </c>
      <c r="U460" s="20" t="s">
        <v>104</v>
      </c>
      <c r="V460" s="51" t="s">
        <v>536</v>
      </c>
    </row>
    <row r="461" spans="1:22">
      <c r="A461" s="20" t="s">
        <v>391</v>
      </c>
      <c r="B461" s="20" t="str">
        <f>'Tamburini 2009'!B15</f>
        <v>Station17</v>
      </c>
      <c r="C461" s="20">
        <f>'Tamburini 2009'!D15</f>
        <v>15</v>
      </c>
      <c r="D461" s="64" t="s">
        <v>397</v>
      </c>
      <c r="H461" s="53"/>
      <c r="I461" s="65">
        <f>'Tamburini 2009'!N15</f>
        <v>534200</v>
      </c>
      <c r="J461" s="51">
        <f>'Tamburini 2009'!O15</f>
        <v>109511</v>
      </c>
      <c r="K461" s="51">
        <f>'Tamburini 2009'!P15</f>
        <v>45407</v>
      </c>
      <c r="L461" s="51">
        <f>J461+K461</f>
        <v>154918</v>
      </c>
      <c r="M461" s="63">
        <f>L461/I461</f>
        <v>0.28999999999999998</v>
      </c>
      <c r="N461" s="63">
        <f>K461/L461</f>
        <v>0.29310344827586204</v>
      </c>
      <c r="O461" s="63" t="s">
        <v>396</v>
      </c>
      <c r="P461" s="51" t="s">
        <v>535</v>
      </c>
      <c r="Q461" s="51" t="s">
        <v>534</v>
      </c>
      <c r="R461" s="51" t="s">
        <v>537</v>
      </c>
      <c r="S461" s="51" t="s">
        <v>538</v>
      </c>
      <c r="T461" s="20" t="s">
        <v>769</v>
      </c>
      <c r="U461" s="20" t="s">
        <v>104</v>
      </c>
      <c r="V461" s="51" t="s">
        <v>536</v>
      </c>
    </row>
    <row r="462" spans="1:22">
      <c r="A462" s="20" t="s">
        <v>391</v>
      </c>
      <c r="B462" s="20" t="str">
        <f>'Tamburini 2009'!B33</f>
        <v>Station17</v>
      </c>
      <c r="C462" s="20">
        <f>'Tamburini 2009'!D33</f>
        <v>15</v>
      </c>
      <c r="D462" s="64" t="s">
        <v>397</v>
      </c>
      <c r="H462" s="53"/>
      <c r="I462" s="65">
        <f>'Tamburini 2009'!N33</f>
        <v>278500</v>
      </c>
      <c r="J462" s="51">
        <f>'Tamburini 2009'!O33</f>
        <v>127831.49999999999</v>
      </c>
      <c r="K462" s="51">
        <f>'Tamburini 2009'!P33</f>
        <v>47066.499999999993</v>
      </c>
      <c r="L462" s="51">
        <f>J462+K462</f>
        <v>174897.99999999997</v>
      </c>
      <c r="M462" s="63">
        <f>L462/I462</f>
        <v>0.62799999999999989</v>
      </c>
      <c r="N462" s="63">
        <f>K462/L462</f>
        <v>0.26910828025477707</v>
      </c>
      <c r="O462" s="63" t="s">
        <v>396</v>
      </c>
      <c r="P462" s="51" t="s">
        <v>535</v>
      </c>
      <c r="Q462" s="51" t="s">
        <v>534</v>
      </c>
      <c r="R462" s="51" t="s">
        <v>537</v>
      </c>
      <c r="S462" s="51" t="s">
        <v>538</v>
      </c>
      <c r="T462" s="20" t="s">
        <v>769</v>
      </c>
      <c r="U462" s="20" t="s">
        <v>104</v>
      </c>
      <c r="V462" s="51" t="s">
        <v>536</v>
      </c>
    </row>
    <row r="463" spans="1:22">
      <c r="A463" s="20" t="s">
        <v>391</v>
      </c>
      <c r="B463" s="20" t="str">
        <f>'Tamburini 2009'!B24</f>
        <v>Station2</v>
      </c>
      <c r="C463" s="20">
        <f>'Tamburini 2009'!D24</f>
        <v>15</v>
      </c>
      <c r="D463" s="64" t="s">
        <v>397</v>
      </c>
      <c r="H463" s="53"/>
      <c r="I463" s="65">
        <f>'Tamburini 2009'!N24</f>
        <v>305200</v>
      </c>
      <c r="J463" s="51">
        <f>'Tamburini 2009'!O24</f>
        <v>134288</v>
      </c>
      <c r="K463" s="51">
        <f>'Tamburini 2009'!P24</f>
        <v>82098.8</v>
      </c>
      <c r="L463" s="51">
        <f>J463+K463</f>
        <v>216386.8</v>
      </c>
      <c r="M463" s="63">
        <f>L463/I463</f>
        <v>0.70899999999999996</v>
      </c>
      <c r="N463" s="63">
        <f>K463/L463</f>
        <v>0.37940761636107195</v>
      </c>
      <c r="O463" s="63" t="s">
        <v>396</v>
      </c>
      <c r="P463" s="51" t="s">
        <v>535</v>
      </c>
      <c r="Q463" s="51" t="s">
        <v>534</v>
      </c>
      <c r="R463" s="51" t="s">
        <v>537</v>
      </c>
      <c r="S463" s="51" t="s">
        <v>538</v>
      </c>
      <c r="T463" s="20" t="s">
        <v>769</v>
      </c>
      <c r="U463" s="20" t="s">
        <v>104</v>
      </c>
      <c r="V463" s="51" t="s">
        <v>536</v>
      </c>
    </row>
    <row r="464" spans="1:22">
      <c r="A464" s="20" t="s">
        <v>391</v>
      </c>
      <c r="B464" s="20" t="str">
        <f>'Tamburini 2009'!B18</f>
        <v>Station20</v>
      </c>
      <c r="C464" s="20">
        <f>'Tamburini 2009'!D18</f>
        <v>15</v>
      </c>
      <c r="D464" s="64" t="s">
        <v>397</v>
      </c>
      <c r="H464" s="53"/>
      <c r="I464" s="65">
        <f>'Tamburini 2009'!N18</f>
        <v>412500</v>
      </c>
      <c r="J464" s="51">
        <f>'Tamburini 2009'!O18</f>
        <v>73837.5</v>
      </c>
      <c r="K464" s="51">
        <f>'Tamburini 2009'!P18</f>
        <v>39187.5</v>
      </c>
      <c r="L464" s="51">
        <f>J464+K464</f>
        <v>113025</v>
      </c>
      <c r="M464" s="63">
        <f>L464/I464</f>
        <v>0.27400000000000002</v>
      </c>
      <c r="N464" s="63">
        <f>K464/L464</f>
        <v>0.34671532846715331</v>
      </c>
      <c r="O464" s="63" t="s">
        <v>396</v>
      </c>
      <c r="P464" s="51" t="s">
        <v>535</v>
      </c>
      <c r="Q464" s="51" t="s">
        <v>534</v>
      </c>
      <c r="R464" s="51" t="s">
        <v>537</v>
      </c>
      <c r="S464" s="51" t="s">
        <v>538</v>
      </c>
      <c r="T464" s="20" t="s">
        <v>769</v>
      </c>
      <c r="U464" s="20" t="s">
        <v>104</v>
      </c>
      <c r="V464" s="51" t="s">
        <v>536</v>
      </c>
    </row>
    <row r="465" spans="1:22">
      <c r="A465" s="20" t="s">
        <v>391</v>
      </c>
      <c r="B465" s="20" t="str">
        <f>'Tamburini 2009'!B36</f>
        <v>Station20</v>
      </c>
      <c r="C465" s="20">
        <f>'Tamburini 2009'!D36</f>
        <v>15</v>
      </c>
      <c r="D465" s="64" t="s">
        <v>397</v>
      </c>
      <c r="H465" s="53"/>
      <c r="I465" s="65">
        <f>'Tamburini 2009'!N36</f>
        <v>227700</v>
      </c>
      <c r="J465" s="51">
        <f>'Tamburini 2009'!O36</f>
        <v>86981.4</v>
      </c>
      <c r="K465" s="51">
        <f>'Tamburini 2009'!P36</f>
        <v>12068.1</v>
      </c>
      <c r="L465" s="51">
        <f>J465+K465</f>
        <v>99049.5</v>
      </c>
      <c r="M465" s="63">
        <f>L465/I465</f>
        <v>0.435</v>
      </c>
      <c r="N465" s="63">
        <f>K465/L465</f>
        <v>0.12183908045977011</v>
      </c>
      <c r="O465" s="63" t="s">
        <v>396</v>
      </c>
      <c r="P465" s="51" t="s">
        <v>535</v>
      </c>
      <c r="Q465" s="51" t="s">
        <v>534</v>
      </c>
      <c r="R465" s="51" t="s">
        <v>537</v>
      </c>
      <c r="S465" s="51" t="s">
        <v>538</v>
      </c>
      <c r="T465" s="20" t="s">
        <v>769</v>
      </c>
      <c r="U465" s="20" t="s">
        <v>104</v>
      </c>
      <c r="V465" s="51" t="s">
        <v>536</v>
      </c>
    </row>
    <row r="466" spans="1:22">
      <c r="A466" s="20" t="s">
        <v>391</v>
      </c>
      <c r="B466" s="20" t="str">
        <f>'Tamburini 2009'!B21</f>
        <v>Station21</v>
      </c>
      <c r="C466" s="20">
        <f>'Tamburini 2009'!D21</f>
        <v>15</v>
      </c>
      <c r="D466" s="64" t="s">
        <v>397</v>
      </c>
      <c r="H466" s="53"/>
      <c r="I466" s="65">
        <f>'Tamburini 2009'!N21</f>
        <v>492700</v>
      </c>
      <c r="J466" s="51">
        <f>'Tamburini 2009'!O21</f>
        <v>148795.4</v>
      </c>
      <c r="K466" s="51">
        <f>'Tamburini 2009'!P21</f>
        <v>65036.4</v>
      </c>
      <c r="L466" s="51">
        <f>J466+K466</f>
        <v>213831.8</v>
      </c>
      <c r="M466" s="63">
        <f>L466/I466</f>
        <v>0.434</v>
      </c>
      <c r="N466" s="63">
        <f>K466/L466</f>
        <v>0.30414746543778803</v>
      </c>
      <c r="O466" s="63" t="s">
        <v>396</v>
      </c>
      <c r="P466" s="51" t="s">
        <v>535</v>
      </c>
      <c r="Q466" s="51" t="s">
        <v>534</v>
      </c>
      <c r="R466" s="51" t="s">
        <v>537</v>
      </c>
      <c r="S466" s="51" t="s">
        <v>538</v>
      </c>
      <c r="T466" s="20" t="s">
        <v>769</v>
      </c>
      <c r="U466" s="20" t="s">
        <v>104</v>
      </c>
      <c r="V466" s="51" t="s">
        <v>536</v>
      </c>
    </row>
    <row r="467" spans="1:22">
      <c r="A467" s="20" t="s">
        <v>391</v>
      </c>
      <c r="B467" s="20" t="str">
        <f>'Tamburini 2009'!B39</f>
        <v>Station21</v>
      </c>
      <c r="C467" s="20">
        <f>'Tamburini 2009'!D39</f>
        <v>15</v>
      </c>
      <c r="D467" s="64" t="s">
        <v>397</v>
      </c>
      <c r="H467" s="53"/>
      <c r="I467" s="65">
        <f>'Tamburini 2009'!N39</f>
        <v>288700</v>
      </c>
      <c r="J467" s="51">
        <f>'Tamburini 2009'!O39</f>
        <v>140885.6</v>
      </c>
      <c r="K467" s="51">
        <f>'Tamburini 2009'!P39</f>
        <v>24539.5</v>
      </c>
      <c r="L467" s="51">
        <f>J467+K467</f>
        <v>165425.1</v>
      </c>
      <c r="M467" s="63">
        <f>L467/I467</f>
        <v>0.57300000000000006</v>
      </c>
      <c r="N467" s="63">
        <f>K467/L467</f>
        <v>0.14834205933682373</v>
      </c>
      <c r="O467" s="63" t="s">
        <v>396</v>
      </c>
      <c r="P467" s="51" t="s">
        <v>535</v>
      </c>
      <c r="Q467" s="51" t="s">
        <v>534</v>
      </c>
      <c r="R467" s="51" t="s">
        <v>537</v>
      </c>
      <c r="S467" s="51" t="s">
        <v>538</v>
      </c>
      <c r="T467" s="20" t="s">
        <v>769</v>
      </c>
      <c r="U467" s="20" t="s">
        <v>104</v>
      </c>
      <c r="V467" s="51" t="s">
        <v>536</v>
      </c>
    </row>
    <row r="468" spans="1:22">
      <c r="A468" s="20" t="s">
        <v>391</v>
      </c>
      <c r="B468" s="20" t="str">
        <f>'Tamburini 2009'!B6</f>
        <v>Station4(VECTOR)</v>
      </c>
      <c r="C468" s="20">
        <f>'Tamburini 2009'!D6</f>
        <v>15</v>
      </c>
      <c r="D468" s="64" t="s">
        <v>397</v>
      </c>
      <c r="H468" s="53"/>
      <c r="I468" s="65">
        <f>'Tamburini 2009'!N6</f>
        <v>351200</v>
      </c>
      <c r="J468" s="51">
        <f>'Tamburini 2009'!O6</f>
        <v>115193.59999999999</v>
      </c>
      <c r="K468" s="51">
        <f>'Tamburini 2009'!P6</f>
        <v>75156.800000000003</v>
      </c>
      <c r="L468" s="51">
        <f>J468+K468</f>
        <v>190350.4</v>
      </c>
      <c r="M468" s="63">
        <f>L468/I468</f>
        <v>0.54200000000000004</v>
      </c>
      <c r="N468" s="63">
        <f>K468/L468</f>
        <v>0.39483394833948343</v>
      </c>
      <c r="O468" s="63" t="s">
        <v>396</v>
      </c>
      <c r="P468" s="51" t="s">
        <v>535</v>
      </c>
      <c r="Q468" s="51" t="s">
        <v>534</v>
      </c>
      <c r="R468" s="51" t="s">
        <v>537</v>
      </c>
      <c r="S468" s="51" t="s">
        <v>538</v>
      </c>
      <c r="T468" s="20" t="s">
        <v>769</v>
      </c>
      <c r="U468" s="20" t="s">
        <v>104</v>
      </c>
      <c r="V468" s="51" t="s">
        <v>536</v>
      </c>
    </row>
    <row r="469" spans="1:22">
      <c r="A469" s="20" t="s">
        <v>391</v>
      </c>
      <c r="B469" s="20" t="str">
        <f>'Tamburini 2009'!B27</f>
        <v>Station4(VECTOR)</v>
      </c>
      <c r="C469" s="20">
        <f>'Tamburini 2009'!D27</f>
        <v>15</v>
      </c>
      <c r="D469" s="64" t="s">
        <v>397</v>
      </c>
      <c r="H469" s="53"/>
      <c r="I469" s="65">
        <f>'Tamburini 2009'!N27</f>
        <v>218600</v>
      </c>
      <c r="J469" s="51">
        <f>'Tamburini 2009'!O27</f>
        <v>103179.20000000001</v>
      </c>
      <c r="K469" s="51">
        <f>'Tamburini 2009'!P27</f>
        <v>81537.8</v>
      </c>
      <c r="L469" s="51">
        <f>J469+K469</f>
        <v>184717</v>
      </c>
      <c r="M469" s="63">
        <f>L469/I469</f>
        <v>0.84499999999999997</v>
      </c>
      <c r="N469" s="63">
        <f>K469/L469</f>
        <v>0.44142011834319528</v>
      </c>
      <c r="O469" s="63" t="s">
        <v>396</v>
      </c>
      <c r="P469" s="51" t="s">
        <v>535</v>
      </c>
      <c r="Q469" s="51" t="s">
        <v>534</v>
      </c>
      <c r="R469" s="51" t="s">
        <v>537</v>
      </c>
      <c r="S469" s="51" t="s">
        <v>538</v>
      </c>
      <c r="T469" s="20" t="s">
        <v>769</v>
      </c>
      <c r="U469" s="20" t="s">
        <v>104</v>
      </c>
      <c r="V469" s="51" t="s">
        <v>536</v>
      </c>
    </row>
    <row r="470" spans="1:22">
      <c r="A470" s="20" t="s">
        <v>391</v>
      </c>
      <c r="B470" s="20" t="str">
        <f>'Tamburini 2009'!B9</f>
        <v>Station7</v>
      </c>
      <c r="C470" s="20">
        <f>'Tamburini 2009'!D9</f>
        <v>15</v>
      </c>
      <c r="D470" s="64" t="s">
        <v>397</v>
      </c>
      <c r="H470" s="53"/>
      <c r="I470" s="65">
        <f>'Tamburini 2009'!N9</f>
        <v>337300</v>
      </c>
      <c r="J470" s="51">
        <f>'Tamburini 2009'!O9</f>
        <v>93432.099999999991</v>
      </c>
      <c r="K470" s="51">
        <f>'Tamburini 2009'!P9</f>
        <v>51269.599999999999</v>
      </c>
      <c r="L470" s="51">
        <f>J470+K470</f>
        <v>144701.69999999998</v>
      </c>
      <c r="M470" s="63">
        <f>L470/I470</f>
        <v>0.42899999999999994</v>
      </c>
      <c r="N470" s="63">
        <f>K470/L470</f>
        <v>0.35431235431235436</v>
      </c>
      <c r="O470" s="63" t="s">
        <v>396</v>
      </c>
      <c r="P470" s="51" t="s">
        <v>535</v>
      </c>
      <c r="Q470" s="51" t="s">
        <v>534</v>
      </c>
      <c r="R470" s="51" t="s">
        <v>537</v>
      </c>
      <c r="S470" s="51" t="s">
        <v>538</v>
      </c>
      <c r="T470" s="20" t="s">
        <v>769</v>
      </c>
      <c r="U470" s="20" t="s">
        <v>104</v>
      </c>
      <c r="V470" s="51" t="s">
        <v>536</v>
      </c>
    </row>
    <row r="471" spans="1:22">
      <c r="A471" s="20" t="s">
        <v>391</v>
      </c>
      <c r="B471" s="20" t="str">
        <f>'Tamburini 2009'!B30</f>
        <v>Station7</v>
      </c>
      <c r="C471" s="20">
        <f>'Tamburini 2009'!D30</f>
        <v>15</v>
      </c>
      <c r="D471" s="64" t="s">
        <v>397</v>
      </c>
      <c r="H471" s="53"/>
      <c r="I471" s="65">
        <f>'Tamburini 2009'!N30</f>
        <v>254500</v>
      </c>
      <c r="J471" s="51">
        <f>'Tamburini 2009'!O30</f>
        <v>93910.5</v>
      </c>
      <c r="K471" s="51">
        <f>'Tamburini 2009'!P30</f>
        <v>19342</v>
      </c>
      <c r="L471" s="51">
        <f>J471+K471</f>
        <v>113252.5</v>
      </c>
      <c r="M471" s="63">
        <f>L471/I471</f>
        <v>0.44500000000000001</v>
      </c>
      <c r="N471" s="63">
        <f>K471/L471</f>
        <v>0.17078651685393259</v>
      </c>
      <c r="O471" s="63" t="s">
        <v>396</v>
      </c>
      <c r="P471" s="51" t="s">
        <v>535</v>
      </c>
      <c r="Q471" s="51" t="s">
        <v>534</v>
      </c>
      <c r="R471" s="51" t="s">
        <v>537</v>
      </c>
      <c r="S471" s="51" t="s">
        <v>538</v>
      </c>
      <c r="T471" s="20" t="s">
        <v>769</v>
      </c>
      <c r="U471" s="20" t="s">
        <v>104</v>
      </c>
      <c r="V471" s="51" t="s">
        <v>536</v>
      </c>
    </row>
    <row r="472" spans="1:22">
      <c r="A472" s="20" t="s">
        <v>391</v>
      </c>
      <c r="B472" s="20" t="str">
        <f>'Tamburini 2009'!B12</f>
        <v>Station8</v>
      </c>
      <c r="C472" s="20">
        <f>'Tamburini 2009'!D12</f>
        <v>15</v>
      </c>
      <c r="D472" s="64" t="s">
        <v>397</v>
      </c>
      <c r="H472" s="53"/>
      <c r="I472" s="65">
        <f>'Tamburini 2009'!N12</f>
        <v>439900</v>
      </c>
      <c r="J472" s="51">
        <f>'Tamburini 2009'!O12</f>
        <v>116573.5</v>
      </c>
      <c r="K472" s="51">
        <f>'Tamburini 2009'!P12</f>
        <v>86660.3</v>
      </c>
      <c r="L472" s="51">
        <f>J472+K472</f>
        <v>203233.8</v>
      </c>
      <c r="M472" s="63">
        <f>L472/I472</f>
        <v>0.46199999999999997</v>
      </c>
      <c r="N472" s="63">
        <f>K472/L472</f>
        <v>0.42640692640692646</v>
      </c>
      <c r="O472" s="63" t="s">
        <v>396</v>
      </c>
      <c r="P472" s="51" t="s">
        <v>535</v>
      </c>
      <c r="Q472" s="51" t="s">
        <v>534</v>
      </c>
      <c r="R472" s="51" t="s">
        <v>537</v>
      </c>
      <c r="S472" s="51" t="s">
        <v>538</v>
      </c>
      <c r="T472" s="20" t="s">
        <v>769</v>
      </c>
      <c r="U472" s="20" t="s">
        <v>104</v>
      </c>
      <c r="V472" s="51" t="s">
        <v>536</v>
      </c>
    </row>
    <row r="473" spans="1:22">
      <c r="A473" s="20" t="s">
        <v>391</v>
      </c>
      <c r="B473" s="20" t="str">
        <f>'Tamburini 2009'!B4</f>
        <v>Station 2</v>
      </c>
      <c r="C473" s="20">
        <f>'Tamburini 2009'!D4</f>
        <v>500</v>
      </c>
      <c r="D473" s="64" t="s">
        <v>768</v>
      </c>
      <c r="H473" s="53"/>
      <c r="I473" s="65">
        <f>'Tamburini 2009'!N4</f>
        <v>102200</v>
      </c>
      <c r="J473" s="51">
        <f>'Tamburini 2009'!O4</f>
        <v>15738.8</v>
      </c>
      <c r="K473" s="51">
        <f>'Tamburini 2009'!P4</f>
        <v>25754.400000000001</v>
      </c>
      <c r="L473" s="51">
        <f>J473+K473</f>
        <v>41493.199999999997</v>
      </c>
      <c r="M473" s="63">
        <f>L473/I473</f>
        <v>0.40599999999999997</v>
      </c>
      <c r="N473" s="63">
        <f>K473/L473</f>
        <v>0.62068965517241392</v>
      </c>
      <c r="O473" s="63" t="s">
        <v>396</v>
      </c>
      <c r="P473" s="51" t="s">
        <v>535</v>
      </c>
      <c r="Q473" s="51" t="s">
        <v>534</v>
      </c>
      <c r="R473" s="51" t="s">
        <v>537</v>
      </c>
      <c r="S473" s="51" t="s">
        <v>538</v>
      </c>
      <c r="T473" s="20" t="s">
        <v>769</v>
      </c>
      <c r="U473" s="20" t="s">
        <v>104</v>
      </c>
      <c r="V473" s="51" t="s">
        <v>536</v>
      </c>
    </row>
    <row r="474" spans="1:22">
      <c r="A474" s="20" t="s">
        <v>391</v>
      </c>
      <c r="B474" s="20" t="str">
        <f>'Tamburini 2009'!B16</f>
        <v>Station17</v>
      </c>
      <c r="C474" s="20">
        <f>'Tamburini 2009'!D16</f>
        <v>500</v>
      </c>
      <c r="D474" s="64" t="s">
        <v>397</v>
      </c>
      <c r="H474" s="53"/>
      <c r="I474" s="65">
        <f>'Tamburini 2009'!N16</f>
        <v>96900</v>
      </c>
      <c r="J474" s="51">
        <f>'Tamburini 2009'!O16</f>
        <v>22771.5</v>
      </c>
      <c r="K474" s="51">
        <f>'Tamburini 2009'!P16</f>
        <v>9593.1</v>
      </c>
      <c r="L474" s="51">
        <f>J474+K474</f>
        <v>32364.6</v>
      </c>
      <c r="M474" s="63">
        <f>L474/I474</f>
        <v>0.33399999999999996</v>
      </c>
      <c r="N474" s="63">
        <f>K474/L474</f>
        <v>0.29640718562874252</v>
      </c>
      <c r="O474" s="63" t="s">
        <v>396</v>
      </c>
      <c r="P474" s="51" t="s">
        <v>535</v>
      </c>
      <c r="Q474" s="51" t="s">
        <v>534</v>
      </c>
      <c r="R474" s="51" t="s">
        <v>537</v>
      </c>
      <c r="S474" s="51" t="s">
        <v>538</v>
      </c>
      <c r="T474" s="20" t="s">
        <v>769</v>
      </c>
      <c r="U474" s="20" t="s">
        <v>104</v>
      </c>
      <c r="V474" s="51" t="s">
        <v>536</v>
      </c>
    </row>
    <row r="475" spans="1:22">
      <c r="A475" s="20" t="s">
        <v>391</v>
      </c>
      <c r="B475" s="20" t="str">
        <f>'Tamburini 2009'!B34</f>
        <v>Station17</v>
      </c>
      <c r="C475" s="20">
        <f>'Tamburini 2009'!D34</f>
        <v>500</v>
      </c>
      <c r="D475" s="64" t="s">
        <v>397</v>
      </c>
      <c r="H475" s="53"/>
      <c r="I475" s="65">
        <f>'Tamburini 2009'!N34</f>
        <v>50300</v>
      </c>
      <c r="J475" s="51">
        <f>'Tamburini 2009'!O34</f>
        <v>22987.100000000002</v>
      </c>
      <c r="K475" s="51">
        <f>'Tamburini 2009'!P34</f>
        <v>14285.199999999999</v>
      </c>
      <c r="L475" s="51">
        <f>J475+K475</f>
        <v>37272.300000000003</v>
      </c>
      <c r="M475" s="63">
        <f>L475/I475</f>
        <v>0.7410000000000001</v>
      </c>
      <c r="N475" s="63">
        <f>K475/L475</f>
        <v>0.38326585695006743</v>
      </c>
      <c r="O475" s="63" t="s">
        <v>396</v>
      </c>
      <c r="P475" s="51" t="s">
        <v>535</v>
      </c>
      <c r="Q475" s="51" t="s">
        <v>534</v>
      </c>
      <c r="R475" s="51" t="s">
        <v>537</v>
      </c>
      <c r="S475" s="51" t="s">
        <v>538</v>
      </c>
      <c r="T475" s="20" t="s">
        <v>769</v>
      </c>
      <c r="U475" s="20" t="s">
        <v>104</v>
      </c>
      <c r="V475" s="51" t="s">
        <v>536</v>
      </c>
    </row>
    <row r="476" spans="1:22">
      <c r="A476" s="20" t="s">
        <v>391</v>
      </c>
      <c r="B476" s="20" t="str">
        <f>'Tamburini 2009'!B25</f>
        <v>Station2</v>
      </c>
      <c r="C476" s="20">
        <f>'Tamburini 2009'!D25</f>
        <v>500</v>
      </c>
      <c r="D476" s="64" t="s">
        <v>397</v>
      </c>
      <c r="H476" s="53"/>
      <c r="I476" s="65">
        <f>'Tamburini 2009'!N25</f>
        <v>52100</v>
      </c>
      <c r="J476" s="51">
        <f>'Tamburini 2009'!O25</f>
        <v>19850.099999999999</v>
      </c>
      <c r="K476" s="51">
        <f>'Tamburini 2009'!P25</f>
        <v>24018.1</v>
      </c>
      <c r="L476" s="51">
        <f>J476+K476</f>
        <v>43868.2</v>
      </c>
      <c r="M476" s="63">
        <f>L476/I476</f>
        <v>0.84199999999999997</v>
      </c>
      <c r="N476" s="63">
        <f>K476/L476</f>
        <v>0.54750593824228033</v>
      </c>
      <c r="O476" s="63" t="s">
        <v>396</v>
      </c>
      <c r="P476" s="51" t="s">
        <v>535</v>
      </c>
      <c r="Q476" s="51" t="s">
        <v>534</v>
      </c>
      <c r="R476" s="51" t="s">
        <v>537</v>
      </c>
      <c r="S476" s="51" t="s">
        <v>538</v>
      </c>
      <c r="T476" s="20" t="s">
        <v>769</v>
      </c>
      <c r="U476" s="20" t="s">
        <v>104</v>
      </c>
      <c r="V476" s="51" t="s">
        <v>536</v>
      </c>
    </row>
    <row r="477" spans="1:22">
      <c r="A477" s="20" t="s">
        <v>391</v>
      </c>
      <c r="B477" s="20" t="str">
        <f>'Tamburini 2009'!B37</f>
        <v>Station20</v>
      </c>
      <c r="C477" s="20">
        <f>'Tamburini 2009'!D37</f>
        <v>500</v>
      </c>
      <c r="D477" s="64" t="s">
        <v>397</v>
      </c>
      <c r="H477" s="53"/>
      <c r="I477" s="65">
        <f>'Tamburini 2009'!N37</f>
        <v>68200</v>
      </c>
      <c r="J477" s="51">
        <f>'Tamburini 2009'!O37</f>
        <v>23324.400000000001</v>
      </c>
      <c r="K477" s="51">
        <f>'Tamburini 2009'!P37</f>
        <v>4501.2</v>
      </c>
      <c r="L477" s="51">
        <f>J477+K477</f>
        <v>27825.600000000002</v>
      </c>
      <c r="M477" s="63">
        <f>L477/I477</f>
        <v>0.40800000000000003</v>
      </c>
      <c r="N477" s="63">
        <f>K477/L477</f>
        <v>0.16176470588235292</v>
      </c>
      <c r="O477" s="63" t="s">
        <v>396</v>
      </c>
      <c r="P477" s="51" t="s">
        <v>535</v>
      </c>
      <c r="Q477" s="51" t="s">
        <v>534</v>
      </c>
      <c r="R477" s="51" t="s">
        <v>537</v>
      </c>
      <c r="S477" s="51" t="s">
        <v>538</v>
      </c>
      <c r="T477" s="20" t="s">
        <v>769</v>
      </c>
      <c r="U477" s="20" t="s">
        <v>104</v>
      </c>
      <c r="V477" s="51" t="s">
        <v>536</v>
      </c>
    </row>
    <row r="478" spans="1:22">
      <c r="A478" s="20" t="s">
        <v>391</v>
      </c>
      <c r="B478" s="20" t="str">
        <f>'Tamburini 2009'!B19</f>
        <v>Station20</v>
      </c>
      <c r="C478" s="20">
        <f>'Tamburini 2009'!D19</f>
        <v>500</v>
      </c>
      <c r="D478" s="64" t="s">
        <v>397</v>
      </c>
      <c r="H478" s="53"/>
      <c r="I478" s="65">
        <f>'Tamburini 2009'!N19</f>
        <v>327900</v>
      </c>
      <c r="J478" s="51">
        <f>'Tamburini 2009'!O19</f>
        <v>72465.899999999994</v>
      </c>
      <c r="K478" s="51">
        <f>'Tamburini 2009'!P19</f>
        <v>103288.5</v>
      </c>
      <c r="L478" s="51">
        <f>J478+K478</f>
        <v>175754.4</v>
      </c>
      <c r="M478" s="63">
        <f>L478/I478</f>
        <v>0.53600000000000003</v>
      </c>
      <c r="N478" s="63">
        <f>K478/L478</f>
        <v>0.58768656716417911</v>
      </c>
      <c r="O478" s="63" t="s">
        <v>396</v>
      </c>
      <c r="P478" s="51" t="s">
        <v>535</v>
      </c>
      <c r="Q478" s="51" t="s">
        <v>534</v>
      </c>
      <c r="R478" s="51" t="s">
        <v>537</v>
      </c>
      <c r="S478" s="51" t="s">
        <v>538</v>
      </c>
      <c r="T478" s="20" t="s">
        <v>769</v>
      </c>
      <c r="U478" s="20" t="s">
        <v>104</v>
      </c>
      <c r="V478" s="51" t="s">
        <v>536</v>
      </c>
    </row>
    <row r="479" spans="1:22">
      <c r="A479" s="20" t="s">
        <v>391</v>
      </c>
      <c r="B479" s="20" t="str">
        <f>'Tamburini 2009'!B22</f>
        <v>Station21</v>
      </c>
      <c r="C479" s="20">
        <f>'Tamburini 2009'!D22</f>
        <v>500</v>
      </c>
      <c r="D479" s="64" t="s">
        <v>397</v>
      </c>
      <c r="H479" s="53"/>
      <c r="I479" s="65">
        <f>'Tamburini 2009'!N22</f>
        <v>77400</v>
      </c>
      <c r="J479" s="51">
        <f>'Tamburini 2009'!O22</f>
        <v>16331.400000000001</v>
      </c>
      <c r="K479" s="51">
        <f>'Tamburini 2009'!P22</f>
        <v>11455.199999999999</v>
      </c>
      <c r="L479" s="51">
        <f>J479+K479</f>
        <v>27786.6</v>
      </c>
      <c r="M479" s="63">
        <f>L479/I479</f>
        <v>0.35899999999999999</v>
      </c>
      <c r="N479" s="63">
        <f>K479/L479</f>
        <v>0.41225626740947074</v>
      </c>
      <c r="O479" s="63" t="s">
        <v>396</v>
      </c>
      <c r="P479" s="51" t="s">
        <v>535</v>
      </c>
      <c r="Q479" s="51" t="s">
        <v>534</v>
      </c>
      <c r="R479" s="51" t="s">
        <v>537</v>
      </c>
      <c r="S479" s="51" t="s">
        <v>538</v>
      </c>
      <c r="T479" s="20" t="s">
        <v>769</v>
      </c>
      <c r="U479" s="20" t="s">
        <v>104</v>
      </c>
      <c r="V479" s="51" t="s">
        <v>536</v>
      </c>
    </row>
    <row r="480" spans="1:22">
      <c r="A480" s="20" t="s">
        <v>391</v>
      </c>
      <c r="B480" s="20" t="str">
        <f>'Tamburini 2009'!B40</f>
        <v>Station21</v>
      </c>
      <c r="C480" s="20">
        <f>'Tamburini 2009'!D40</f>
        <v>500</v>
      </c>
      <c r="D480" s="64" t="s">
        <v>397</v>
      </c>
      <c r="H480" s="53"/>
      <c r="I480" s="65">
        <f>'Tamburini 2009'!N40</f>
        <v>48800</v>
      </c>
      <c r="J480" s="51">
        <f>'Tamburini 2009'!O40</f>
        <v>16982.399999999998</v>
      </c>
      <c r="K480" s="51">
        <f>'Tamburini 2009'!P40</f>
        <v>5221.6000000000004</v>
      </c>
      <c r="L480" s="51">
        <f>J480+K480</f>
        <v>22204</v>
      </c>
      <c r="M480" s="63">
        <f>L480/I480</f>
        <v>0.45500000000000002</v>
      </c>
      <c r="N480" s="63">
        <f>K480/L480</f>
        <v>0.23516483516483519</v>
      </c>
      <c r="O480" s="63" t="s">
        <v>396</v>
      </c>
      <c r="P480" s="51" t="s">
        <v>535</v>
      </c>
      <c r="Q480" s="51" t="s">
        <v>534</v>
      </c>
      <c r="R480" s="51" t="s">
        <v>537</v>
      </c>
      <c r="S480" s="51" t="s">
        <v>538</v>
      </c>
      <c r="T480" s="20" t="s">
        <v>769</v>
      </c>
      <c r="U480" s="20" t="s">
        <v>104</v>
      </c>
      <c r="V480" s="51" t="s">
        <v>536</v>
      </c>
    </row>
    <row r="481" spans="1:22">
      <c r="A481" s="20" t="s">
        <v>391</v>
      </c>
      <c r="B481" s="20" t="str">
        <f>'Tamburini 2009'!B7</f>
        <v>Station4(VECTOR)</v>
      </c>
      <c r="C481" s="20">
        <f>'Tamburini 2009'!D7</f>
        <v>500</v>
      </c>
      <c r="D481" s="64" t="s">
        <v>397</v>
      </c>
      <c r="H481" s="53"/>
      <c r="I481" s="65">
        <f>'Tamburini 2009'!N7</f>
        <v>80500</v>
      </c>
      <c r="J481" s="51">
        <f>'Tamburini 2009'!O7</f>
        <v>12638.5</v>
      </c>
      <c r="K481" s="51">
        <f>'Tamburini 2009'!P7</f>
        <v>11109.000000000002</v>
      </c>
      <c r="L481" s="51">
        <f>J481+K481</f>
        <v>23747.5</v>
      </c>
      <c r="M481" s="63">
        <f>L481/I481</f>
        <v>0.29499999999999998</v>
      </c>
      <c r="N481" s="63">
        <f>K481/L481</f>
        <v>0.46779661016949159</v>
      </c>
      <c r="O481" s="63" t="s">
        <v>396</v>
      </c>
      <c r="P481" s="51" t="s">
        <v>535</v>
      </c>
      <c r="Q481" s="51" t="s">
        <v>534</v>
      </c>
      <c r="R481" s="51" t="s">
        <v>537</v>
      </c>
      <c r="S481" s="51" t="s">
        <v>538</v>
      </c>
      <c r="T481" s="20" t="s">
        <v>769</v>
      </c>
      <c r="U481" s="20" t="s">
        <v>104</v>
      </c>
      <c r="V481" s="51" t="s">
        <v>536</v>
      </c>
    </row>
    <row r="482" spans="1:22">
      <c r="A482" s="20" t="s">
        <v>391</v>
      </c>
      <c r="B482" s="20" t="str">
        <f>'Tamburini 2009'!B28</f>
        <v>Station4(VECTOR)</v>
      </c>
      <c r="C482" s="20">
        <f>'Tamburini 2009'!D28</f>
        <v>500</v>
      </c>
      <c r="D482" s="64" t="s">
        <v>397</v>
      </c>
      <c r="H482" s="53"/>
      <c r="I482" s="65">
        <f>'Tamburini 2009'!N28</f>
        <v>50500</v>
      </c>
      <c r="J482" s="51">
        <f>'Tamburini 2009'!O28</f>
        <v>25957</v>
      </c>
      <c r="K482" s="51">
        <f>'Tamburini 2009'!P28</f>
        <v>13786.500000000002</v>
      </c>
      <c r="L482" s="51">
        <f>J482+K482</f>
        <v>39743.5</v>
      </c>
      <c r="M482" s="63">
        <f>L482/I482</f>
        <v>0.78700000000000003</v>
      </c>
      <c r="N482" s="63">
        <f>K482/L482</f>
        <v>0.34688691232528596</v>
      </c>
      <c r="O482" s="63" t="s">
        <v>396</v>
      </c>
      <c r="P482" s="51" t="s">
        <v>535</v>
      </c>
      <c r="Q482" s="51" t="s">
        <v>534</v>
      </c>
      <c r="R482" s="51" t="s">
        <v>537</v>
      </c>
      <c r="S482" s="51" t="s">
        <v>538</v>
      </c>
      <c r="T482" s="20" t="s">
        <v>769</v>
      </c>
      <c r="U482" s="20" t="s">
        <v>104</v>
      </c>
      <c r="V482" s="51" t="s">
        <v>536</v>
      </c>
    </row>
    <row r="483" spans="1:22">
      <c r="A483" s="20" t="s">
        <v>391</v>
      </c>
      <c r="B483" s="20" t="str">
        <f>'Tamburini 2009'!B31</f>
        <v>Station7</v>
      </c>
      <c r="C483" s="20">
        <f>'Tamburini 2009'!D31</f>
        <v>500</v>
      </c>
      <c r="D483" s="64" t="s">
        <v>397</v>
      </c>
      <c r="H483" s="53"/>
      <c r="I483" s="65">
        <f>'Tamburini 2009'!N31</f>
        <v>72100</v>
      </c>
      <c r="J483" s="51">
        <f>'Tamburini 2009'!O31</f>
        <v>24225.600000000002</v>
      </c>
      <c r="K483" s="51">
        <f>'Tamburini 2009'!P31</f>
        <v>6921.6</v>
      </c>
      <c r="L483" s="51">
        <f>J483+K483</f>
        <v>31147.200000000004</v>
      </c>
      <c r="M483" s="63">
        <f>L483/I483</f>
        <v>0.43200000000000005</v>
      </c>
      <c r="N483" s="63">
        <f>K483/L483</f>
        <v>0.22222222222222221</v>
      </c>
      <c r="O483" s="63" t="s">
        <v>396</v>
      </c>
      <c r="P483" s="51" t="s">
        <v>535</v>
      </c>
      <c r="Q483" s="51" t="s">
        <v>534</v>
      </c>
      <c r="R483" s="51" t="s">
        <v>537</v>
      </c>
      <c r="S483" s="51" t="s">
        <v>538</v>
      </c>
      <c r="T483" s="20" t="s">
        <v>769</v>
      </c>
      <c r="U483" s="20" t="s">
        <v>104</v>
      </c>
      <c r="V483" s="51" t="s">
        <v>536</v>
      </c>
    </row>
    <row r="484" spans="1:22">
      <c r="A484" s="20" t="s">
        <v>391</v>
      </c>
      <c r="B484" s="20" t="str">
        <f>'Tamburini 2009'!B10</f>
        <v>Station7</v>
      </c>
      <c r="C484" s="20">
        <f>'Tamburini 2009'!D10</f>
        <v>500</v>
      </c>
      <c r="D484" s="64" t="s">
        <v>397</v>
      </c>
      <c r="H484" s="53"/>
      <c r="I484" s="65">
        <f>'Tamburini 2009'!N10</f>
        <v>91400</v>
      </c>
      <c r="J484" s="51">
        <f>'Tamburini 2009'!O10</f>
        <v>19194</v>
      </c>
      <c r="K484" s="51">
        <f>'Tamburini 2009'!P10</f>
        <v>25500.600000000002</v>
      </c>
      <c r="L484" s="51">
        <f>J484+K484</f>
        <v>44694.600000000006</v>
      </c>
      <c r="M484" s="63">
        <f>L484/I484</f>
        <v>0.48900000000000005</v>
      </c>
      <c r="N484" s="63">
        <f>K484/L484</f>
        <v>0.57055214723926373</v>
      </c>
      <c r="O484" s="63" t="s">
        <v>396</v>
      </c>
      <c r="P484" s="51" t="s">
        <v>535</v>
      </c>
      <c r="Q484" s="51" t="s">
        <v>534</v>
      </c>
      <c r="R484" s="51" t="s">
        <v>537</v>
      </c>
      <c r="S484" s="51" t="s">
        <v>538</v>
      </c>
      <c r="T484" s="20" t="s">
        <v>769</v>
      </c>
      <c r="U484" s="20" t="s">
        <v>104</v>
      </c>
      <c r="V484" s="51" t="s">
        <v>536</v>
      </c>
    </row>
    <row r="485" spans="1:22">
      <c r="A485" s="20" t="s">
        <v>391</v>
      </c>
      <c r="B485" s="20" t="str">
        <f>'Tamburini 2009'!B13</f>
        <v>Station8</v>
      </c>
      <c r="C485" s="20">
        <f>'Tamburini 2009'!D13</f>
        <v>500</v>
      </c>
      <c r="D485" s="64" t="s">
        <v>397</v>
      </c>
      <c r="H485" s="53"/>
      <c r="I485" s="65">
        <f>'Tamburini 2009'!N13</f>
        <v>98000</v>
      </c>
      <c r="J485" s="51">
        <f>'Tamburini 2009'!O13</f>
        <v>19208</v>
      </c>
      <c r="K485" s="51">
        <f>'Tamburini 2009'!P13</f>
        <v>22050</v>
      </c>
      <c r="L485" s="51">
        <f>J485+K485</f>
        <v>41258</v>
      </c>
      <c r="M485" s="63">
        <f>L485/I485</f>
        <v>0.42099999999999999</v>
      </c>
      <c r="N485" s="63">
        <f>K485/L485</f>
        <v>0.53444180522565321</v>
      </c>
      <c r="O485" s="63" t="s">
        <v>396</v>
      </c>
      <c r="P485" s="51" t="s">
        <v>535</v>
      </c>
      <c r="Q485" s="51" t="s">
        <v>534</v>
      </c>
      <c r="R485" s="51" t="s">
        <v>537</v>
      </c>
      <c r="S485" s="51" t="s">
        <v>538</v>
      </c>
      <c r="T485" s="20" t="s">
        <v>769</v>
      </c>
      <c r="U485" s="20" t="s">
        <v>104</v>
      </c>
      <c r="V485" s="51" t="s">
        <v>536</v>
      </c>
    </row>
    <row r="486" spans="1:22">
      <c r="A486" s="20" t="s">
        <v>391</v>
      </c>
      <c r="B486" s="20" t="str">
        <f>'Tamburini 2009'!B5</f>
        <v>Station 2</v>
      </c>
      <c r="C486" s="20">
        <f>'Tamburini 2009'!D5</f>
        <v>2500</v>
      </c>
      <c r="D486" s="64" t="s">
        <v>397</v>
      </c>
      <c r="H486" s="53"/>
      <c r="I486" s="65">
        <f>'Tamburini 2009'!N5</f>
        <v>20800</v>
      </c>
      <c r="J486" s="51">
        <f>'Tamburini 2009'!O5</f>
        <v>9505.6</v>
      </c>
      <c r="K486" s="51">
        <f>'Tamburini 2009'!P5</f>
        <v>5345.6</v>
      </c>
      <c r="L486" s="51">
        <f>J486+K486</f>
        <v>14851.2</v>
      </c>
      <c r="M486" s="63">
        <f>L486/I486</f>
        <v>0.71400000000000008</v>
      </c>
      <c r="N486" s="63">
        <f>K486/L486</f>
        <v>0.35994397759103641</v>
      </c>
      <c r="O486" s="63" t="s">
        <v>396</v>
      </c>
      <c r="P486" s="51" t="s">
        <v>535</v>
      </c>
      <c r="Q486" s="51" t="s">
        <v>534</v>
      </c>
      <c r="R486" s="51" t="s">
        <v>537</v>
      </c>
      <c r="S486" s="51" t="s">
        <v>538</v>
      </c>
      <c r="T486" s="20" t="s">
        <v>769</v>
      </c>
      <c r="U486" s="20" t="s">
        <v>104</v>
      </c>
      <c r="V486" s="51" t="s">
        <v>536</v>
      </c>
    </row>
    <row r="487" spans="1:22">
      <c r="A487" s="20" t="s">
        <v>391</v>
      </c>
      <c r="B487" s="20" t="str">
        <f>'Tamburini 2009'!B17</f>
        <v>Station17</v>
      </c>
      <c r="C487" s="20">
        <f>'Tamburini 2009'!D17</f>
        <v>2500</v>
      </c>
      <c r="D487" s="64" t="s">
        <v>397</v>
      </c>
      <c r="H487" s="53"/>
      <c r="I487" s="65">
        <f>'Tamburini 2009'!N17</f>
        <v>33500</v>
      </c>
      <c r="J487" s="51">
        <f>'Tamburini 2009'!O17</f>
        <v>9380</v>
      </c>
      <c r="K487" s="51">
        <f>'Tamburini 2009'!P17</f>
        <v>5996.5</v>
      </c>
      <c r="L487" s="51">
        <f>J487+K487</f>
        <v>15376.5</v>
      </c>
      <c r="M487" s="63">
        <f>L487/I487</f>
        <v>0.45900000000000002</v>
      </c>
      <c r="N487" s="63">
        <f>K487/L487</f>
        <v>0.38997821350762529</v>
      </c>
      <c r="O487" s="63" t="s">
        <v>396</v>
      </c>
      <c r="P487" s="51" t="s">
        <v>535</v>
      </c>
      <c r="Q487" s="51" t="s">
        <v>534</v>
      </c>
      <c r="R487" s="51" t="s">
        <v>537</v>
      </c>
      <c r="S487" s="51" t="s">
        <v>538</v>
      </c>
      <c r="T487" s="20" t="s">
        <v>769</v>
      </c>
      <c r="U487" s="20" t="s">
        <v>104</v>
      </c>
      <c r="V487" s="51" t="s">
        <v>536</v>
      </c>
    </row>
    <row r="488" spans="1:22">
      <c r="A488" s="20" t="s">
        <v>391</v>
      </c>
      <c r="B488" s="20" t="str">
        <f>'Tamburini 2009'!B35</f>
        <v>Station17</v>
      </c>
      <c r="C488" s="20">
        <f>'Tamburini 2009'!D35</f>
        <v>2500</v>
      </c>
      <c r="D488" s="64" t="s">
        <v>397</v>
      </c>
      <c r="H488" s="53"/>
      <c r="I488" s="65">
        <f>'Tamburini 2009'!N35</f>
        <v>10800</v>
      </c>
      <c r="J488" s="51">
        <f>'Tamburini 2009'!O35</f>
        <v>4978.8</v>
      </c>
      <c r="K488" s="51">
        <f>'Tamburini 2009'!P35</f>
        <v>2592</v>
      </c>
      <c r="L488" s="51">
        <f>J488+K488</f>
        <v>7570.8</v>
      </c>
      <c r="M488" s="63">
        <f>L488/I488</f>
        <v>0.70100000000000007</v>
      </c>
      <c r="N488" s="63">
        <f>K488/L488</f>
        <v>0.34236804564907275</v>
      </c>
      <c r="O488" s="63" t="s">
        <v>396</v>
      </c>
      <c r="P488" s="51" t="s">
        <v>535</v>
      </c>
      <c r="Q488" s="51" t="s">
        <v>534</v>
      </c>
      <c r="R488" s="51" t="s">
        <v>537</v>
      </c>
      <c r="S488" s="51" t="s">
        <v>538</v>
      </c>
      <c r="T488" s="20" t="s">
        <v>769</v>
      </c>
      <c r="U488" s="20" t="s">
        <v>104</v>
      </c>
      <c r="V488" s="51" t="s">
        <v>536</v>
      </c>
    </row>
    <row r="489" spans="1:22">
      <c r="A489" s="20" t="s">
        <v>391</v>
      </c>
      <c r="B489" s="20" t="str">
        <f>'Tamburini 2009'!B26</f>
        <v>Station2</v>
      </c>
      <c r="C489" s="20">
        <f>'Tamburini 2009'!D26</f>
        <v>2500</v>
      </c>
      <c r="D489" s="64" t="s">
        <v>397</v>
      </c>
      <c r="H489" s="53"/>
      <c r="I489" s="65">
        <f>'Tamburini 2009'!N26</f>
        <v>19600</v>
      </c>
      <c r="J489" s="51">
        <f>'Tamburini 2009'!O26</f>
        <v>9447.2000000000007</v>
      </c>
      <c r="K489" s="51">
        <f>'Tamburini 2009'!P26</f>
        <v>9878.4</v>
      </c>
      <c r="L489" s="51">
        <f>J489+K489</f>
        <v>19325.599999999999</v>
      </c>
      <c r="M489" s="63">
        <f>L489/I489</f>
        <v>0.98599999999999988</v>
      </c>
      <c r="N489" s="63">
        <f>K489/L489</f>
        <v>0.51115618661257611</v>
      </c>
      <c r="O489" s="63" t="s">
        <v>396</v>
      </c>
      <c r="P489" s="51" t="s">
        <v>535</v>
      </c>
      <c r="Q489" s="51" t="s">
        <v>534</v>
      </c>
      <c r="R489" s="51" t="s">
        <v>537</v>
      </c>
      <c r="S489" s="51" t="s">
        <v>538</v>
      </c>
      <c r="T489" s="20" t="s">
        <v>769</v>
      </c>
      <c r="U489" s="20" t="s">
        <v>104</v>
      </c>
      <c r="V489" s="51" t="s">
        <v>536</v>
      </c>
    </row>
    <row r="490" spans="1:22">
      <c r="A490" s="20" t="s">
        <v>391</v>
      </c>
      <c r="B490" s="20" t="str">
        <f>'Tamburini 2009'!B38</f>
        <v>Station20</v>
      </c>
      <c r="C490" s="20">
        <f>'Tamburini 2009'!D38</f>
        <v>2500</v>
      </c>
      <c r="D490" s="64" t="s">
        <v>397</v>
      </c>
      <c r="H490" s="53"/>
      <c r="I490" s="65">
        <f>'Tamburini 2009'!N38</f>
        <v>20300</v>
      </c>
      <c r="J490" s="51">
        <f>'Tamburini 2009'!O38</f>
        <v>7896.7</v>
      </c>
      <c r="K490" s="51">
        <f>'Tamburini 2009'!P38</f>
        <v>1867.6</v>
      </c>
      <c r="L490" s="51">
        <f>J490+K490</f>
        <v>9764.2999999999993</v>
      </c>
      <c r="M490" s="63">
        <f>L490/I490</f>
        <v>0.48099999999999998</v>
      </c>
      <c r="N490" s="63">
        <f>K490/L490</f>
        <v>0.19126819126819128</v>
      </c>
      <c r="O490" s="63" t="s">
        <v>396</v>
      </c>
      <c r="P490" s="51" t="s">
        <v>535</v>
      </c>
      <c r="Q490" s="51" t="s">
        <v>534</v>
      </c>
      <c r="R490" s="51" t="s">
        <v>537</v>
      </c>
      <c r="S490" s="51" t="s">
        <v>538</v>
      </c>
      <c r="T490" s="20" t="s">
        <v>769</v>
      </c>
      <c r="U490" s="20" t="s">
        <v>104</v>
      </c>
      <c r="V490" s="51" t="s">
        <v>536</v>
      </c>
    </row>
    <row r="491" spans="1:22">
      <c r="A491" s="20" t="s">
        <v>391</v>
      </c>
      <c r="B491" s="20" t="str">
        <f>'Tamburini 2009'!B20</f>
        <v>Station20</v>
      </c>
      <c r="C491" s="20">
        <f>'Tamburini 2009'!D20</f>
        <v>2500</v>
      </c>
      <c r="D491" s="64" t="s">
        <v>397</v>
      </c>
      <c r="H491" s="53"/>
      <c r="I491" s="65">
        <f>'Tamburini 2009'!N20</f>
        <v>269000</v>
      </c>
      <c r="J491" s="51">
        <f>'Tamburini 2009'!O20</f>
        <v>85004</v>
      </c>
      <c r="K491" s="51">
        <f>'Tamburini 2009'!P20</f>
        <v>63484</v>
      </c>
      <c r="L491" s="51">
        <f>J491+K491</f>
        <v>148488</v>
      </c>
      <c r="M491" s="63">
        <f>L491/I491</f>
        <v>0.55200000000000005</v>
      </c>
      <c r="N491" s="63">
        <f>K491/L491</f>
        <v>0.42753623188405798</v>
      </c>
      <c r="O491" s="63" t="s">
        <v>396</v>
      </c>
      <c r="P491" s="51" t="s">
        <v>535</v>
      </c>
      <c r="Q491" s="51" t="s">
        <v>534</v>
      </c>
      <c r="R491" s="51" t="s">
        <v>537</v>
      </c>
      <c r="S491" s="51" t="s">
        <v>538</v>
      </c>
      <c r="T491" s="20" t="s">
        <v>769</v>
      </c>
      <c r="U491" s="20" t="s">
        <v>104</v>
      </c>
      <c r="V491" s="51" t="s">
        <v>536</v>
      </c>
    </row>
    <row r="492" spans="1:22">
      <c r="A492" s="20" t="s">
        <v>391</v>
      </c>
      <c r="B492" s="20" t="str">
        <f>'Tamburini 2009'!B41</f>
        <v>Station21</v>
      </c>
      <c r="C492" s="20">
        <f>'Tamburini 2009'!D41</f>
        <v>2500</v>
      </c>
      <c r="D492" s="64" t="s">
        <v>397</v>
      </c>
      <c r="H492" s="53"/>
      <c r="I492" s="65">
        <f>'Tamburini 2009'!N41</f>
        <v>16700</v>
      </c>
      <c r="J492" s="51">
        <f>'Tamburini 2009'!O41</f>
        <v>6346</v>
      </c>
      <c r="K492" s="51">
        <f>'Tamburini 2009'!P41</f>
        <v>2187.7000000000003</v>
      </c>
      <c r="L492" s="51">
        <f>J492+K492</f>
        <v>8533.7000000000007</v>
      </c>
      <c r="M492" s="63">
        <f>L492/I492</f>
        <v>0.51100000000000001</v>
      </c>
      <c r="N492" s="63">
        <f>K492/L492</f>
        <v>0.25636007827788648</v>
      </c>
      <c r="O492" s="63" t="s">
        <v>396</v>
      </c>
      <c r="P492" s="51" t="s">
        <v>535</v>
      </c>
      <c r="Q492" s="51" t="s">
        <v>534</v>
      </c>
      <c r="R492" s="51" t="s">
        <v>537</v>
      </c>
      <c r="S492" s="51" t="s">
        <v>538</v>
      </c>
      <c r="T492" s="20" t="s">
        <v>769</v>
      </c>
      <c r="U492" s="20" t="s">
        <v>104</v>
      </c>
      <c r="V492" s="51" t="s">
        <v>536</v>
      </c>
    </row>
    <row r="493" spans="1:22">
      <c r="A493" s="20" t="s">
        <v>391</v>
      </c>
      <c r="B493" s="20" t="str">
        <f>'Tamburini 2009'!B23</f>
        <v>Station21</v>
      </c>
      <c r="C493" s="20">
        <f>'Tamburini 2009'!D23</f>
        <v>2500</v>
      </c>
      <c r="D493" s="64" t="s">
        <v>397</v>
      </c>
      <c r="H493" s="53"/>
      <c r="I493" s="65">
        <f>'Tamburini 2009'!N23</f>
        <v>31200</v>
      </c>
      <c r="J493" s="51">
        <f>'Tamburini 2009'!O23</f>
        <v>12729.599999999999</v>
      </c>
      <c r="K493" s="51">
        <f>'Tamburini 2009'!P23</f>
        <v>11044.8</v>
      </c>
      <c r="L493" s="51">
        <f>J493+K493</f>
        <v>23774.399999999998</v>
      </c>
      <c r="M493" s="63">
        <f>L493/I493</f>
        <v>0.7619999999999999</v>
      </c>
      <c r="N493" s="63">
        <f>K493/L493</f>
        <v>0.46456692913385828</v>
      </c>
      <c r="O493" s="63" t="s">
        <v>396</v>
      </c>
      <c r="P493" s="51" t="s">
        <v>535</v>
      </c>
      <c r="Q493" s="51" t="s">
        <v>534</v>
      </c>
      <c r="R493" s="51" t="s">
        <v>537</v>
      </c>
      <c r="S493" s="51" t="s">
        <v>538</v>
      </c>
      <c r="T493" s="20" t="s">
        <v>769</v>
      </c>
      <c r="U493" s="20" t="s">
        <v>104</v>
      </c>
      <c r="V493" s="51" t="s">
        <v>536</v>
      </c>
    </row>
    <row r="494" spans="1:22">
      <c r="A494" s="20" t="s">
        <v>391</v>
      </c>
      <c r="B494" s="20" t="str">
        <f>'Tamburini 2009'!B29</f>
        <v>Station4(VECTOR)</v>
      </c>
      <c r="C494" s="20">
        <f>'Tamburini 2009'!D29</f>
        <v>2500</v>
      </c>
      <c r="D494" s="64" t="s">
        <v>397</v>
      </c>
      <c r="H494" s="53"/>
      <c r="I494" s="65">
        <f>'Tamburini 2009'!N29</f>
        <v>12500</v>
      </c>
      <c r="J494" s="51">
        <f>'Tamburini 2009'!O29</f>
        <v>5900</v>
      </c>
      <c r="K494" s="51">
        <f>'Tamburini 2009'!P29</f>
        <v>6550</v>
      </c>
      <c r="L494" s="51">
        <f>J494+K494</f>
        <v>12450</v>
      </c>
      <c r="M494" s="63">
        <f>L494/I494</f>
        <v>0.996</v>
      </c>
      <c r="N494" s="63">
        <f>K494/L494</f>
        <v>0.52610441767068272</v>
      </c>
      <c r="O494" s="63" t="s">
        <v>396</v>
      </c>
      <c r="P494" s="51" t="s">
        <v>535</v>
      </c>
      <c r="Q494" s="51" t="s">
        <v>534</v>
      </c>
      <c r="R494" s="51" t="s">
        <v>537</v>
      </c>
      <c r="S494" s="51" t="s">
        <v>538</v>
      </c>
      <c r="T494" s="20" t="s">
        <v>769</v>
      </c>
      <c r="U494" s="20" t="s">
        <v>104</v>
      </c>
      <c r="V494" s="51" t="s">
        <v>536</v>
      </c>
    </row>
    <row r="495" spans="1:22">
      <c r="A495" s="20" t="s">
        <v>391</v>
      </c>
      <c r="B495" s="20" t="str">
        <f>'Tamburini 2009'!B8</f>
        <v>Station4(VECTOR)</v>
      </c>
      <c r="C495" s="20">
        <f>'Tamburini 2009'!D8</f>
        <v>2500</v>
      </c>
      <c r="D495" s="64" t="s">
        <v>397</v>
      </c>
      <c r="H495" s="53"/>
      <c r="I495" s="65">
        <f>'Tamburini 2009'!N8</f>
        <v>25100</v>
      </c>
      <c r="J495" s="51">
        <f>'Tamburini 2009'!O8</f>
        <v>17770.8</v>
      </c>
      <c r="K495" s="51">
        <f>'Tamburini 2009'!P8</f>
        <v>9211.7000000000007</v>
      </c>
      <c r="L495" s="51">
        <f>J495+K495</f>
        <v>26982.5</v>
      </c>
      <c r="M495" s="63">
        <f>L495/I495</f>
        <v>1.075</v>
      </c>
      <c r="N495" s="63">
        <f>K495/L495</f>
        <v>0.34139534883720934</v>
      </c>
      <c r="O495" s="63" t="s">
        <v>396</v>
      </c>
      <c r="P495" s="51" t="s">
        <v>535</v>
      </c>
      <c r="Q495" s="51" t="s">
        <v>534</v>
      </c>
      <c r="R495" s="51" t="s">
        <v>537</v>
      </c>
      <c r="S495" s="51" t="s">
        <v>538</v>
      </c>
      <c r="T495" s="20" t="s">
        <v>769</v>
      </c>
      <c r="U495" s="20" t="s">
        <v>104</v>
      </c>
      <c r="V495" s="51" t="s">
        <v>536</v>
      </c>
    </row>
    <row r="496" spans="1:22">
      <c r="A496" s="20" t="s">
        <v>391</v>
      </c>
      <c r="B496" s="20" t="str">
        <f>'Tamburini 2009'!B11</f>
        <v>Station7</v>
      </c>
      <c r="C496" s="20">
        <f>'Tamburini 2009'!D11</f>
        <v>2500</v>
      </c>
      <c r="D496" s="64" t="s">
        <v>397</v>
      </c>
      <c r="H496" s="53"/>
      <c r="I496" s="65">
        <f>'Tamburini 2009'!N11</f>
        <v>34600</v>
      </c>
      <c r="J496" s="51">
        <f>'Tamburini 2009'!O11</f>
        <v>7992.6</v>
      </c>
      <c r="K496" s="51">
        <f>'Tamburini 2009'!P11</f>
        <v>7612.0000000000009</v>
      </c>
      <c r="L496" s="51">
        <f>J496+K496</f>
        <v>15604.600000000002</v>
      </c>
      <c r="M496" s="63">
        <f>L496/I496</f>
        <v>0.45100000000000007</v>
      </c>
      <c r="N496" s="63">
        <f>K496/L496</f>
        <v>0.48780487804878048</v>
      </c>
      <c r="O496" s="63" t="s">
        <v>396</v>
      </c>
      <c r="P496" s="51" t="s">
        <v>535</v>
      </c>
      <c r="Q496" s="51" t="s">
        <v>534</v>
      </c>
      <c r="R496" s="51" t="s">
        <v>537</v>
      </c>
      <c r="S496" s="51" t="s">
        <v>538</v>
      </c>
      <c r="T496" s="20" t="s">
        <v>769</v>
      </c>
      <c r="U496" s="20" t="s">
        <v>104</v>
      </c>
      <c r="V496" s="51" t="s">
        <v>536</v>
      </c>
    </row>
    <row r="497" spans="1:22">
      <c r="A497" s="20" t="s">
        <v>391</v>
      </c>
      <c r="B497" s="20" t="str">
        <f>'Tamburini 2009'!B32</f>
        <v>Station7</v>
      </c>
      <c r="C497" s="20">
        <f>'Tamburini 2009'!D32</f>
        <v>2500</v>
      </c>
      <c r="D497" s="64" t="s">
        <v>397</v>
      </c>
      <c r="H497" s="53"/>
      <c r="I497" s="65">
        <f>'Tamburini 2009'!N32</f>
        <v>16400</v>
      </c>
      <c r="J497" s="51">
        <f>'Tamburini 2009'!O32</f>
        <v>6166.4</v>
      </c>
      <c r="K497" s="51">
        <f>'Tamburini 2009'!P32</f>
        <v>1853.2000000000003</v>
      </c>
      <c r="L497" s="51">
        <f>J497+K497</f>
        <v>8019.6</v>
      </c>
      <c r="M497" s="63">
        <f>L497/I497</f>
        <v>0.48900000000000005</v>
      </c>
      <c r="N497" s="63">
        <f>K497/L497</f>
        <v>0.23108384458077713</v>
      </c>
      <c r="O497" s="63" t="s">
        <v>396</v>
      </c>
      <c r="P497" s="51" t="s">
        <v>535</v>
      </c>
      <c r="Q497" s="51" t="s">
        <v>534</v>
      </c>
      <c r="R497" s="51" t="s">
        <v>537</v>
      </c>
      <c r="S497" s="51" t="s">
        <v>538</v>
      </c>
      <c r="T497" s="20" t="s">
        <v>769</v>
      </c>
      <c r="U497" s="20" t="s">
        <v>104</v>
      </c>
      <c r="V497" s="51" t="s">
        <v>536</v>
      </c>
    </row>
    <row r="498" spans="1:22">
      <c r="A498" s="20" t="s">
        <v>391</v>
      </c>
      <c r="B498" s="20" t="str">
        <f>'Tamburini 2009'!B14</f>
        <v>Station8</v>
      </c>
      <c r="C498" s="20">
        <f>'Tamburini 2009'!D14</f>
        <v>2500</v>
      </c>
      <c r="D498" s="64" t="s">
        <v>397</v>
      </c>
      <c r="H498" s="53"/>
      <c r="I498" s="65">
        <f>'Tamburini 2009'!N14</f>
        <v>25100</v>
      </c>
      <c r="J498" s="51">
        <f>'Tamburini 2009'!O14</f>
        <v>7153.4999999999991</v>
      </c>
      <c r="K498" s="51">
        <f>'Tamburini 2009'!P14</f>
        <v>8232.8000000000011</v>
      </c>
      <c r="L498" s="51">
        <f>J498+K498</f>
        <v>15386.3</v>
      </c>
      <c r="M498" s="63">
        <f>L498/I498</f>
        <v>0.61299999999999999</v>
      </c>
      <c r="N498" s="63">
        <f>K498/L498</f>
        <v>0.53507340946166404</v>
      </c>
      <c r="O498" s="63" t="s">
        <v>396</v>
      </c>
      <c r="P498" s="51" t="s">
        <v>535</v>
      </c>
      <c r="Q498" s="51" t="s">
        <v>534</v>
      </c>
      <c r="R498" s="51" t="s">
        <v>537</v>
      </c>
      <c r="S498" s="51" t="s">
        <v>538</v>
      </c>
      <c r="T498" s="20" t="s">
        <v>769</v>
      </c>
      <c r="U498" s="20" t="s">
        <v>104</v>
      </c>
      <c r="V498" s="51" t="s">
        <v>536</v>
      </c>
    </row>
    <row r="499" spans="1:22">
      <c r="A499" s="20" t="s">
        <v>311</v>
      </c>
      <c r="B499" s="20" t="s">
        <v>186</v>
      </c>
      <c r="C499" s="20">
        <f>'Teira 2004'!A7</f>
        <v>100</v>
      </c>
      <c r="M499" s="63">
        <f>'Teira 2004'!E7</f>
        <v>0.76530962466446195</v>
      </c>
      <c r="N499" s="63">
        <f>'Teira 2004'!F7</f>
        <v>0.48095885291390394</v>
      </c>
      <c r="O499" s="63" t="s">
        <v>396</v>
      </c>
      <c r="P499" s="51" t="s">
        <v>535</v>
      </c>
      <c r="Q499" s="51" t="s">
        <v>534</v>
      </c>
      <c r="R499" s="51" t="s">
        <v>246</v>
      </c>
      <c r="S499" s="51" t="s">
        <v>909</v>
      </c>
      <c r="T499" s="51" t="s">
        <v>412</v>
      </c>
      <c r="U499" s="20" t="s">
        <v>104</v>
      </c>
      <c r="V499" s="51" t="s">
        <v>536</v>
      </c>
    </row>
    <row r="500" spans="1:22">
      <c r="A500" s="20" t="s">
        <v>311</v>
      </c>
      <c r="B500" s="20" t="s">
        <v>186</v>
      </c>
      <c r="C500" s="20">
        <f>'Teira 2004'!A8</f>
        <v>600</v>
      </c>
      <c r="M500" s="63">
        <f>'Teira 2004'!E8</f>
        <v>0.74515229095873992</v>
      </c>
      <c r="N500" s="63">
        <f>'Teira 2004'!F8</f>
        <v>0.38744370222180435</v>
      </c>
      <c r="O500" s="63" t="s">
        <v>396</v>
      </c>
      <c r="P500" s="51" t="s">
        <v>535</v>
      </c>
      <c r="Q500" s="51" t="s">
        <v>534</v>
      </c>
      <c r="R500" s="51" t="s">
        <v>246</v>
      </c>
      <c r="S500" s="51" t="s">
        <v>909</v>
      </c>
      <c r="T500" s="51" t="s">
        <v>412</v>
      </c>
      <c r="U500" s="20" t="s">
        <v>104</v>
      </c>
      <c r="V500" s="51" t="s">
        <v>536</v>
      </c>
    </row>
    <row r="501" spans="1:22">
      <c r="A501" s="20" t="s">
        <v>311</v>
      </c>
      <c r="B501" s="20" t="s">
        <v>186</v>
      </c>
      <c r="C501" s="20">
        <f>'Teira 2004'!A9</f>
        <v>2000</v>
      </c>
      <c r="M501" s="63">
        <f>'Teira 2004'!E9</f>
        <v>0.7750512808577309</v>
      </c>
      <c r="N501" s="63">
        <f>'Teira 2004'!F9</f>
        <v>0.39845754117231647</v>
      </c>
      <c r="O501" s="63" t="s">
        <v>396</v>
      </c>
      <c r="P501" s="51" t="s">
        <v>535</v>
      </c>
      <c r="Q501" s="51" t="s">
        <v>534</v>
      </c>
      <c r="R501" s="51" t="s">
        <v>246</v>
      </c>
      <c r="S501" s="51" t="s">
        <v>909</v>
      </c>
      <c r="T501" s="51" t="s">
        <v>412</v>
      </c>
      <c r="U501" s="20" t="s">
        <v>104</v>
      </c>
      <c r="V501" s="51" t="s">
        <v>536</v>
      </c>
    </row>
    <row r="502" spans="1:22">
      <c r="A502" s="20" t="s">
        <v>311</v>
      </c>
      <c r="B502" s="20" t="s">
        <v>186</v>
      </c>
      <c r="C502" s="20">
        <f>'Teira 2004'!A10</f>
        <v>3500</v>
      </c>
      <c r="M502" s="63">
        <f>'Teira 2004'!E10</f>
        <v>0.747606324380517</v>
      </c>
      <c r="N502" s="63">
        <f>'Teira 2004'!F10</f>
        <v>0.41630006517232265</v>
      </c>
      <c r="O502" s="63" t="s">
        <v>396</v>
      </c>
      <c r="P502" s="51" t="s">
        <v>535</v>
      </c>
      <c r="Q502" s="51" t="s">
        <v>534</v>
      </c>
      <c r="R502" s="51" t="s">
        <v>246</v>
      </c>
      <c r="S502" s="51" t="s">
        <v>909</v>
      </c>
      <c r="T502" s="51" t="s">
        <v>412</v>
      </c>
      <c r="U502" s="20" t="s">
        <v>104</v>
      </c>
      <c r="V502" s="51" t="s">
        <v>536</v>
      </c>
    </row>
    <row r="503" spans="1:22">
      <c r="A503" s="20" t="s">
        <v>349</v>
      </c>
      <c r="B503" s="20">
        <f>'Teira 2006'!B91</f>
        <v>35</v>
      </c>
      <c r="C503" s="20">
        <f>'Teira 2006'!C91</f>
        <v>67.450882242514993</v>
      </c>
      <c r="M503" s="63">
        <f>'Teira 2006'!G91</f>
        <v>0.4</v>
      </c>
      <c r="N503" s="63">
        <f>'Teira 2006'!H91</f>
        <v>0.375</v>
      </c>
      <c r="O503" s="63" t="s">
        <v>396</v>
      </c>
      <c r="P503" s="51" t="s">
        <v>535</v>
      </c>
      <c r="Q503" s="51" t="s">
        <v>534</v>
      </c>
      <c r="R503" s="51" t="s">
        <v>246</v>
      </c>
      <c r="S503" s="51" t="s">
        <v>538</v>
      </c>
      <c r="T503" s="51" t="s">
        <v>412</v>
      </c>
      <c r="U503" s="20" t="s">
        <v>104</v>
      </c>
      <c r="V503" s="51" t="s">
        <v>536</v>
      </c>
    </row>
    <row r="504" spans="1:22">
      <c r="A504" s="20" t="s">
        <v>349</v>
      </c>
      <c r="B504" s="20">
        <f>'Teira 2006'!B61</f>
        <v>21</v>
      </c>
      <c r="C504" s="20">
        <f>'Teira 2006'!C61</f>
        <v>70.704542610430906</v>
      </c>
      <c r="M504" s="63">
        <f>'Teira 2006'!G61</f>
        <v>0.9</v>
      </c>
      <c r="N504" s="63">
        <f>'Teira 2006'!H61</f>
        <v>0.5</v>
      </c>
      <c r="O504" s="63" t="s">
        <v>396</v>
      </c>
      <c r="P504" s="51" t="s">
        <v>535</v>
      </c>
      <c r="Q504" s="51" t="s">
        <v>534</v>
      </c>
      <c r="R504" s="51" t="s">
        <v>246</v>
      </c>
      <c r="S504" s="51" t="s">
        <v>538</v>
      </c>
      <c r="T504" s="51" t="s">
        <v>412</v>
      </c>
      <c r="U504" s="20" t="s">
        <v>104</v>
      </c>
      <c r="V504" s="51" t="s">
        <v>536</v>
      </c>
    </row>
    <row r="505" spans="1:22">
      <c r="A505" s="20" t="s">
        <v>349</v>
      </c>
      <c r="B505" s="20">
        <f>'Teira 2006'!B76</f>
        <v>26</v>
      </c>
      <c r="C505" s="20">
        <f>'Teira 2006'!C76</f>
        <v>78.212989613306902</v>
      </c>
      <c r="M505" s="63">
        <f>'Teira 2006'!G76</f>
        <v>0.5</v>
      </c>
      <c r="N505" s="63">
        <f>'Teira 2006'!H76</f>
        <v>0.4</v>
      </c>
      <c r="O505" s="63" t="s">
        <v>396</v>
      </c>
      <c r="P505" s="51" t="s">
        <v>535</v>
      </c>
      <c r="Q505" s="51" t="s">
        <v>534</v>
      </c>
      <c r="R505" s="51" t="s">
        <v>246</v>
      </c>
      <c r="S505" s="51" t="s">
        <v>538</v>
      </c>
      <c r="T505" s="51" t="s">
        <v>412</v>
      </c>
      <c r="U505" s="20" t="s">
        <v>104</v>
      </c>
      <c r="V505" s="51" t="s">
        <v>536</v>
      </c>
    </row>
    <row r="506" spans="1:22">
      <c r="A506" s="20" t="s">
        <v>349</v>
      </c>
      <c r="B506" s="20">
        <f>'Teira 2006'!B66</f>
        <v>23</v>
      </c>
      <c r="C506" s="20">
        <f>'Teira 2006'!C66</f>
        <v>84.470028782373902</v>
      </c>
      <c r="M506" s="63">
        <f>'Teira 2006'!G66</f>
        <v>0.45</v>
      </c>
      <c r="N506" s="63">
        <f>'Teira 2006'!H66</f>
        <v>0.44444444444444442</v>
      </c>
      <c r="O506" s="63" t="s">
        <v>396</v>
      </c>
      <c r="P506" s="51" t="s">
        <v>535</v>
      </c>
      <c r="Q506" s="51" t="s">
        <v>534</v>
      </c>
      <c r="R506" s="51" t="s">
        <v>246</v>
      </c>
      <c r="S506" s="51" t="s">
        <v>538</v>
      </c>
      <c r="T506" s="51" t="s">
        <v>412</v>
      </c>
      <c r="U506" s="20" t="s">
        <v>104</v>
      </c>
      <c r="V506" s="51" t="s">
        <v>536</v>
      </c>
    </row>
    <row r="507" spans="1:22">
      <c r="A507" s="20" t="s">
        <v>349</v>
      </c>
      <c r="B507" s="20">
        <f>'Teira 2006'!B41</f>
        <v>14</v>
      </c>
      <c r="C507" s="20">
        <f>'Teira 2006'!C41</f>
        <v>88.224252283816398</v>
      </c>
      <c r="M507" s="63">
        <f>'Teira 2006'!G41</f>
        <v>0.65</v>
      </c>
      <c r="N507" s="63">
        <f>'Teira 2006'!H41</f>
        <v>0.53846153846153844</v>
      </c>
      <c r="O507" s="63" t="s">
        <v>396</v>
      </c>
      <c r="P507" s="51" t="s">
        <v>535</v>
      </c>
      <c r="Q507" s="51" t="s">
        <v>534</v>
      </c>
      <c r="R507" s="51" t="s">
        <v>246</v>
      </c>
      <c r="S507" s="51" t="s">
        <v>538</v>
      </c>
      <c r="T507" s="51" t="s">
        <v>412</v>
      </c>
      <c r="U507" s="20" t="s">
        <v>104</v>
      </c>
      <c r="V507" s="51" t="s">
        <v>536</v>
      </c>
    </row>
    <row r="508" spans="1:22">
      <c r="A508" s="20" t="s">
        <v>349</v>
      </c>
      <c r="B508" s="20">
        <f>'Teira 2006'!B81</f>
        <v>29</v>
      </c>
      <c r="C508" s="20">
        <f>'Teira 2006'!C81</f>
        <v>90.601927168055596</v>
      </c>
      <c r="M508" s="63">
        <f>'Teira 2006'!G81</f>
        <v>0.35</v>
      </c>
      <c r="N508" s="63">
        <f>'Teira 2006'!H81</f>
        <v>0.42857142857142855</v>
      </c>
      <c r="O508" s="63" t="s">
        <v>396</v>
      </c>
      <c r="P508" s="51" t="s">
        <v>535</v>
      </c>
      <c r="Q508" s="51" t="s">
        <v>534</v>
      </c>
      <c r="R508" s="51" t="s">
        <v>246</v>
      </c>
      <c r="S508" s="51" t="s">
        <v>538</v>
      </c>
      <c r="T508" s="51" t="s">
        <v>412</v>
      </c>
      <c r="U508" s="20" t="s">
        <v>104</v>
      </c>
      <c r="V508" s="51" t="s">
        <v>536</v>
      </c>
    </row>
    <row r="509" spans="1:22">
      <c r="A509" s="20" t="s">
        <v>349</v>
      </c>
      <c r="B509" s="20">
        <f>'Teira 2006'!B22</f>
        <v>5</v>
      </c>
      <c r="C509" s="20">
        <f>'Teira 2006'!C22</f>
        <v>97.359529470653797</v>
      </c>
      <c r="M509" s="63">
        <f>'Teira 2006'!G22</f>
        <v>0.5</v>
      </c>
      <c r="N509" s="63">
        <f>'Teira 2006'!H22</f>
        <v>0.4</v>
      </c>
      <c r="O509" s="63" t="s">
        <v>396</v>
      </c>
      <c r="P509" s="51" t="s">
        <v>535</v>
      </c>
      <c r="Q509" s="51" t="s">
        <v>534</v>
      </c>
      <c r="R509" s="51" t="s">
        <v>246</v>
      </c>
      <c r="S509" s="51" t="s">
        <v>538</v>
      </c>
      <c r="T509" s="51" t="s">
        <v>412</v>
      </c>
      <c r="U509" s="20" t="s">
        <v>104</v>
      </c>
      <c r="V509" s="51" t="s">
        <v>536</v>
      </c>
    </row>
    <row r="510" spans="1:22">
      <c r="A510" s="20" t="s">
        <v>349</v>
      </c>
      <c r="B510" s="20">
        <f>'Teira 2006'!B36</f>
        <v>11</v>
      </c>
      <c r="C510" s="20">
        <f>'Teira 2006'!C36</f>
        <v>97.860092604177595</v>
      </c>
      <c r="M510" s="63">
        <f>'Teira 2006'!G36</f>
        <v>0.75</v>
      </c>
      <c r="N510" s="63">
        <f>'Teira 2006'!H36</f>
        <v>0.53333333333333333</v>
      </c>
      <c r="O510" s="63" t="s">
        <v>396</v>
      </c>
      <c r="P510" s="51" t="s">
        <v>535</v>
      </c>
      <c r="Q510" s="51" t="s">
        <v>534</v>
      </c>
      <c r="R510" s="51" t="s">
        <v>246</v>
      </c>
      <c r="S510" s="51" t="s">
        <v>538</v>
      </c>
      <c r="T510" s="51" t="s">
        <v>412</v>
      </c>
      <c r="U510" s="20" t="s">
        <v>104</v>
      </c>
      <c r="V510" s="51" t="s">
        <v>536</v>
      </c>
    </row>
    <row r="511" spans="1:22">
      <c r="A511" s="20" t="s">
        <v>349</v>
      </c>
      <c r="B511" s="20">
        <f>'Teira 2006'!B51</f>
        <v>18</v>
      </c>
      <c r="C511" s="20">
        <f>'Teira 2006'!C51</f>
        <v>97.985233387556406</v>
      </c>
      <c r="M511" s="63">
        <f>'Teira 2006'!G51</f>
        <v>0.7</v>
      </c>
      <c r="N511" s="63">
        <f>'Teira 2006'!H51</f>
        <v>0.5714285714285714</v>
      </c>
      <c r="O511" s="63" t="s">
        <v>396</v>
      </c>
      <c r="P511" s="51" t="s">
        <v>535</v>
      </c>
      <c r="Q511" s="51" t="s">
        <v>534</v>
      </c>
      <c r="R511" s="51" t="s">
        <v>246</v>
      </c>
      <c r="S511" s="51" t="s">
        <v>538</v>
      </c>
      <c r="T511" s="51" t="s">
        <v>412</v>
      </c>
      <c r="U511" s="20" t="s">
        <v>104</v>
      </c>
      <c r="V511" s="51" t="s">
        <v>536</v>
      </c>
    </row>
    <row r="512" spans="1:22">
      <c r="A512" s="20" t="s">
        <v>349</v>
      </c>
      <c r="B512" s="20">
        <f>'Teira 2006'!B71</f>
        <v>25</v>
      </c>
      <c r="C512" s="20">
        <f>'Teira 2006'!C71</f>
        <v>98.861218871223599</v>
      </c>
      <c r="M512" s="63">
        <f>'Teira 2006'!G71</f>
        <v>0.45</v>
      </c>
      <c r="N512" s="63">
        <f>'Teira 2006'!H71</f>
        <v>0.33333333333333331</v>
      </c>
      <c r="O512" s="63" t="s">
        <v>396</v>
      </c>
      <c r="P512" s="51" t="s">
        <v>535</v>
      </c>
      <c r="Q512" s="51" t="s">
        <v>534</v>
      </c>
      <c r="R512" s="51" t="s">
        <v>246</v>
      </c>
      <c r="S512" s="51" t="s">
        <v>538</v>
      </c>
      <c r="T512" s="51" t="s">
        <v>412</v>
      </c>
      <c r="U512" s="20" t="s">
        <v>104</v>
      </c>
      <c r="V512" s="51" t="s">
        <v>536</v>
      </c>
    </row>
    <row r="513" spans="1:22">
      <c r="A513" s="20" t="s">
        <v>349</v>
      </c>
      <c r="B513" s="20">
        <f>'Teira 2006'!B46</f>
        <v>16</v>
      </c>
      <c r="C513" s="20">
        <f>'Teira 2006'!C46</f>
        <v>101.113752972089</v>
      </c>
      <c r="M513" s="63">
        <f>'Teira 2006'!G46</f>
        <v>0.75</v>
      </c>
      <c r="N513" s="63">
        <f>'Teira 2006'!H46</f>
        <v>0.6</v>
      </c>
      <c r="O513" s="63" t="s">
        <v>396</v>
      </c>
      <c r="P513" s="51" t="s">
        <v>535</v>
      </c>
      <c r="Q513" s="51" t="s">
        <v>534</v>
      </c>
      <c r="R513" s="51" t="s">
        <v>246</v>
      </c>
      <c r="S513" s="51" t="s">
        <v>538</v>
      </c>
      <c r="T513" s="51" t="s">
        <v>412</v>
      </c>
      <c r="U513" s="20" t="s">
        <v>104</v>
      </c>
      <c r="V513" s="51" t="s">
        <v>536</v>
      </c>
    </row>
    <row r="514" spans="1:22">
      <c r="A514" s="20" t="s">
        <v>349</v>
      </c>
      <c r="B514" s="20">
        <f>'Teira 2006'!B17</f>
        <v>3</v>
      </c>
      <c r="C514" s="20">
        <f>'Teira 2006'!C17</f>
        <v>102.114879239144</v>
      </c>
      <c r="M514" s="63">
        <f>'Teira 2006'!G17</f>
        <v>0.6</v>
      </c>
      <c r="N514" s="63">
        <f>'Teira 2006'!H17</f>
        <v>0.58333333333333337</v>
      </c>
      <c r="O514" s="63" t="s">
        <v>396</v>
      </c>
      <c r="P514" s="51" t="s">
        <v>535</v>
      </c>
      <c r="Q514" s="51" t="s">
        <v>534</v>
      </c>
      <c r="R514" s="51" t="s">
        <v>246</v>
      </c>
      <c r="S514" s="51" t="s">
        <v>538</v>
      </c>
      <c r="T514" s="51" t="s">
        <v>412</v>
      </c>
      <c r="U514" s="20" t="s">
        <v>104</v>
      </c>
      <c r="V514" s="51" t="s">
        <v>536</v>
      </c>
    </row>
    <row r="515" spans="1:22">
      <c r="A515" s="20" t="s">
        <v>349</v>
      </c>
      <c r="B515" s="20">
        <f>'Teira 2006'!B31</f>
        <v>10</v>
      </c>
      <c r="C515" s="20">
        <f>'Teira 2006'!C31</f>
        <v>103.86685020648</v>
      </c>
      <c r="M515" s="63">
        <f>'Teira 2006'!G31</f>
        <v>0.65</v>
      </c>
      <c r="N515" s="63">
        <f>'Teira 2006'!H31</f>
        <v>0.46153846153846156</v>
      </c>
      <c r="O515" s="63" t="s">
        <v>396</v>
      </c>
      <c r="P515" s="51" t="s">
        <v>535</v>
      </c>
      <c r="Q515" s="51" t="s">
        <v>534</v>
      </c>
      <c r="R515" s="51" t="s">
        <v>246</v>
      </c>
      <c r="S515" s="51" t="s">
        <v>538</v>
      </c>
      <c r="T515" s="51" t="s">
        <v>412</v>
      </c>
      <c r="U515" s="20" t="s">
        <v>104</v>
      </c>
      <c r="V515" s="51" t="s">
        <v>536</v>
      </c>
    </row>
    <row r="516" spans="1:22">
      <c r="A516" s="20" t="s">
        <v>349</v>
      </c>
      <c r="B516" s="20">
        <f>'Teira 2006'!B86</f>
        <v>31</v>
      </c>
      <c r="C516" s="20">
        <f>'Teira 2006'!C86</f>
        <v>104.61769490676301</v>
      </c>
      <c r="M516" s="63">
        <f>'Teira 2006'!G86</f>
        <v>0.45</v>
      </c>
      <c r="N516" s="63">
        <f>'Teira 2006'!H86</f>
        <v>0.44444444444444442</v>
      </c>
      <c r="O516" s="63" t="s">
        <v>396</v>
      </c>
      <c r="P516" s="51" t="s">
        <v>535</v>
      </c>
      <c r="Q516" s="51" t="s">
        <v>534</v>
      </c>
      <c r="R516" s="51" t="s">
        <v>246</v>
      </c>
      <c r="S516" s="51" t="s">
        <v>538</v>
      </c>
      <c r="T516" s="51" t="s">
        <v>412</v>
      </c>
      <c r="U516" s="20" t="s">
        <v>104</v>
      </c>
      <c r="V516" s="51" t="s">
        <v>536</v>
      </c>
    </row>
    <row r="517" spans="1:22">
      <c r="A517" s="20" t="s">
        <v>349</v>
      </c>
      <c r="B517" s="20" t="s">
        <v>351</v>
      </c>
      <c r="C517" s="20">
        <v>104.61769490676301</v>
      </c>
      <c r="I517" s="51">
        <f>'Teira 2006'!B5</f>
        <v>250000</v>
      </c>
      <c r="J517" s="51">
        <f>'Teira 2006'!D5</f>
        <v>80000</v>
      </c>
      <c r="K517" s="51">
        <f>'Teira 2006'!I5</f>
        <v>85000</v>
      </c>
      <c r="L517" s="51">
        <f>J517+K517</f>
        <v>165000</v>
      </c>
      <c r="M517" s="63">
        <f>L517/I517</f>
        <v>0.66</v>
      </c>
      <c r="N517" s="63">
        <f>K517/L517</f>
        <v>0.51515151515151514</v>
      </c>
      <c r="O517" s="63" t="s">
        <v>396</v>
      </c>
      <c r="P517" s="51" t="s">
        <v>535</v>
      </c>
      <c r="Q517" s="51" t="s">
        <v>534</v>
      </c>
      <c r="R517" s="51" t="s">
        <v>246</v>
      </c>
      <c r="S517" s="51" t="s">
        <v>538</v>
      </c>
      <c r="T517" s="51" t="s">
        <v>412</v>
      </c>
      <c r="U517" s="20" t="s">
        <v>104</v>
      </c>
      <c r="V517" s="51" t="s">
        <v>536</v>
      </c>
    </row>
    <row r="518" spans="1:22">
      <c r="A518" s="20" t="s">
        <v>349</v>
      </c>
      <c r="B518" s="20">
        <f>'Teira 2006'!B56</f>
        <v>20</v>
      </c>
      <c r="C518" s="20">
        <f>'Teira 2006'!C56</f>
        <v>107.99649605806</v>
      </c>
      <c r="M518" s="63">
        <f>'Teira 2006'!G56</f>
        <v>0.85</v>
      </c>
      <c r="N518" s="63">
        <f>'Teira 2006'!H56</f>
        <v>0.58823529411764708</v>
      </c>
      <c r="O518" s="63" t="s">
        <v>396</v>
      </c>
      <c r="P518" s="51" t="s">
        <v>535</v>
      </c>
      <c r="Q518" s="51" t="s">
        <v>534</v>
      </c>
      <c r="R518" s="51" t="s">
        <v>246</v>
      </c>
      <c r="S518" s="51" t="s">
        <v>538</v>
      </c>
      <c r="T518" s="51" t="s">
        <v>412</v>
      </c>
      <c r="U518" s="20" t="s">
        <v>104</v>
      </c>
      <c r="V518" s="51" t="s">
        <v>536</v>
      </c>
    </row>
    <row r="519" spans="1:22">
      <c r="A519" s="20" t="s">
        <v>349</v>
      </c>
      <c r="B519" s="20">
        <f>'Teira 2006'!B27</f>
        <v>7</v>
      </c>
      <c r="C519" s="20">
        <f>'Teira 2006'!C27</f>
        <v>125.64134651482701</v>
      </c>
      <c r="M519" s="63">
        <f>'Teira 2006'!G27</f>
        <v>0.55000000000000004</v>
      </c>
      <c r="N519" s="63">
        <f>'Teira 2006'!H27</f>
        <v>0.27272727272727271</v>
      </c>
      <c r="O519" s="63" t="s">
        <v>396</v>
      </c>
      <c r="P519" s="51" t="s">
        <v>535</v>
      </c>
      <c r="Q519" s="51" t="s">
        <v>534</v>
      </c>
      <c r="R519" s="51" t="s">
        <v>246</v>
      </c>
      <c r="S519" s="51" t="s">
        <v>538</v>
      </c>
      <c r="T519" s="51" t="s">
        <v>412</v>
      </c>
      <c r="U519" s="20" t="s">
        <v>104</v>
      </c>
      <c r="V519" s="51" t="s">
        <v>536</v>
      </c>
    </row>
    <row r="520" spans="1:22">
      <c r="A520" s="20" t="s">
        <v>349</v>
      </c>
      <c r="B520" s="20">
        <f>'Teira 2006'!B42</f>
        <v>14</v>
      </c>
      <c r="C520" s="20">
        <f>'Teira 2006'!C42</f>
        <v>241.396571142531</v>
      </c>
      <c r="M520" s="63">
        <f>'Teira 2006'!G42</f>
        <v>0.65</v>
      </c>
      <c r="N520" s="63">
        <f>'Teira 2006'!H42</f>
        <v>0.53846153846153844</v>
      </c>
      <c r="O520" s="63" t="s">
        <v>396</v>
      </c>
      <c r="P520" s="51" t="s">
        <v>535</v>
      </c>
      <c r="Q520" s="51" t="s">
        <v>534</v>
      </c>
      <c r="R520" s="51" t="s">
        <v>246</v>
      </c>
      <c r="S520" s="51" t="s">
        <v>538</v>
      </c>
      <c r="T520" s="51" t="s">
        <v>412</v>
      </c>
      <c r="U520" s="20" t="s">
        <v>104</v>
      </c>
      <c r="V520" s="51" t="s">
        <v>536</v>
      </c>
    </row>
    <row r="521" spans="1:22">
      <c r="A521" s="20" t="s">
        <v>349</v>
      </c>
      <c r="B521" s="20">
        <f>'Teira 2006'!B37</f>
        <v>11</v>
      </c>
      <c r="C521" s="20">
        <f>'Teira 2006'!C37</f>
        <v>250.90727067951099</v>
      </c>
      <c r="M521" s="63">
        <f>'Teira 2006'!G37</f>
        <v>0.85</v>
      </c>
      <c r="N521" s="63">
        <f>'Teira 2006'!H37</f>
        <v>0.70588235294117652</v>
      </c>
      <c r="O521" s="63" t="s">
        <v>396</v>
      </c>
      <c r="P521" s="51" t="s">
        <v>535</v>
      </c>
      <c r="Q521" s="51" t="s">
        <v>534</v>
      </c>
      <c r="R521" s="51" t="s">
        <v>246</v>
      </c>
      <c r="S521" s="51" t="s">
        <v>538</v>
      </c>
      <c r="T521" s="51" t="s">
        <v>412</v>
      </c>
      <c r="U521" s="20" t="s">
        <v>104</v>
      </c>
      <c r="V521" s="51" t="s">
        <v>536</v>
      </c>
    </row>
    <row r="522" spans="1:22">
      <c r="A522" s="20" t="s">
        <v>349</v>
      </c>
      <c r="B522" s="20">
        <f>'Teira 2006'!B47</f>
        <v>16</v>
      </c>
      <c r="C522" s="20">
        <f>'Teira 2006'!C47</f>
        <v>254.16093104742399</v>
      </c>
      <c r="M522" s="63">
        <f>'Teira 2006'!G47</f>
        <v>0.65</v>
      </c>
      <c r="N522" s="63">
        <f>'Teira 2006'!H47</f>
        <v>0.61538461538461542</v>
      </c>
      <c r="O522" s="63" t="s">
        <v>396</v>
      </c>
      <c r="P522" s="51" t="s">
        <v>535</v>
      </c>
      <c r="Q522" s="51" t="s">
        <v>534</v>
      </c>
      <c r="R522" s="51" t="s">
        <v>246</v>
      </c>
      <c r="S522" s="51" t="s">
        <v>538</v>
      </c>
      <c r="T522" s="51" t="s">
        <v>412</v>
      </c>
      <c r="U522" s="20" t="s">
        <v>104</v>
      </c>
      <c r="V522" s="51" t="s">
        <v>536</v>
      </c>
    </row>
    <row r="523" spans="1:22">
      <c r="A523" s="20" t="s">
        <v>349</v>
      </c>
      <c r="B523" s="20">
        <f>'Teira 2006'!B32</f>
        <v>10</v>
      </c>
      <c r="C523" s="20">
        <f>'Teira 2006'!C32</f>
        <v>495.30722062319802</v>
      </c>
      <c r="M523" s="63">
        <f>'Teira 2006'!G32</f>
        <v>0.55000000000000004</v>
      </c>
      <c r="N523" s="63">
        <f>'Teira 2006'!H32</f>
        <v>0.63636363636363635</v>
      </c>
      <c r="O523" s="63" t="s">
        <v>396</v>
      </c>
      <c r="P523" s="51" t="s">
        <v>535</v>
      </c>
      <c r="Q523" s="51" t="s">
        <v>534</v>
      </c>
      <c r="R523" s="51" t="s">
        <v>246</v>
      </c>
      <c r="S523" s="51" t="s">
        <v>538</v>
      </c>
      <c r="T523" s="51" t="s">
        <v>412</v>
      </c>
      <c r="U523" s="20" t="s">
        <v>104</v>
      </c>
      <c r="V523" s="51" t="s">
        <v>536</v>
      </c>
    </row>
    <row r="524" spans="1:22">
      <c r="A524" s="20" t="s">
        <v>349</v>
      </c>
      <c r="B524" s="20">
        <f>'Teira 2006'!B19</f>
        <v>3</v>
      </c>
      <c r="C524" s="20">
        <f>'Teira 2006'!C19</f>
        <v>510.82467776248302</v>
      </c>
      <c r="M524" s="63">
        <f>'Teira 2006'!G19</f>
        <v>0.6</v>
      </c>
      <c r="N524" s="63">
        <f>'Teira 2006'!H19</f>
        <v>0.33333333333333331</v>
      </c>
      <c r="O524" s="63" t="s">
        <v>396</v>
      </c>
      <c r="P524" s="51" t="s">
        <v>535</v>
      </c>
      <c r="Q524" s="51" t="s">
        <v>534</v>
      </c>
      <c r="R524" s="51" t="s">
        <v>246</v>
      </c>
      <c r="S524" s="51" t="s">
        <v>538</v>
      </c>
      <c r="T524" s="51" t="s">
        <v>412</v>
      </c>
      <c r="U524" s="20" t="s">
        <v>104</v>
      </c>
      <c r="V524" s="51" t="s">
        <v>536</v>
      </c>
    </row>
    <row r="525" spans="1:22">
      <c r="A525" s="20" t="s">
        <v>349</v>
      </c>
      <c r="B525" s="20">
        <f>'Teira 2006'!B82</f>
        <v>29</v>
      </c>
      <c r="C525" s="20">
        <f>'Teira 2006'!C82</f>
        <v>516.08059066449005</v>
      </c>
      <c r="M525" s="63">
        <f>'Teira 2006'!G82</f>
        <v>0.4</v>
      </c>
      <c r="N525" s="63">
        <f>'Teira 2006'!H82</f>
        <v>0.375</v>
      </c>
      <c r="O525" s="63" t="s">
        <v>396</v>
      </c>
      <c r="P525" s="51" t="s">
        <v>535</v>
      </c>
      <c r="Q525" s="51" t="s">
        <v>534</v>
      </c>
      <c r="R525" s="51" t="s">
        <v>246</v>
      </c>
      <c r="S525" s="51" t="s">
        <v>538</v>
      </c>
      <c r="T525" s="51" t="s">
        <v>412</v>
      </c>
      <c r="U525" s="20" t="s">
        <v>104</v>
      </c>
      <c r="V525" s="51" t="s">
        <v>536</v>
      </c>
    </row>
    <row r="526" spans="1:22">
      <c r="A526" s="20" t="s">
        <v>349</v>
      </c>
      <c r="B526" s="20">
        <f>'Teira 2006'!B62</f>
        <v>21</v>
      </c>
      <c r="C526" s="20">
        <f>'Teira 2006'!C62</f>
        <v>530.22149918657794</v>
      </c>
      <c r="M526" s="63">
        <f>'Teira 2006'!G62</f>
        <v>0.85</v>
      </c>
      <c r="N526" s="63">
        <f>'Teira 2006'!H62</f>
        <v>0.52941176470588236</v>
      </c>
      <c r="O526" s="63" t="s">
        <v>396</v>
      </c>
      <c r="P526" s="51" t="s">
        <v>535</v>
      </c>
      <c r="Q526" s="51" t="s">
        <v>534</v>
      </c>
      <c r="R526" s="51" t="s">
        <v>246</v>
      </c>
      <c r="S526" s="51" t="s">
        <v>538</v>
      </c>
      <c r="T526" s="51" t="s">
        <v>412</v>
      </c>
      <c r="U526" s="20" t="s">
        <v>104</v>
      </c>
      <c r="V526" s="51" t="s">
        <v>536</v>
      </c>
    </row>
    <row r="527" spans="1:22">
      <c r="A527" s="20" t="s">
        <v>349</v>
      </c>
      <c r="B527" s="20">
        <f>'Teira 2006'!B23</f>
        <v>5</v>
      </c>
      <c r="C527" s="20">
        <f>'Teira 2006'!C23</f>
        <v>573.89563258665896</v>
      </c>
      <c r="M527" s="63">
        <f>'Teira 2006'!G23</f>
        <v>0.55000000000000004</v>
      </c>
      <c r="N527" s="63">
        <f>'Teira 2006'!H23</f>
        <v>0.45454545454545453</v>
      </c>
      <c r="O527" s="63" t="s">
        <v>396</v>
      </c>
      <c r="P527" s="51" t="s">
        <v>535</v>
      </c>
      <c r="Q527" s="51" t="s">
        <v>534</v>
      </c>
      <c r="R527" s="51" t="s">
        <v>246</v>
      </c>
      <c r="S527" s="51" t="s">
        <v>538</v>
      </c>
      <c r="T527" s="51" t="s">
        <v>412</v>
      </c>
      <c r="U527" s="20" t="s">
        <v>104</v>
      </c>
      <c r="V527" s="51" t="s">
        <v>536</v>
      </c>
    </row>
    <row r="528" spans="1:22">
      <c r="A528" s="20" t="s">
        <v>349</v>
      </c>
      <c r="B528" s="20">
        <f>'Teira 2006'!B57</f>
        <v>20</v>
      </c>
      <c r="C528" s="20">
        <f>'Teira 2006'!C57</f>
        <v>635.46489801025598</v>
      </c>
      <c r="M528" s="63">
        <f>'Teira 2006'!G57</f>
        <v>0.85</v>
      </c>
      <c r="N528" s="63">
        <f>'Teira 2006'!H57</f>
        <v>0.47058823529411764</v>
      </c>
      <c r="O528" s="63" t="s">
        <v>396</v>
      </c>
      <c r="P528" s="51" t="s">
        <v>535</v>
      </c>
      <c r="Q528" s="51" t="s">
        <v>534</v>
      </c>
      <c r="R528" s="51" t="s">
        <v>246</v>
      </c>
      <c r="S528" s="51" t="s">
        <v>538</v>
      </c>
      <c r="T528" s="51" t="s">
        <v>412</v>
      </c>
      <c r="U528" s="20" t="s">
        <v>104</v>
      </c>
      <c r="V528" s="51" t="s">
        <v>536</v>
      </c>
    </row>
    <row r="529" spans="1:22">
      <c r="A529" s="20" t="s">
        <v>349</v>
      </c>
      <c r="B529" s="20">
        <f>'Teira 2006'!B92</f>
        <v>35</v>
      </c>
      <c r="C529" s="20">
        <f>'Teira 2006'!C92</f>
        <v>697.40958578399898</v>
      </c>
      <c r="M529" s="63">
        <f>'Teira 2006'!G92</f>
        <v>0.6</v>
      </c>
      <c r="N529" s="63">
        <f>'Teira 2006'!H92</f>
        <v>0.58333333333333337</v>
      </c>
      <c r="O529" s="63" t="s">
        <v>396</v>
      </c>
      <c r="P529" s="51" t="s">
        <v>535</v>
      </c>
      <c r="Q529" s="51" t="s">
        <v>534</v>
      </c>
      <c r="R529" s="51" t="s">
        <v>246</v>
      </c>
      <c r="S529" s="51" t="s">
        <v>538</v>
      </c>
      <c r="T529" s="51" t="s">
        <v>412</v>
      </c>
      <c r="U529" s="20" t="s">
        <v>104</v>
      </c>
      <c r="V529" s="51" t="s">
        <v>536</v>
      </c>
    </row>
    <row r="530" spans="1:22">
      <c r="A530" s="20" t="s">
        <v>349</v>
      </c>
      <c r="B530" s="20">
        <f>'Teira 2006'!B52</f>
        <v>18</v>
      </c>
      <c r="C530" s="20">
        <f>'Teira 2006'!C52</f>
        <v>761.98223000875498</v>
      </c>
      <c r="M530" s="63">
        <f>'Teira 2006'!G52</f>
        <v>0.8</v>
      </c>
      <c r="N530" s="63">
        <f>'Teira 2006'!H52</f>
        <v>0.625</v>
      </c>
      <c r="O530" s="63" t="s">
        <v>396</v>
      </c>
      <c r="P530" s="51" t="s">
        <v>535</v>
      </c>
      <c r="Q530" s="51" t="s">
        <v>534</v>
      </c>
      <c r="R530" s="51" t="s">
        <v>246</v>
      </c>
      <c r="S530" s="51" t="s">
        <v>538</v>
      </c>
      <c r="T530" s="51" t="s">
        <v>412</v>
      </c>
      <c r="U530" s="20" t="s">
        <v>104</v>
      </c>
      <c r="V530" s="51" t="s">
        <v>536</v>
      </c>
    </row>
    <row r="531" spans="1:22">
      <c r="A531" s="20" t="s">
        <v>349</v>
      </c>
      <c r="B531" s="20">
        <f>'Teira 2006'!B72</f>
        <v>25</v>
      </c>
      <c r="C531" s="20">
        <f>'Teira 2006'!C72</f>
        <v>796.39594543861199</v>
      </c>
      <c r="M531" s="63">
        <f>'Teira 2006'!G72</f>
        <v>0.7</v>
      </c>
      <c r="N531" s="63">
        <f>'Teira 2006'!H72</f>
        <v>0.5</v>
      </c>
      <c r="O531" s="63" t="s">
        <v>396</v>
      </c>
      <c r="P531" s="51" t="s">
        <v>535</v>
      </c>
      <c r="Q531" s="51" t="s">
        <v>534</v>
      </c>
      <c r="R531" s="51" t="s">
        <v>246</v>
      </c>
      <c r="S531" s="51" t="s">
        <v>538</v>
      </c>
      <c r="T531" s="51" t="s">
        <v>412</v>
      </c>
      <c r="U531" s="20" t="s">
        <v>104</v>
      </c>
      <c r="V531" s="51" t="s">
        <v>536</v>
      </c>
    </row>
    <row r="532" spans="1:22">
      <c r="A532" s="20" t="s">
        <v>349</v>
      </c>
      <c r="B532" s="20">
        <f>'Teira 2006'!B77</f>
        <v>26</v>
      </c>
      <c r="C532" s="20">
        <f>'Teira 2006'!C77</f>
        <v>809.91115004379105</v>
      </c>
      <c r="M532" s="63">
        <f>'Teira 2006'!G77</f>
        <v>0.6</v>
      </c>
      <c r="N532" s="63">
        <f>'Teira 2006'!H77</f>
        <v>0.5</v>
      </c>
      <c r="O532" s="63" t="s">
        <v>396</v>
      </c>
      <c r="P532" s="51" t="s">
        <v>535</v>
      </c>
      <c r="Q532" s="51" t="s">
        <v>534</v>
      </c>
      <c r="R532" s="51" t="s">
        <v>246</v>
      </c>
      <c r="S532" s="51" t="s">
        <v>538</v>
      </c>
      <c r="T532" s="51" t="s">
        <v>412</v>
      </c>
      <c r="U532" s="20" t="s">
        <v>104</v>
      </c>
      <c r="V532" s="51" t="s">
        <v>536</v>
      </c>
    </row>
    <row r="533" spans="1:22">
      <c r="A533" s="20" t="s">
        <v>349</v>
      </c>
      <c r="B533" s="20">
        <f>'Teira 2006'!B38</f>
        <v>11</v>
      </c>
      <c r="C533" s="20">
        <f>'Teira 2006'!C38</f>
        <v>846.827681141281</v>
      </c>
      <c r="M533" s="63">
        <f>'Teira 2006'!G38</f>
        <v>0.6</v>
      </c>
      <c r="N533" s="63">
        <f>'Teira 2006'!H38</f>
        <v>0.58333333333333337</v>
      </c>
      <c r="O533" s="63" t="s">
        <v>396</v>
      </c>
      <c r="P533" s="51" t="s">
        <v>535</v>
      </c>
      <c r="Q533" s="51" t="s">
        <v>534</v>
      </c>
      <c r="R533" s="51" t="s">
        <v>246</v>
      </c>
      <c r="S533" s="51" t="s">
        <v>538</v>
      </c>
      <c r="T533" s="51" t="s">
        <v>412</v>
      </c>
      <c r="U533" s="20" t="s">
        <v>104</v>
      </c>
      <c r="V533" s="51" t="s">
        <v>536</v>
      </c>
    </row>
    <row r="534" spans="1:22">
      <c r="A534" s="20" t="s">
        <v>349</v>
      </c>
      <c r="B534" s="20">
        <f>'Teira 2006'!B83</f>
        <v>29</v>
      </c>
      <c r="C534" s="20">
        <f>'Teira 2006'!C83</f>
        <v>873.48266800149395</v>
      </c>
      <c r="M534" s="63">
        <f>'Teira 2006'!G83</f>
        <v>0.35</v>
      </c>
      <c r="N534" s="63">
        <f>'Teira 2006'!H83</f>
        <v>0.42857142857142855</v>
      </c>
      <c r="O534" s="63" t="s">
        <v>396</v>
      </c>
      <c r="P534" s="51" t="s">
        <v>535</v>
      </c>
      <c r="Q534" s="51" t="s">
        <v>534</v>
      </c>
      <c r="R534" s="51" t="s">
        <v>246</v>
      </c>
      <c r="S534" s="51" t="s">
        <v>538</v>
      </c>
      <c r="T534" s="51" t="s">
        <v>412</v>
      </c>
      <c r="U534" s="20" t="s">
        <v>104</v>
      </c>
      <c r="V534" s="51" t="s">
        <v>536</v>
      </c>
    </row>
    <row r="535" spans="1:22">
      <c r="A535" s="20" t="s">
        <v>349</v>
      </c>
      <c r="B535" s="20">
        <f>'Teira 2006'!B67</f>
        <v>23</v>
      </c>
      <c r="C535" s="20">
        <f>'Teira 2006'!C67</f>
        <v>901.63934426228798</v>
      </c>
      <c r="M535" s="63">
        <f>'Teira 2006'!G67</f>
        <v>0.6</v>
      </c>
      <c r="N535" s="63">
        <f>'Teira 2006'!H67</f>
        <v>0.33333333333333331</v>
      </c>
      <c r="O535" s="63" t="s">
        <v>396</v>
      </c>
      <c r="P535" s="51" t="s">
        <v>535</v>
      </c>
      <c r="Q535" s="51" t="s">
        <v>534</v>
      </c>
      <c r="R535" s="51" t="s">
        <v>246</v>
      </c>
      <c r="S535" s="51" t="s">
        <v>538</v>
      </c>
      <c r="T535" s="51" t="s">
        <v>412</v>
      </c>
      <c r="U535" s="20" t="s">
        <v>104</v>
      </c>
      <c r="V535" s="51" t="s">
        <v>536</v>
      </c>
    </row>
    <row r="536" spans="1:22">
      <c r="A536" s="20" t="s">
        <v>349</v>
      </c>
      <c r="B536" s="20">
        <f>'Teira 2006'!B87</f>
        <v>31</v>
      </c>
      <c r="C536" s="20">
        <f>'Teira 2006'!C87</f>
        <v>989.48817419596196</v>
      </c>
      <c r="M536" s="63">
        <f>'Teira 2006'!G87</f>
        <v>0.6</v>
      </c>
      <c r="N536" s="63">
        <f>'Teira 2006'!H87</f>
        <v>0.58333333333333337</v>
      </c>
      <c r="O536" s="63" t="s">
        <v>396</v>
      </c>
      <c r="P536" s="51" t="s">
        <v>535</v>
      </c>
      <c r="Q536" s="51" t="s">
        <v>534</v>
      </c>
      <c r="R536" s="51" t="s">
        <v>246</v>
      </c>
      <c r="S536" s="51" t="s">
        <v>538</v>
      </c>
      <c r="T536" s="51" t="s">
        <v>412</v>
      </c>
      <c r="U536" s="20" t="s">
        <v>104</v>
      </c>
      <c r="V536" s="51" t="s">
        <v>536</v>
      </c>
    </row>
    <row r="537" spans="1:22">
      <c r="A537" s="20" t="s">
        <v>349</v>
      </c>
      <c r="B537" s="20" t="s">
        <v>352</v>
      </c>
      <c r="C537" s="20">
        <v>989.48817419596196</v>
      </c>
      <c r="I537" s="51">
        <f>'Teira 2006'!B6</f>
        <v>85000</v>
      </c>
      <c r="J537" s="51">
        <f>'Teira 2006'!D6</f>
        <v>28050</v>
      </c>
      <c r="K537" s="51">
        <f>'Teira 2006'!I6</f>
        <v>35700</v>
      </c>
      <c r="L537" s="51">
        <f>J537+K537</f>
        <v>63750</v>
      </c>
      <c r="M537" s="63">
        <f>L537/I537</f>
        <v>0.75</v>
      </c>
      <c r="N537" s="63">
        <f>K537/L537</f>
        <v>0.56000000000000005</v>
      </c>
      <c r="O537" s="63" t="s">
        <v>396</v>
      </c>
      <c r="P537" s="51" t="s">
        <v>535</v>
      </c>
      <c r="Q537" s="51" t="s">
        <v>534</v>
      </c>
      <c r="R537" s="51" t="s">
        <v>246</v>
      </c>
      <c r="S537" s="51" t="s">
        <v>538</v>
      </c>
      <c r="T537" s="51" t="s">
        <v>412</v>
      </c>
      <c r="U537" s="20" t="s">
        <v>104</v>
      </c>
      <c r="V537" s="51" t="s">
        <v>536</v>
      </c>
    </row>
    <row r="538" spans="1:22">
      <c r="A538" s="20" t="s">
        <v>349</v>
      </c>
      <c r="B538" s="20">
        <f>'Teira 2006'!B93</f>
        <v>35</v>
      </c>
      <c r="C538" s="20">
        <f>'Teira 2006'!C93</f>
        <v>1003.75422350143</v>
      </c>
      <c r="M538" s="63">
        <f>'Teira 2006'!G93</f>
        <v>0.65</v>
      </c>
      <c r="N538" s="63">
        <f>'Teira 2006'!H93</f>
        <v>0.61538461538461542</v>
      </c>
      <c r="O538" s="63" t="s">
        <v>396</v>
      </c>
      <c r="P538" s="51" t="s">
        <v>535</v>
      </c>
      <c r="Q538" s="51" t="s">
        <v>534</v>
      </c>
      <c r="R538" s="51" t="s">
        <v>246</v>
      </c>
      <c r="S538" s="51" t="s">
        <v>538</v>
      </c>
      <c r="T538" s="51" t="s">
        <v>412</v>
      </c>
      <c r="U538" s="20" t="s">
        <v>104</v>
      </c>
      <c r="V538" s="51" t="s">
        <v>536</v>
      </c>
    </row>
    <row r="539" spans="1:22">
      <c r="A539" s="20" t="s">
        <v>349</v>
      </c>
      <c r="B539" s="20">
        <f>'Teira 2006'!B18</f>
        <v>3</v>
      </c>
      <c r="C539" s="20">
        <f>'Teira 2006'!C18</f>
        <v>1004.12964585158</v>
      </c>
      <c r="M539" s="63">
        <f>'Teira 2006'!G18</f>
        <v>0.55000000000000004</v>
      </c>
      <c r="N539" s="63">
        <f>'Teira 2006'!H18</f>
        <v>0.54545454545454541</v>
      </c>
      <c r="O539" s="63" t="s">
        <v>396</v>
      </c>
      <c r="P539" s="51" t="s">
        <v>535</v>
      </c>
      <c r="Q539" s="51" t="s">
        <v>534</v>
      </c>
      <c r="R539" s="51" t="s">
        <v>246</v>
      </c>
      <c r="S539" s="51" t="s">
        <v>538</v>
      </c>
      <c r="T539" s="51" t="s">
        <v>412</v>
      </c>
      <c r="U539" s="20" t="s">
        <v>104</v>
      </c>
      <c r="V539" s="51" t="s">
        <v>536</v>
      </c>
    </row>
    <row r="540" spans="1:22">
      <c r="A540" s="20" t="s">
        <v>349</v>
      </c>
      <c r="B540" s="20">
        <f>'Teira 2006'!B43</f>
        <v>14</v>
      </c>
      <c r="C540" s="20">
        <f>'Teira 2006'!C43</f>
        <v>1007.2581654361099</v>
      </c>
      <c r="M540" s="63">
        <f>'Teira 2006'!G43</f>
        <v>0.65</v>
      </c>
      <c r="N540" s="63">
        <f>'Teira 2006'!H43</f>
        <v>0.53846153846153844</v>
      </c>
      <c r="O540" s="63" t="s">
        <v>396</v>
      </c>
      <c r="P540" s="51" t="s">
        <v>535</v>
      </c>
      <c r="Q540" s="51" t="s">
        <v>534</v>
      </c>
      <c r="R540" s="51" t="s">
        <v>246</v>
      </c>
      <c r="S540" s="51" t="s">
        <v>538</v>
      </c>
      <c r="T540" s="51" t="s">
        <v>412</v>
      </c>
      <c r="U540" s="20" t="s">
        <v>104</v>
      </c>
      <c r="V540" s="51" t="s">
        <v>536</v>
      </c>
    </row>
    <row r="541" spans="1:22">
      <c r="A541" s="20" t="s">
        <v>349</v>
      </c>
      <c r="B541" s="20">
        <f>'Teira 2006'!B28</f>
        <v>7</v>
      </c>
      <c r="C541" s="20">
        <f>'Teira 2006'!C28</f>
        <v>1010.6369665874</v>
      </c>
      <c r="M541" s="63">
        <f>'Teira 2006'!G28</f>
        <v>0.4</v>
      </c>
      <c r="N541" s="63">
        <f>'Teira 2006'!H28</f>
        <v>0.375</v>
      </c>
      <c r="O541" s="63" t="s">
        <v>396</v>
      </c>
      <c r="P541" s="51" t="s">
        <v>535</v>
      </c>
      <c r="Q541" s="51" t="s">
        <v>534</v>
      </c>
      <c r="R541" s="51" t="s">
        <v>246</v>
      </c>
      <c r="S541" s="51" t="s">
        <v>538</v>
      </c>
      <c r="T541" s="51" t="s">
        <v>412</v>
      </c>
      <c r="U541" s="20" t="s">
        <v>104</v>
      </c>
      <c r="V541" s="51" t="s">
        <v>536</v>
      </c>
    </row>
    <row r="542" spans="1:22">
      <c r="A542" s="20" t="s">
        <v>349</v>
      </c>
      <c r="B542" s="20">
        <f>'Teira 2006'!B24</f>
        <v>5</v>
      </c>
      <c r="C542" s="20">
        <f>'Teira 2006'!C24</f>
        <v>1033.2874483794201</v>
      </c>
      <c r="M542" s="63">
        <f>'Teira 2006'!G24</f>
        <v>0.5</v>
      </c>
      <c r="N542" s="63">
        <f>'Teira 2006'!H24</f>
        <v>0.6</v>
      </c>
      <c r="O542" s="63" t="s">
        <v>396</v>
      </c>
      <c r="P542" s="51" t="s">
        <v>535</v>
      </c>
      <c r="Q542" s="51" t="s">
        <v>534</v>
      </c>
      <c r="R542" s="51" t="s">
        <v>246</v>
      </c>
      <c r="S542" s="51" t="s">
        <v>538</v>
      </c>
      <c r="T542" s="51" t="s">
        <v>412</v>
      </c>
      <c r="U542" s="20" t="s">
        <v>104</v>
      </c>
      <c r="V542" s="51" t="s">
        <v>536</v>
      </c>
    </row>
    <row r="543" spans="1:22">
      <c r="A543" s="20" t="s">
        <v>349</v>
      </c>
      <c r="B543" s="20">
        <f>'Teira 2006'!B53</f>
        <v>18</v>
      </c>
      <c r="C543" s="20">
        <f>'Teira 2006'!C53</f>
        <v>1102.3651608058999</v>
      </c>
      <c r="M543" s="63">
        <f>'Teira 2006'!G53</f>
        <v>0.65</v>
      </c>
      <c r="N543" s="63">
        <f>'Teira 2006'!H53</f>
        <v>0.53846153846153844</v>
      </c>
      <c r="O543" s="63" t="s">
        <v>396</v>
      </c>
      <c r="P543" s="51" t="s">
        <v>535</v>
      </c>
      <c r="Q543" s="51" t="s">
        <v>534</v>
      </c>
      <c r="R543" s="51" t="s">
        <v>246</v>
      </c>
      <c r="S543" s="51" t="s">
        <v>538</v>
      </c>
      <c r="T543" s="51" t="s">
        <v>412</v>
      </c>
      <c r="U543" s="20" t="s">
        <v>104</v>
      </c>
      <c r="V543" s="51" t="s">
        <v>536</v>
      </c>
    </row>
    <row r="544" spans="1:22">
      <c r="A544" s="20" t="s">
        <v>349</v>
      </c>
      <c r="B544" s="20">
        <f>'Teira 2006'!B63</f>
        <v>21</v>
      </c>
      <c r="C544" s="20">
        <f>'Teira 2006'!C63</f>
        <v>1108.9976223251099</v>
      </c>
      <c r="M544" s="63">
        <f>'Teira 2006'!G63</f>
        <v>0.7</v>
      </c>
      <c r="N544" s="63">
        <f>'Teira 2006'!H63</f>
        <v>0.5714285714285714</v>
      </c>
      <c r="O544" s="63" t="s">
        <v>396</v>
      </c>
      <c r="P544" s="51" t="s">
        <v>535</v>
      </c>
      <c r="Q544" s="51" t="s">
        <v>534</v>
      </c>
      <c r="R544" s="51" t="s">
        <v>246</v>
      </c>
      <c r="S544" s="51" t="s">
        <v>538</v>
      </c>
      <c r="T544" s="51" t="s">
        <v>412</v>
      </c>
      <c r="U544" s="20" t="s">
        <v>104</v>
      </c>
      <c r="V544" s="51" t="s">
        <v>536</v>
      </c>
    </row>
    <row r="545" spans="1:22">
      <c r="A545" s="20" t="s">
        <v>349</v>
      </c>
      <c r="B545" s="20">
        <f>'Teira 2006'!B58</f>
        <v>20</v>
      </c>
      <c r="C545" s="20">
        <f>'Teira 2006'!C58</f>
        <v>1112.2512826930199</v>
      </c>
      <c r="M545" s="63">
        <f>'Teira 2006'!G58</f>
        <v>0.7</v>
      </c>
      <c r="N545" s="63">
        <f>'Teira 2006'!H58</f>
        <v>0.5</v>
      </c>
      <c r="O545" s="63" t="s">
        <v>396</v>
      </c>
      <c r="P545" s="51" t="s">
        <v>535</v>
      </c>
      <c r="Q545" s="51" t="s">
        <v>534</v>
      </c>
      <c r="R545" s="51" t="s">
        <v>246</v>
      </c>
      <c r="S545" s="51" t="s">
        <v>538</v>
      </c>
      <c r="T545" s="51" t="s">
        <v>412</v>
      </c>
      <c r="U545" s="20" t="s">
        <v>104</v>
      </c>
      <c r="V545" s="51" t="s">
        <v>536</v>
      </c>
    </row>
    <row r="546" spans="1:22">
      <c r="A546" s="20" t="s">
        <v>349</v>
      </c>
      <c r="B546" s="20">
        <f>'Teira 2006'!B48</f>
        <v>16</v>
      </c>
      <c r="C546" s="20">
        <f>'Teira 2006'!C48</f>
        <v>1156.3008384432401</v>
      </c>
      <c r="M546" s="63">
        <f>'Teira 2006'!G48</f>
        <v>0.7</v>
      </c>
      <c r="N546" s="63">
        <f>'Teira 2006'!H48</f>
        <v>0.6428571428571429</v>
      </c>
      <c r="O546" s="63" t="s">
        <v>396</v>
      </c>
      <c r="P546" s="51" t="s">
        <v>535</v>
      </c>
      <c r="Q546" s="51" t="s">
        <v>534</v>
      </c>
      <c r="R546" s="51" t="s">
        <v>246</v>
      </c>
      <c r="S546" s="51" t="s">
        <v>538</v>
      </c>
      <c r="T546" s="51" t="s">
        <v>412</v>
      </c>
      <c r="U546" s="20" t="s">
        <v>104</v>
      </c>
      <c r="V546" s="51" t="s">
        <v>536</v>
      </c>
    </row>
    <row r="547" spans="1:22">
      <c r="A547" s="20" t="s">
        <v>349</v>
      </c>
      <c r="B547" s="20">
        <f>'Teira 2006'!B94</f>
        <v>35</v>
      </c>
      <c r="C547" s="20">
        <f>'Teira 2006'!C94</f>
        <v>1224.8779877361901</v>
      </c>
      <c r="M547" s="63">
        <f>'Teira 2006'!G94</f>
        <v>0.6</v>
      </c>
      <c r="N547" s="63">
        <f>'Teira 2006'!H94</f>
        <v>0.58333333333333337</v>
      </c>
      <c r="O547" s="63" t="s">
        <v>396</v>
      </c>
      <c r="P547" s="51" t="s">
        <v>535</v>
      </c>
      <c r="Q547" s="51" t="s">
        <v>534</v>
      </c>
      <c r="R547" s="51" t="s">
        <v>246</v>
      </c>
      <c r="S547" s="51" t="s">
        <v>538</v>
      </c>
      <c r="T547" s="51" t="s">
        <v>412</v>
      </c>
      <c r="U547" s="20" t="s">
        <v>104</v>
      </c>
      <c r="V547" s="51" t="s">
        <v>536</v>
      </c>
    </row>
    <row r="548" spans="1:22">
      <c r="A548" s="20" t="s">
        <v>349</v>
      </c>
      <c r="B548" s="20">
        <f>'Teira 2006'!B95</f>
        <v>35</v>
      </c>
      <c r="C548" s="20">
        <f>'Teira 2006'!C95</f>
        <v>1514.07833813038</v>
      </c>
      <c r="M548" s="63">
        <f>'Teira 2006'!G95</f>
        <v>0.55000000000000004</v>
      </c>
      <c r="N548" s="63">
        <f>'Teira 2006'!H95</f>
        <v>0.54545454545454541</v>
      </c>
      <c r="O548" s="63" t="s">
        <v>396</v>
      </c>
      <c r="P548" s="51" t="s">
        <v>535</v>
      </c>
      <c r="Q548" s="51" t="s">
        <v>534</v>
      </c>
      <c r="R548" s="51" t="s">
        <v>246</v>
      </c>
      <c r="S548" s="51" t="s">
        <v>538</v>
      </c>
      <c r="T548" s="51" t="s">
        <v>412</v>
      </c>
      <c r="U548" s="20" t="s">
        <v>104</v>
      </c>
      <c r="V548" s="51" t="s">
        <v>536</v>
      </c>
    </row>
    <row r="549" spans="1:22">
      <c r="A549" s="20" t="s">
        <v>349</v>
      </c>
      <c r="B549" s="20">
        <f>'Teira 2006'!B78</f>
        <v>26</v>
      </c>
      <c r="C549" s="20">
        <f>'Teira 2006'!C78</f>
        <v>1677.8876235765099</v>
      </c>
      <c r="M549" s="63">
        <f>'Teira 2006'!G78</f>
        <v>0.6</v>
      </c>
      <c r="N549" s="63">
        <f>'Teira 2006'!H78</f>
        <v>0.58333333333333337</v>
      </c>
      <c r="O549" s="63" t="s">
        <v>396</v>
      </c>
      <c r="P549" s="51" t="s">
        <v>535</v>
      </c>
      <c r="Q549" s="51" t="s">
        <v>534</v>
      </c>
      <c r="R549" s="51" t="s">
        <v>246</v>
      </c>
      <c r="S549" s="51" t="s">
        <v>538</v>
      </c>
      <c r="T549" s="51" t="s">
        <v>412</v>
      </c>
      <c r="U549" s="20" t="s">
        <v>104</v>
      </c>
      <c r="V549" s="51" t="s">
        <v>536</v>
      </c>
    </row>
    <row r="550" spans="1:22">
      <c r="A550" s="20" t="s">
        <v>349</v>
      </c>
      <c r="B550" s="20">
        <f>'Teira 2006'!B73</f>
        <v>25</v>
      </c>
      <c r="C550" s="20">
        <f>'Teira 2006'!C73</f>
        <v>1715.6801401576699</v>
      </c>
      <c r="M550" s="63">
        <f>'Teira 2006'!G73</f>
        <v>0.5</v>
      </c>
      <c r="N550" s="63">
        <f>'Teira 2006'!H73</f>
        <v>0.4</v>
      </c>
      <c r="O550" s="63" t="s">
        <v>396</v>
      </c>
      <c r="P550" s="51" t="s">
        <v>535</v>
      </c>
      <c r="Q550" s="51" t="s">
        <v>534</v>
      </c>
      <c r="R550" s="51" t="s">
        <v>246</v>
      </c>
      <c r="S550" s="51" t="s">
        <v>538</v>
      </c>
      <c r="T550" s="51" t="s">
        <v>412</v>
      </c>
      <c r="U550" s="20" t="s">
        <v>104</v>
      </c>
      <c r="V550" s="51" t="s">
        <v>536</v>
      </c>
    </row>
    <row r="551" spans="1:22">
      <c r="A551" s="20" t="s">
        <v>349</v>
      </c>
      <c r="B551" s="20">
        <f>'Teira 2006'!B33</f>
        <v>10</v>
      </c>
      <c r="C551" s="20">
        <f>'Teira 2006'!C33</f>
        <v>1737.5797772494</v>
      </c>
      <c r="M551" s="63">
        <f>'Teira 2006'!G33</f>
        <v>0.6</v>
      </c>
      <c r="N551" s="63">
        <f>'Teira 2006'!H33</f>
        <v>0.5</v>
      </c>
      <c r="O551" s="63" t="s">
        <v>396</v>
      </c>
      <c r="P551" s="51" t="s">
        <v>535</v>
      </c>
      <c r="Q551" s="51" t="s">
        <v>534</v>
      </c>
      <c r="R551" s="51" t="s">
        <v>246</v>
      </c>
      <c r="S551" s="51" t="s">
        <v>538</v>
      </c>
      <c r="T551" s="51" t="s">
        <v>412</v>
      </c>
      <c r="U551" s="20" t="s">
        <v>104</v>
      </c>
      <c r="V551" s="51" t="s">
        <v>536</v>
      </c>
    </row>
    <row r="552" spans="1:22">
      <c r="A552" s="20" t="s">
        <v>349</v>
      </c>
      <c r="B552" s="20">
        <f>'Teira 2006'!B68</f>
        <v>23</v>
      </c>
      <c r="C552" s="20">
        <f>'Teira 2006'!C68</f>
        <v>1769.6158177950099</v>
      </c>
      <c r="M552" s="63">
        <f>'Teira 2006'!G68</f>
        <v>0.5</v>
      </c>
      <c r="N552" s="63">
        <f>'Teira 2006'!H68</f>
        <v>0.6</v>
      </c>
      <c r="O552" s="63" t="s">
        <v>396</v>
      </c>
      <c r="P552" s="51" t="s">
        <v>535</v>
      </c>
      <c r="Q552" s="51" t="s">
        <v>534</v>
      </c>
      <c r="R552" s="51" t="s">
        <v>246</v>
      </c>
      <c r="S552" s="51" t="s">
        <v>538</v>
      </c>
      <c r="T552" s="51" t="s">
        <v>412</v>
      </c>
      <c r="U552" s="20" t="s">
        <v>104</v>
      </c>
      <c r="V552" s="51" t="s">
        <v>536</v>
      </c>
    </row>
    <row r="553" spans="1:22">
      <c r="A553" s="20" t="s">
        <v>349</v>
      </c>
      <c r="B553" s="20">
        <f>'Teira 2006'!B84</f>
        <v>29</v>
      </c>
      <c r="C553" s="20">
        <f>'Teira 2006'!C84</f>
        <v>1792.51658115379</v>
      </c>
      <c r="M553" s="63">
        <f>'Teira 2006'!G84</f>
        <v>0.55000000000000004</v>
      </c>
      <c r="N553" s="63">
        <f>'Teira 2006'!H84</f>
        <v>0.63636363636363635</v>
      </c>
      <c r="O553" s="63" t="s">
        <v>396</v>
      </c>
      <c r="P553" s="51" t="s">
        <v>535</v>
      </c>
      <c r="Q553" s="51" t="s">
        <v>534</v>
      </c>
      <c r="R553" s="51" t="s">
        <v>246</v>
      </c>
      <c r="S553" s="51" t="s">
        <v>538</v>
      </c>
      <c r="T553" s="51" t="s">
        <v>412</v>
      </c>
      <c r="U553" s="20" t="s">
        <v>104</v>
      </c>
      <c r="V553" s="51" t="s">
        <v>536</v>
      </c>
    </row>
    <row r="554" spans="1:22">
      <c r="A554" s="20" t="s">
        <v>349</v>
      </c>
      <c r="B554" s="20">
        <f>'Teira 2006'!B64</f>
        <v>21</v>
      </c>
      <c r="C554" s="20">
        <f>'Teira 2006'!C64</f>
        <v>1806.9077712426399</v>
      </c>
      <c r="M554" s="63">
        <f>'Teira 2006'!G64</f>
        <v>0.65</v>
      </c>
      <c r="N554" s="63">
        <f>'Teira 2006'!H64</f>
        <v>0.61538461538461542</v>
      </c>
      <c r="O554" s="63" t="s">
        <v>396</v>
      </c>
      <c r="P554" s="51" t="s">
        <v>535</v>
      </c>
      <c r="Q554" s="51" t="s">
        <v>534</v>
      </c>
      <c r="R554" s="51" t="s">
        <v>246</v>
      </c>
      <c r="S554" s="51" t="s">
        <v>538</v>
      </c>
      <c r="T554" s="51" t="s">
        <v>412</v>
      </c>
      <c r="U554" s="20" t="s">
        <v>104</v>
      </c>
      <c r="V554" s="51" t="s">
        <v>536</v>
      </c>
    </row>
    <row r="555" spans="1:22">
      <c r="A555" s="20" t="s">
        <v>349</v>
      </c>
      <c r="B555" s="20">
        <f>'Teira 2006'!B88</f>
        <v>31</v>
      </c>
      <c r="C555" s="20">
        <f>'Teira 2006'!C88</f>
        <v>1942.81066199473</v>
      </c>
      <c r="M555" s="63">
        <f>'Teira 2006'!G88</f>
        <v>0.6</v>
      </c>
      <c r="N555" s="63">
        <f>'Teira 2006'!H88</f>
        <v>0.5</v>
      </c>
      <c r="O555" s="63" t="s">
        <v>396</v>
      </c>
      <c r="P555" s="51" t="s">
        <v>535</v>
      </c>
      <c r="Q555" s="51" t="s">
        <v>534</v>
      </c>
      <c r="R555" s="51" t="s">
        <v>246</v>
      </c>
      <c r="S555" s="51" t="s">
        <v>538</v>
      </c>
      <c r="T555" s="51" t="s">
        <v>412</v>
      </c>
      <c r="U555" s="20" t="s">
        <v>104</v>
      </c>
      <c r="V555" s="51" t="s">
        <v>536</v>
      </c>
    </row>
    <row r="556" spans="1:22">
      <c r="A556" s="20" t="s">
        <v>349</v>
      </c>
      <c r="B556" s="20" t="s">
        <v>353</v>
      </c>
      <c r="C556" s="20">
        <v>1942.81066199473</v>
      </c>
      <c r="I556" s="51">
        <f>'Teira 2006'!B7</f>
        <v>37000</v>
      </c>
      <c r="J556" s="51">
        <f>'Teira 2006'!D7</f>
        <v>11100</v>
      </c>
      <c r="K556" s="51">
        <f>'Teira 2006'!I7</f>
        <v>14430</v>
      </c>
      <c r="L556" s="51">
        <f>J556+K556</f>
        <v>25530</v>
      </c>
      <c r="M556" s="63">
        <f>L556/I556</f>
        <v>0.69</v>
      </c>
      <c r="N556" s="63">
        <f>K556/L556</f>
        <v>0.56521739130434778</v>
      </c>
      <c r="O556" s="63" t="s">
        <v>396</v>
      </c>
      <c r="P556" s="51" t="s">
        <v>535</v>
      </c>
      <c r="Q556" s="51" t="s">
        <v>534</v>
      </c>
      <c r="R556" s="51" t="s">
        <v>246</v>
      </c>
      <c r="S556" s="51" t="s">
        <v>538</v>
      </c>
      <c r="T556" s="51" t="s">
        <v>412</v>
      </c>
      <c r="U556" s="20" t="s">
        <v>104</v>
      </c>
      <c r="V556" s="51" t="s">
        <v>536</v>
      </c>
    </row>
    <row r="557" spans="1:22">
      <c r="A557" s="20" t="s">
        <v>349</v>
      </c>
      <c r="B557" s="20">
        <f>'Teira 2006'!B59</f>
        <v>20</v>
      </c>
      <c r="C557" s="20">
        <f>'Teira 2006'!C59</f>
        <v>2065.0732073582699</v>
      </c>
      <c r="M557" s="63">
        <f>'Teira 2006'!G59</f>
        <v>0.75</v>
      </c>
      <c r="N557" s="63">
        <f>'Teira 2006'!H59</f>
        <v>0.6</v>
      </c>
      <c r="O557" s="63" t="s">
        <v>396</v>
      </c>
      <c r="P557" s="51" t="s">
        <v>535</v>
      </c>
      <c r="Q557" s="51" t="s">
        <v>534</v>
      </c>
      <c r="R557" s="51" t="s">
        <v>246</v>
      </c>
      <c r="S557" s="51" t="s">
        <v>538</v>
      </c>
      <c r="T557" s="51" t="s">
        <v>412</v>
      </c>
      <c r="U557" s="20" t="s">
        <v>104</v>
      </c>
      <c r="V557" s="51" t="s">
        <v>536</v>
      </c>
    </row>
    <row r="558" spans="1:22">
      <c r="A558" s="20" t="s">
        <v>349</v>
      </c>
      <c r="B558" s="20">
        <f>'Teira 2006'!B79</f>
        <v>26</v>
      </c>
      <c r="C558" s="20">
        <f>'Teira 2006'!C79</f>
        <v>2409.8360655737602</v>
      </c>
      <c r="M558" s="63">
        <f>'Teira 2006'!G79</f>
        <v>0.75</v>
      </c>
      <c r="N558" s="63">
        <f>'Teira 2006'!H79</f>
        <v>0.66666666666666663</v>
      </c>
      <c r="O558" s="63" t="s">
        <v>396</v>
      </c>
      <c r="P558" s="51" t="s">
        <v>535</v>
      </c>
      <c r="Q558" s="51" t="s">
        <v>534</v>
      </c>
      <c r="R558" s="51" t="s">
        <v>246</v>
      </c>
      <c r="S558" s="51" t="s">
        <v>538</v>
      </c>
      <c r="T558" s="51" t="s">
        <v>412</v>
      </c>
      <c r="U558" s="20" t="s">
        <v>104</v>
      </c>
      <c r="V558" s="51" t="s">
        <v>536</v>
      </c>
    </row>
    <row r="559" spans="1:22">
      <c r="A559" s="20" t="s">
        <v>349</v>
      </c>
      <c r="B559" s="20">
        <f>'Teira 2006'!B54</f>
        <v>18</v>
      </c>
      <c r="C559" s="20">
        <f>'Teira 2006'!C54</f>
        <v>2429.85859091477</v>
      </c>
      <c r="M559" s="63">
        <f>'Teira 2006'!G54</f>
        <v>1</v>
      </c>
      <c r="N559" s="63">
        <f>'Teira 2006'!H54</f>
        <v>0.65</v>
      </c>
      <c r="O559" s="63" t="s">
        <v>396</v>
      </c>
      <c r="P559" s="51" t="s">
        <v>535</v>
      </c>
      <c r="Q559" s="51" t="s">
        <v>534</v>
      </c>
      <c r="R559" s="51" t="s">
        <v>246</v>
      </c>
      <c r="S559" s="51" t="s">
        <v>538</v>
      </c>
      <c r="T559" s="51" t="s">
        <v>412</v>
      </c>
      <c r="U559" s="20" t="s">
        <v>104</v>
      </c>
      <c r="V559" s="51" t="s">
        <v>536</v>
      </c>
    </row>
    <row r="560" spans="1:22">
      <c r="A560" s="20" t="s">
        <v>349</v>
      </c>
      <c r="B560" s="20">
        <f>'Teira 2006'!B89</f>
        <v>31</v>
      </c>
      <c r="C560" s="20">
        <f>'Teira 2006'!C89</f>
        <v>2436.2407708672099</v>
      </c>
      <c r="M560" s="63">
        <f>'Teira 2006'!G89</f>
        <v>0.65</v>
      </c>
      <c r="N560" s="63">
        <f>'Teira 2006'!H89</f>
        <v>0.61538461538461542</v>
      </c>
      <c r="O560" s="63" t="s">
        <v>396</v>
      </c>
      <c r="P560" s="51" t="s">
        <v>535</v>
      </c>
      <c r="Q560" s="51" t="s">
        <v>534</v>
      </c>
      <c r="R560" s="51" t="s">
        <v>246</v>
      </c>
      <c r="S560" s="51" t="s">
        <v>538</v>
      </c>
      <c r="T560" s="51" t="s">
        <v>412</v>
      </c>
      <c r="U560" s="20" t="s">
        <v>104</v>
      </c>
      <c r="V560" s="51" t="s">
        <v>536</v>
      </c>
    </row>
    <row r="561" spans="1:22">
      <c r="A561" s="20" t="s">
        <v>349</v>
      </c>
      <c r="B561" s="20" t="s">
        <v>354</v>
      </c>
      <c r="C561" s="20">
        <v>2436.2407708672099</v>
      </c>
      <c r="I561" s="51">
        <f>'Teira 2006'!B8</f>
        <v>22000</v>
      </c>
      <c r="J561" s="51">
        <f>'Teira 2006'!D8</f>
        <v>7040</v>
      </c>
      <c r="K561" s="51">
        <f>'Teira 2006'!I8</f>
        <v>9900</v>
      </c>
      <c r="L561" s="51">
        <f>J561+K561</f>
        <v>16940</v>
      </c>
      <c r="M561" s="63">
        <f>L561/I561</f>
        <v>0.77</v>
      </c>
      <c r="N561" s="63">
        <f>K561/L561</f>
        <v>0.58441558441558439</v>
      </c>
      <c r="O561" s="63" t="s">
        <v>396</v>
      </c>
      <c r="P561" s="51" t="s">
        <v>535</v>
      </c>
      <c r="Q561" s="51" t="s">
        <v>534</v>
      </c>
      <c r="R561" s="51" t="s">
        <v>246</v>
      </c>
      <c r="S561" s="51" t="s">
        <v>538</v>
      </c>
      <c r="T561" s="51" t="s">
        <v>412</v>
      </c>
      <c r="U561" s="20" t="s">
        <v>104</v>
      </c>
      <c r="V561" s="51" t="s">
        <v>536</v>
      </c>
    </row>
    <row r="562" spans="1:22">
      <c r="A562" s="20" t="s">
        <v>349</v>
      </c>
      <c r="B562" s="20">
        <f>'Teira 2006'!B69</f>
        <v>23</v>
      </c>
      <c r="C562" s="20">
        <f>'Teira 2006'!C69</f>
        <v>2450.3816793893002</v>
      </c>
      <c r="M562" s="63">
        <f>'Teira 2006'!G69</f>
        <v>0.65</v>
      </c>
      <c r="N562" s="63">
        <f>'Teira 2006'!H69</f>
        <v>0.46153846153846156</v>
      </c>
      <c r="O562" s="63" t="s">
        <v>396</v>
      </c>
      <c r="P562" s="51" t="s">
        <v>535</v>
      </c>
      <c r="Q562" s="51" t="s">
        <v>534</v>
      </c>
      <c r="R562" s="51" t="s">
        <v>246</v>
      </c>
      <c r="S562" s="51" t="s">
        <v>538</v>
      </c>
      <c r="T562" s="51" t="s">
        <v>412</v>
      </c>
      <c r="U562" s="20" t="s">
        <v>104</v>
      </c>
      <c r="V562" s="51" t="s">
        <v>536</v>
      </c>
    </row>
    <row r="563" spans="1:22">
      <c r="A563" s="20" t="s">
        <v>349</v>
      </c>
      <c r="B563" s="20">
        <f>'Teira 2006'!B85</f>
        <v>29</v>
      </c>
      <c r="C563" s="20">
        <f>'Teira 2006'!C85</f>
        <v>2473.4075835314602</v>
      </c>
      <c r="M563" s="63">
        <f>'Teira 2006'!G85</f>
        <v>0.7</v>
      </c>
      <c r="N563" s="63">
        <f>'Teira 2006'!H85</f>
        <v>0.6428571428571429</v>
      </c>
      <c r="O563" s="63" t="s">
        <v>396</v>
      </c>
      <c r="P563" s="51" t="s">
        <v>535</v>
      </c>
      <c r="Q563" s="51" t="s">
        <v>534</v>
      </c>
      <c r="R563" s="51" t="s">
        <v>246</v>
      </c>
      <c r="S563" s="51" t="s">
        <v>538</v>
      </c>
      <c r="T563" s="51" t="s">
        <v>412</v>
      </c>
      <c r="U563" s="20" t="s">
        <v>104</v>
      </c>
      <c r="V563" s="51" t="s">
        <v>536</v>
      </c>
    </row>
    <row r="564" spans="1:22">
      <c r="A564" s="20" t="s">
        <v>349</v>
      </c>
      <c r="B564" s="20">
        <f>'Teira 2006'!B20</f>
        <v>3</v>
      </c>
      <c r="C564" s="20">
        <f>'Teira 2006'!C20</f>
        <v>2485.1708171693099</v>
      </c>
      <c r="M564" s="63">
        <f>'Teira 2006'!G20</f>
        <v>0.8</v>
      </c>
      <c r="N564" s="63">
        <f>'Teira 2006'!H20</f>
        <v>0.625</v>
      </c>
      <c r="O564" s="63" t="s">
        <v>396</v>
      </c>
      <c r="P564" s="51" t="s">
        <v>535</v>
      </c>
      <c r="Q564" s="51" t="s">
        <v>534</v>
      </c>
      <c r="R564" s="51" t="s">
        <v>246</v>
      </c>
      <c r="S564" s="51" t="s">
        <v>538</v>
      </c>
      <c r="T564" s="51" t="s">
        <v>412</v>
      </c>
      <c r="U564" s="20" t="s">
        <v>104</v>
      </c>
      <c r="V564" s="51" t="s">
        <v>536</v>
      </c>
    </row>
    <row r="565" spans="1:22">
      <c r="A565" s="20" t="s">
        <v>349</v>
      </c>
      <c r="B565" s="20">
        <f>'Teira 2006'!B39</f>
        <v>11</v>
      </c>
      <c r="C565" s="20">
        <f>'Teira 2006'!C39</f>
        <v>2497.6848955074402</v>
      </c>
      <c r="M565" s="63">
        <f>'Teira 2006'!G39</f>
        <v>0.75</v>
      </c>
      <c r="N565" s="63">
        <f>'Teira 2006'!H39</f>
        <v>0.53333333333333333</v>
      </c>
      <c r="O565" s="63" t="s">
        <v>396</v>
      </c>
      <c r="P565" s="51" t="s">
        <v>535</v>
      </c>
      <c r="Q565" s="51" t="s">
        <v>534</v>
      </c>
      <c r="R565" s="51" t="s">
        <v>246</v>
      </c>
      <c r="S565" s="51" t="s">
        <v>538</v>
      </c>
      <c r="T565" s="51" t="s">
        <v>412</v>
      </c>
      <c r="U565" s="20" t="s">
        <v>104</v>
      </c>
      <c r="V565" s="51" t="s">
        <v>536</v>
      </c>
    </row>
    <row r="566" spans="1:22">
      <c r="A566" s="20" t="s">
        <v>349</v>
      </c>
      <c r="B566" s="20">
        <f>'Teira 2006'!B74</f>
        <v>25</v>
      </c>
      <c r="C566" s="20">
        <f>'Teira 2006'!C74</f>
        <v>2549.6183206106798</v>
      </c>
      <c r="M566" s="63">
        <f>'Teira 2006'!G74</f>
        <v>0.5</v>
      </c>
      <c r="N566" s="63">
        <f>'Teira 2006'!H74</f>
        <v>0.6</v>
      </c>
      <c r="O566" s="63" t="s">
        <v>396</v>
      </c>
      <c r="P566" s="51" t="s">
        <v>535</v>
      </c>
      <c r="Q566" s="51" t="s">
        <v>534</v>
      </c>
      <c r="R566" s="51" t="s">
        <v>246</v>
      </c>
      <c r="S566" s="51" t="s">
        <v>538</v>
      </c>
      <c r="T566" s="51" t="s">
        <v>412</v>
      </c>
      <c r="U566" s="20" t="s">
        <v>104</v>
      </c>
      <c r="V566" s="51" t="s">
        <v>536</v>
      </c>
    </row>
    <row r="567" spans="1:22">
      <c r="A567" s="20" t="s">
        <v>349</v>
      </c>
      <c r="B567" s="20">
        <f>'Teira 2006'!B49</f>
        <v>16</v>
      </c>
      <c r="C567" s="20">
        <f>'Teira 2006'!C49</f>
        <v>2551.8708547115398</v>
      </c>
      <c r="M567" s="63">
        <f>'Teira 2006'!G49</f>
        <v>0.85</v>
      </c>
      <c r="N567" s="63">
        <f>'Teira 2006'!H49</f>
        <v>0.58823529411764708</v>
      </c>
      <c r="O567" s="63" t="s">
        <v>396</v>
      </c>
      <c r="P567" s="51" t="s">
        <v>535</v>
      </c>
      <c r="Q567" s="51" t="s">
        <v>534</v>
      </c>
      <c r="R567" s="51" t="s">
        <v>246</v>
      </c>
      <c r="S567" s="51" t="s">
        <v>538</v>
      </c>
      <c r="T567" s="51" t="s">
        <v>412</v>
      </c>
      <c r="U567" s="20" t="s">
        <v>104</v>
      </c>
      <c r="V567" s="51" t="s">
        <v>536</v>
      </c>
    </row>
    <row r="568" spans="1:22">
      <c r="A568" s="20" t="s">
        <v>349</v>
      </c>
      <c r="B568" s="20">
        <f>'Teira 2006'!B29</f>
        <v>7</v>
      </c>
      <c r="C568" s="20">
        <f>'Teira 2006'!C29</f>
        <v>2661.4941809535699</v>
      </c>
      <c r="M568" s="63">
        <f>'Teira 2006'!G29</f>
        <v>0.5</v>
      </c>
      <c r="N568" s="63">
        <f>'Teira 2006'!H29</f>
        <v>0.5</v>
      </c>
      <c r="O568" s="63" t="s">
        <v>396</v>
      </c>
      <c r="P568" s="51" t="s">
        <v>535</v>
      </c>
      <c r="Q568" s="51" t="s">
        <v>534</v>
      </c>
      <c r="R568" s="51" t="s">
        <v>246</v>
      </c>
      <c r="S568" s="51" t="s">
        <v>538</v>
      </c>
      <c r="T568" s="51" t="s">
        <v>412</v>
      </c>
      <c r="U568" s="20" t="s">
        <v>104</v>
      </c>
      <c r="V568" s="51" t="s">
        <v>536</v>
      </c>
    </row>
    <row r="569" spans="1:22">
      <c r="A569" s="20" t="s">
        <v>349</v>
      </c>
      <c r="B569" s="20">
        <f>'Teira 2006'!B44</f>
        <v>14</v>
      </c>
      <c r="C569" s="20">
        <f>'Teira 2006'!C44</f>
        <v>2726.3171067450799</v>
      </c>
      <c r="M569" s="63">
        <f>'Teira 2006'!G44</f>
        <v>0.65</v>
      </c>
      <c r="N569" s="63">
        <f>'Teira 2006'!H44</f>
        <v>0.46153846153846156</v>
      </c>
      <c r="O569" s="63" t="s">
        <v>396</v>
      </c>
      <c r="P569" s="51" t="s">
        <v>535</v>
      </c>
      <c r="Q569" s="51" t="s">
        <v>534</v>
      </c>
      <c r="R569" s="51" t="s">
        <v>246</v>
      </c>
      <c r="S569" s="51" t="s">
        <v>538</v>
      </c>
      <c r="T569" s="51" t="s">
        <v>412</v>
      </c>
      <c r="U569" s="20" t="s">
        <v>104</v>
      </c>
      <c r="V569" s="51" t="s">
        <v>536</v>
      </c>
    </row>
    <row r="570" spans="1:22">
      <c r="A570" s="20" t="s">
        <v>349</v>
      </c>
      <c r="B570" s="20">
        <f>'Teira 2006'!B34</f>
        <v>10</v>
      </c>
      <c r="C570" s="20">
        <f>'Teira 2006'!C34</f>
        <v>2758.85371042422</v>
      </c>
      <c r="M570" s="63">
        <f>'Teira 2006'!G34</f>
        <v>0.55000000000000004</v>
      </c>
      <c r="N570" s="63">
        <f>'Teira 2006'!H34</f>
        <v>0.45454545454545453</v>
      </c>
      <c r="O570" s="63" t="s">
        <v>396</v>
      </c>
      <c r="P570" s="51" t="s">
        <v>535</v>
      </c>
      <c r="Q570" s="51" t="s">
        <v>534</v>
      </c>
      <c r="R570" s="51" t="s">
        <v>246</v>
      </c>
      <c r="S570" s="51" t="s">
        <v>538</v>
      </c>
      <c r="T570" s="51" t="s">
        <v>412</v>
      </c>
      <c r="U570" s="20" t="s">
        <v>104</v>
      </c>
      <c r="V570" s="51" t="s">
        <v>536</v>
      </c>
    </row>
    <row r="571" spans="1:22">
      <c r="A571" s="20" t="s">
        <v>349</v>
      </c>
      <c r="B571" s="20">
        <f>'Teira 2006'!B90</f>
        <v>31</v>
      </c>
      <c r="C571" s="20">
        <f>'Teira 2006'!C90</f>
        <v>2759.6045551245002</v>
      </c>
      <c r="M571" s="63">
        <f>'Teira 2006'!G90</f>
        <v>0.55000000000000004</v>
      </c>
      <c r="N571" s="63">
        <f>'Teira 2006'!H90</f>
        <v>0.54545454545454541</v>
      </c>
      <c r="O571" s="63" t="s">
        <v>396</v>
      </c>
      <c r="P571" s="51" t="s">
        <v>535</v>
      </c>
      <c r="Q571" s="51" t="s">
        <v>534</v>
      </c>
      <c r="R571" s="51" t="s">
        <v>246</v>
      </c>
      <c r="S571" s="51" t="s">
        <v>538</v>
      </c>
      <c r="T571" s="51" t="s">
        <v>412</v>
      </c>
      <c r="U571" s="20" t="s">
        <v>104</v>
      </c>
      <c r="V571" s="51" t="s">
        <v>536</v>
      </c>
    </row>
    <row r="572" spans="1:22">
      <c r="A572" s="20" t="s">
        <v>349</v>
      </c>
      <c r="B572" s="20" t="s">
        <v>355</v>
      </c>
      <c r="C572" s="20">
        <v>2759.6045551245002</v>
      </c>
      <c r="I572" s="51">
        <f>'Teira 2006'!B9</f>
        <v>25000</v>
      </c>
      <c r="J572" s="51">
        <f>'Teira 2006'!D9</f>
        <v>6750</v>
      </c>
      <c r="K572" s="51">
        <f>'Teira 2006'!I9</f>
        <v>10250</v>
      </c>
      <c r="L572" s="51">
        <f>J572+K572</f>
        <v>17000</v>
      </c>
      <c r="M572" s="63">
        <f>L572/I572</f>
        <v>0.68</v>
      </c>
      <c r="N572" s="63">
        <f>K572/L572</f>
        <v>0.6029411764705882</v>
      </c>
      <c r="O572" s="63" t="s">
        <v>396</v>
      </c>
      <c r="P572" s="51" t="s">
        <v>535</v>
      </c>
      <c r="Q572" s="51" t="s">
        <v>534</v>
      </c>
      <c r="R572" s="51" t="s">
        <v>246</v>
      </c>
      <c r="S572" s="51" t="s">
        <v>538</v>
      </c>
      <c r="T572" s="51" t="s">
        <v>412</v>
      </c>
      <c r="U572" s="20" t="s">
        <v>104</v>
      </c>
      <c r="V572" s="51" t="s">
        <v>536</v>
      </c>
    </row>
    <row r="573" spans="1:22">
      <c r="A573" s="20" t="s">
        <v>349</v>
      </c>
      <c r="B573" s="20">
        <f>'Teira 2006'!B25</f>
        <v>5</v>
      </c>
      <c r="C573" s="20">
        <f>'Teira 2006'!C25</f>
        <v>2803.5289700913499</v>
      </c>
      <c r="M573" s="63">
        <f>'Teira 2006'!G25</f>
        <v>0.5</v>
      </c>
      <c r="N573" s="63">
        <f>'Teira 2006'!H25</f>
        <v>0.4</v>
      </c>
      <c r="O573" s="63" t="s">
        <v>396</v>
      </c>
      <c r="P573" s="51" t="s">
        <v>535</v>
      </c>
      <c r="Q573" s="51" t="s">
        <v>534</v>
      </c>
      <c r="R573" s="51" t="s">
        <v>246</v>
      </c>
      <c r="S573" s="51" t="s">
        <v>538</v>
      </c>
      <c r="T573" s="51" t="s">
        <v>412</v>
      </c>
      <c r="U573" s="20" t="s">
        <v>104</v>
      </c>
      <c r="V573" s="51" t="s">
        <v>536</v>
      </c>
    </row>
    <row r="574" spans="1:22">
      <c r="A574" s="20" t="s">
        <v>349</v>
      </c>
      <c r="B574" s="20">
        <f>'Teira 2006'!B70</f>
        <v>23</v>
      </c>
      <c r="C574" s="20">
        <f>'Teira 2006'!C70</f>
        <v>2824.8029032661598</v>
      </c>
      <c r="M574" s="63">
        <f>'Teira 2006'!G70</f>
        <v>0.5</v>
      </c>
      <c r="N574" s="63">
        <f>'Teira 2006'!H70</f>
        <v>0.6</v>
      </c>
      <c r="O574" s="63" t="s">
        <v>396</v>
      </c>
      <c r="P574" s="51" t="s">
        <v>535</v>
      </c>
      <c r="Q574" s="51" t="s">
        <v>534</v>
      </c>
      <c r="R574" s="51" t="s">
        <v>246</v>
      </c>
      <c r="S574" s="51" t="s">
        <v>538</v>
      </c>
      <c r="T574" s="51" t="s">
        <v>412</v>
      </c>
      <c r="U574" s="20" t="s">
        <v>104</v>
      </c>
      <c r="V574" s="51" t="s">
        <v>536</v>
      </c>
    </row>
    <row r="575" spans="1:22">
      <c r="A575" s="20" t="s">
        <v>349</v>
      </c>
      <c r="B575" s="20">
        <f>'Teira 2006'!B80</f>
        <v>26</v>
      </c>
      <c r="C575" s="20">
        <f>'Teira 2006'!C80</f>
        <v>2835.4398698535701</v>
      </c>
      <c r="M575" s="63">
        <f>'Teira 2006'!G80</f>
        <v>0.55000000000000004</v>
      </c>
      <c r="N575" s="63">
        <f>'Teira 2006'!H80</f>
        <v>0.45454545454545453</v>
      </c>
      <c r="O575" s="63" t="s">
        <v>396</v>
      </c>
      <c r="P575" s="51" t="s">
        <v>535</v>
      </c>
      <c r="Q575" s="51" t="s">
        <v>534</v>
      </c>
      <c r="R575" s="51" t="s">
        <v>246</v>
      </c>
      <c r="S575" s="51" t="s">
        <v>538</v>
      </c>
      <c r="T575" s="51" t="s">
        <v>412</v>
      </c>
      <c r="U575" s="20" t="s">
        <v>104</v>
      </c>
      <c r="V575" s="51" t="s">
        <v>536</v>
      </c>
    </row>
    <row r="576" spans="1:22">
      <c r="A576" s="20" t="s">
        <v>349</v>
      </c>
      <c r="B576" s="20">
        <f>'Teira 2006'!B65</f>
        <v>21</v>
      </c>
      <c r="C576" s="20">
        <f>'Teira 2006'!C65</f>
        <v>3014.89175322236</v>
      </c>
      <c r="M576" s="63">
        <f>'Teira 2006'!G65</f>
        <v>0.8</v>
      </c>
      <c r="N576" s="63">
        <f>'Teira 2006'!H65</f>
        <v>0.625</v>
      </c>
      <c r="O576" s="63" t="s">
        <v>396</v>
      </c>
      <c r="P576" s="51" t="s">
        <v>535</v>
      </c>
      <c r="Q576" s="51" t="s">
        <v>534</v>
      </c>
      <c r="R576" s="51" t="s">
        <v>246</v>
      </c>
      <c r="S576" s="51" t="s">
        <v>538</v>
      </c>
      <c r="T576" s="51" t="s">
        <v>412</v>
      </c>
      <c r="U576" s="20" t="s">
        <v>104</v>
      </c>
      <c r="V576" s="51" t="s">
        <v>536</v>
      </c>
    </row>
    <row r="577" spans="1:22">
      <c r="A577" s="20" t="s">
        <v>349</v>
      </c>
      <c r="B577" s="20">
        <f>'Teira 2006'!B75</f>
        <v>25</v>
      </c>
      <c r="C577" s="20">
        <f>'Teira 2006'!C75</f>
        <v>3043.1735702665401</v>
      </c>
      <c r="M577" s="63">
        <f>'Teira 2006'!G75</f>
        <v>0.4</v>
      </c>
      <c r="N577" s="63">
        <f>'Teira 2006'!H75</f>
        <v>0.5</v>
      </c>
      <c r="O577" s="63" t="s">
        <v>396</v>
      </c>
      <c r="P577" s="51" t="s">
        <v>535</v>
      </c>
      <c r="Q577" s="51" t="s">
        <v>534</v>
      </c>
      <c r="R577" s="51" t="s">
        <v>246</v>
      </c>
      <c r="S577" s="51" t="s">
        <v>538</v>
      </c>
      <c r="T577" s="51" t="s">
        <v>412</v>
      </c>
      <c r="U577" s="20" t="s">
        <v>104</v>
      </c>
      <c r="V577" s="51" t="s">
        <v>536</v>
      </c>
    </row>
    <row r="578" spans="1:22">
      <c r="A578" s="20" t="s">
        <v>349</v>
      </c>
      <c r="B578" s="20">
        <f>'Teira 2006'!B30</f>
        <v>7</v>
      </c>
      <c r="C578" s="20">
        <f>'Teira 2006'!C30</f>
        <v>3053.0596921536699</v>
      </c>
      <c r="M578" s="63">
        <f>'Teira 2006'!G30</f>
        <v>0.4</v>
      </c>
      <c r="N578" s="63">
        <f>'Teira 2006'!H30</f>
        <v>0.5</v>
      </c>
      <c r="O578" s="63" t="s">
        <v>396</v>
      </c>
      <c r="P578" s="51" t="s">
        <v>535</v>
      </c>
      <c r="Q578" s="51" t="s">
        <v>534</v>
      </c>
      <c r="R578" s="51" t="s">
        <v>246</v>
      </c>
      <c r="S578" s="51" t="s">
        <v>538</v>
      </c>
      <c r="T578" s="51" t="s">
        <v>412</v>
      </c>
      <c r="U578" s="20" t="s">
        <v>104</v>
      </c>
      <c r="V578" s="51" t="s">
        <v>536</v>
      </c>
    </row>
    <row r="579" spans="1:22">
      <c r="A579" s="20" t="s">
        <v>349</v>
      </c>
      <c r="B579" s="20">
        <f>'Teira 2006'!B21</f>
        <v>3</v>
      </c>
      <c r="C579" s="20">
        <f>'Teira 2006'!C21</f>
        <v>3063.6966587410798</v>
      </c>
      <c r="M579" s="63">
        <f>'Teira 2006'!G21</f>
        <v>0.65</v>
      </c>
      <c r="N579" s="63">
        <f>'Teira 2006'!H21</f>
        <v>0.53846153846153844</v>
      </c>
      <c r="O579" s="63" t="s">
        <v>396</v>
      </c>
      <c r="P579" s="51" t="s">
        <v>535</v>
      </c>
      <c r="Q579" s="51" t="s">
        <v>534</v>
      </c>
      <c r="R579" s="51" t="s">
        <v>246</v>
      </c>
      <c r="S579" s="51" t="s">
        <v>538</v>
      </c>
      <c r="T579" s="51" t="s">
        <v>412</v>
      </c>
      <c r="U579" s="20" t="s">
        <v>104</v>
      </c>
      <c r="V579" s="51" t="s">
        <v>536</v>
      </c>
    </row>
    <row r="580" spans="1:22">
      <c r="A580" s="20" t="s">
        <v>349</v>
      </c>
      <c r="B580" s="20">
        <f>'Teira 2006'!B50</f>
        <v>16</v>
      </c>
      <c r="C580" s="20">
        <f>'Teira 2006'!C50</f>
        <v>3539.2316355900298</v>
      </c>
      <c r="M580" s="63">
        <f>'Teira 2006'!G50</f>
        <v>0.75</v>
      </c>
      <c r="N580" s="63">
        <f>'Teira 2006'!H50</f>
        <v>0.66666666666666663</v>
      </c>
      <c r="O580" s="63" t="s">
        <v>396</v>
      </c>
      <c r="P580" s="51" t="s">
        <v>535</v>
      </c>
      <c r="Q580" s="51" t="s">
        <v>534</v>
      </c>
      <c r="R580" s="51" t="s">
        <v>246</v>
      </c>
      <c r="S580" s="51" t="s">
        <v>538</v>
      </c>
      <c r="T580" s="51" t="s">
        <v>412</v>
      </c>
      <c r="U580" s="20" t="s">
        <v>104</v>
      </c>
      <c r="V580" s="51" t="s">
        <v>536</v>
      </c>
    </row>
    <row r="581" spans="1:22">
      <c r="A581" s="20" t="s">
        <v>349</v>
      </c>
      <c r="B581" s="20">
        <f>'Teira 2006'!B55</f>
        <v>18</v>
      </c>
      <c r="C581" s="20">
        <f>'Teira 2006'!C55</f>
        <v>3552.99712176197</v>
      </c>
      <c r="M581" s="63">
        <f>'Teira 2006'!G55</f>
        <v>0.85</v>
      </c>
      <c r="N581" s="63">
        <f>'Teira 2006'!H55</f>
        <v>0.58823529411764708</v>
      </c>
      <c r="O581" s="63" t="s">
        <v>396</v>
      </c>
      <c r="P581" s="51" t="s">
        <v>535</v>
      </c>
      <c r="Q581" s="51" t="s">
        <v>534</v>
      </c>
      <c r="R581" s="51" t="s">
        <v>246</v>
      </c>
      <c r="S581" s="51" t="s">
        <v>538</v>
      </c>
      <c r="T581" s="51" t="s">
        <v>412</v>
      </c>
      <c r="U581" s="20" t="s">
        <v>104</v>
      </c>
      <c r="V581" s="51" t="s">
        <v>536</v>
      </c>
    </row>
    <row r="582" spans="1:22">
      <c r="A582" s="20" t="s">
        <v>349</v>
      </c>
      <c r="B582" s="20">
        <f>'Teira 2006'!B40</f>
        <v>11</v>
      </c>
      <c r="C582" s="20">
        <f>'Teira 2006'!C40</f>
        <v>3586.9102740583098</v>
      </c>
      <c r="M582" s="63">
        <f>'Teira 2006'!G40</f>
        <v>0.65</v>
      </c>
      <c r="N582" s="63">
        <f>'Teira 2006'!H40</f>
        <v>0.53846153846153844</v>
      </c>
      <c r="O582" s="63" t="s">
        <v>396</v>
      </c>
      <c r="P582" s="51" t="s">
        <v>535</v>
      </c>
      <c r="Q582" s="51" t="s">
        <v>534</v>
      </c>
      <c r="R582" s="51" t="s">
        <v>246</v>
      </c>
      <c r="S582" s="51" t="s">
        <v>538</v>
      </c>
      <c r="T582" s="51" t="s">
        <v>412</v>
      </c>
      <c r="U582" s="20" t="s">
        <v>104</v>
      </c>
      <c r="V582" s="51" t="s">
        <v>536</v>
      </c>
    </row>
    <row r="583" spans="1:22">
      <c r="A583" s="20" t="s">
        <v>349</v>
      </c>
      <c r="B583" s="20">
        <f>'Teira 2006'!B45</f>
        <v>14</v>
      </c>
      <c r="C583" s="20">
        <f>'Teira 2006'!C45</f>
        <v>3628.3318733575202</v>
      </c>
      <c r="M583" s="63">
        <f>'Teira 2006'!G45</f>
        <v>0.7</v>
      </c>
      <c r="N583" s="63">
        <f>'Teira 2006'!H45</f>
        <v>0.7142857142857143</v>
      </c>
      <c r="O583" s="63" t="s">
        <v>396</v>
      </c>
      <c r="P583" s="51" t="s">
        <v>535</v>
      </c>
      <c r="Q583" s="51" t="s">
        <v>534</v>
      </c>
      <c r="R583" s="51" t="s">
        <v>246</v>
      </c>
      <c r="S583" s="51" t="s">
        <v>538</v>
      </c>
      <c r="T583" s="51" t="s">
        <v>412</v>
      </c>
      <c r="U583" s="20" t="s">
        <v>104</v>
      </c>
      <c r="V583" s="51" t="s">
        <v>536</v>
      </c>
    </row>
    <row r="584" spans="1:22">
      <c r="A584" s="20" t="s">
        <v>349</v>
      </c>
      <c r="B584" s="20">
        <f>'Teira 2006'!B26</f>
        <v>5</v>
      </c>
      <c r="C584" s="20">
        <f>'Teira 2006'!C26</f>
        <v>3756.6011763233601</v>
      </c>
      <c r="M584" s="63">
        <f>'Teira 2006'!G26</f>
        <v>0.45</v>
      </c>
      <c r="N584" s="63">
        <f>'Teira 2006'!H26</f>
        <v>0.44444444444444442</v>
      </c>
      <c r="O584" s="63" t="s">
        <v>396</v>
      </c>
      <c r="P584" s="51" t="s">
        <v>535</v>
      </c>
      <c r="Q584" s="51" t="s">
        <v>534</v>
      </c>
      <c r="R584" s="51" t="s">
        <v>246</v>
      </c>
      <c r="S584" s="51" t="s">
        <v>538</v>
      </c>
      <c r="T584" s="51" t="s">
        <v>412</v>
      </c>
      <c r="U584" s="20" t="s">
        <v>104</v>
      </c>
      <c r="V584" s="51" t="s">
        <v>536</v>
      </c>
    </row>
    <row r="585" spans="1:22">
      <c r="A585" s="20" t="s">
        <v>349</v>
      </c>
      <c r="B585" s="20">
        <f>'Teira 2006'!B35</f>
        <v>10</v>
      </c>
      <c r="C585" s="20">
        <f>'Teira 2006'!C35</f>
        <v>3864.9730947315702</v>
      </c>
      <c r="M585" s="63">
        <f>'Teira 2006'!G35</f>
        <v>0.5</v>
      </c>
      <c r="N585" s="63">
        <f>'Teira 2006'!H35</f>
        <v>0.5</v>
      </c>
      <c r="O585" s="63" t="s">
        <v>396</v>
      </c>
      <c r="P585" s="51" t="s">
        <v>535</v>
      </c>
      <c r="Q585" s="51" t="s">
        <v>534</v>
      </c>
      <c r="R585" s="51" t="s">
        <v>246</v>
      </c>
      <c r="S585" s="51" t="s">
        <v>538</v>
      </c>
      <c r="T585" s="51" t="s">
        <v>412</v>
      </c>
      <c r="U585" s="20" t="s">
        <v>104</v>
      </c>
      <c r="V585" s="51" t="s">
        <v>536</v>
      </c>
    </row>
    <row r="586" spans="1:22">
      <c r="A586" s="20" t="s">
        <v>349</v>
      </c>
      <c r="B586" s="20">
        <f>'Teira 2006'!B60</f>
        <v>20</v>
      </c>
      <c r="C586" s="20">
        <f>'Teira 2006'!C60</f>
        <v>3869.35302214991</v>
      </c>
      <c r="M586" s="63">
        <f>'Teira 2006'!G60</f>
        <v>0.65</v>
      </c>
      <c r="N586" s="63">
        <f>'Teira 2006'!H60</f>
        <v>0.61538461538461542</v>
      </c>
      <c r="O586" s="63" t="s">
        <v>396</v>
      </c>
      <c r="P586" s="51" t="s">
        <v>535</v>
      </c>
      <c r="Q586" s="51" t="s">
        <v>534</v>
      </c>
      <c r="R586" s="51" t="s">
        <v>246</v>
      </c>
      <c r="S586" s="51" t="s">
        <v>538</v>
      </c>
      <c r="T586" s="51" t="s">
        <v>412</v>
      </c>
      <c r="U586" s="20" t="s">
        <v>104</v>
      </c>
      <c r="V586" s="51" t="s">
        <v>536</v>
      </c>
    </row>
    <row r="587" spans="1:22">
      <c r="A587" s="20" t="s">
        <v>721</v>
      </c>
      <c r="B587" s="20" t="s">
        <v>793</v>
      </c>
      <c r="C587" s="20">
        <f>'EXD Wakeham 2012 Figure 4'!B6</f>
        <v>31.858407079646014</v>
      </c>
      <c r="J587" s="51">
        <f>'EXD Wakeham 2012 Figure 4'!I6</f>
        <v>468181.81818181818</v>
      </c>
      <c r="K587" s="51">
        <f>'EXD Wakeham 2012 Figure 4'!F6</f>
        <v>47272.727272727265</v>
      </c>
      <c r="L587" s="51">
        <f>J587+K587</f>
        <v>515454.54545454541</v>
      </c>
      <c r="N587" s="63">
        <f>K587/L587</f>
        <v>9.1710758377425039E-2</v>
      </c>
      <c r="O587" s="63" t="s">
        <v>262</v>
      </c>
      <c r="P587" s="51" t="s">
        <v>367</v>
      </c>
      <c r="Q587" s="51" t="s">
        <v>534</v>
      </c>
      <c r="R587" s="51" t="s">
        <v>247</v>
      </c>
      <c r="S587" s="51" t="s">
        <v>247</v>
      </c>
      <c r="T587" s="20" t="s">
        <v>828</v>
      </c>
      <c r="U587" s="20" t="s">
        <v>104</v>
      </c>
      <c r="V587" s="51" t="s">
        <v>536</v>
      </c>
    </row>
    <row r="588" spans="1:22">
      <c r="A588" s="20" t="s">
        <v>721</v>
      </c>
      <c r="B588" s="20" t="s">
        <v>793</v>
      </c>
      <c r="C588" s="20">
        <f>'EXD Wakeham 2012 Figure 4'!B7</f>
        <v>99.557522123893804</v>
      </c>
      <c r="J588" s="51">
        <f>'EXD Wakeham 2012 Figure 4'!I7</f>
        <v>249999.99999999997</v>
      </c>
      <c r="K588" s="51">
        <f>'EXD Wakeham 2012 Figure 4'!F7</f>
        <v>18181.81818181818</v>
      </c>
      <c r="L588" s="51">
        <f>J588+K588</f>
        <v>268181.81818181818</v>
      </c>
      <c r="N588" s="63">
        <f>K588/L588</f>
        <v>6.7796610169491525E-2</v>
      </c>
      <c r="O588" s="63" t="s">
        <v>262</v>
      </c>
      <c r="P588" s="51" t="s">
        <v>367</v>
      </c>
      <c r="Q588" s="51" t="s">
        <v>534</v>
      </c>
      <c r="R588" s="51" t="s">
        <v>247</v>
      </c>
      <c r="S588" s="51" t="s">
        <v>247</v>
      </c>
      <c r="T588" s="20" t="s">
        <v>887</v>
      </c>
      <c r="U588" s="20" t="s">
        <v>104</v>
      </c>
      <c r="V588" s="51" t="s">
        <v>536</v>
      </c>
    </row>
    <row r="589" spans="1:22">
      <c r="A589" s="20" t="s">
        <v>721</v>
      </c>
      <c r="B589" s="20" t="s">
        <v>793</v>
      </c>
      <c r="C589" s="20">
        <f>'EXD Wakeham 2012 Figure 4'!B8</f>
        <v>147.34513274336283</v>
      </c>
      <c r="J589" s="51">
        <f>'EXD Wakeham 2012 Figure 4'!I8</f>
        <v>249999.99999999997</v>
      </c>
      <c r="K589" s="51">
        <f>'EXD Wakeham 2012 Figure 4'!F8</f>
        <v>9090.9090909090901</v>
      </c>
      <c r="L589" s="51">
        <f>J589+K589</f>
        <v>259090.90909090906</v>
      </c>
      <c r="M589" s="31"/>
      <c r="N589" s="63">
        <f>K589/L589</f>
        <v>3.5087719298245612E-2</v>
      </c>
      <c r="O589" s="63" t="s">
        <v>262</v>
      </c>
      <c r="P589" s="51" t="s">
        <v>367</v>
      </c>
      <c r="Q589" s="51" t="s">
        <v>534</v>
      </c>
      <c r="R589" s="51" t="s">
        <v>247</v>
      </c>
      <c r="S589" s="51" t="s">
        <v>247</v>
      </c>
      <c r="T589" s="20" t="s">
        <v>412</v>
      </c>
      <c r="U589" s="20" t="s">
        <v>104</v>
      </c>
      <c r="V589" s="51" t="s">
        <v>536</v>
      </c>
    </row>
    <row r="590" spans="1:22">
      <c r="A590" s="20" t="s">
        <v>721</v>
      </c>
      <c r="B590" s="20" t="s">
        <v>793</v>
      </c>
      <c r="C590" s="20">
        <f>'EXD Wakeham 2012 Figure 4'!B9</f>
        <v>207.0796460176991</v>
      </c>
      <c r="J590" s="51">
        <f>'EXD Wakeham 2012 Figure 4'!I9</f>
        <v>154545.45454545453</v>
      </c>
      <c r="K590" s="51">
        <f>'EXD Wakeham 2012 Figure 4'!F9</f>
        <v>7272.7272727272712</v>
      </c>
      <c r="L590" s="51">
        <f>J590+K590</f>
        <v>161818.18181818179</v>
      </c>
      <c r="N590" s="63">
        <f>K590/L590</f>
        <v>4.49438202247191E-2</v>
      </c>
      <c r="O590" s="63" t="s">
        <v>262</v>
      </c>
      <c r="P590" s="51" t="s">
        <v>367</v>
      </c>
      <c r="Q590" s="51" t="s">
        <v>534</v>
      </c>
      <c r="R590" s="51" t="s">
        <v>247</v>
      </c>
      <c r="S590" s="51" t="s">
        <v>247</v>
      </c>
      <c r="T590" s="20" t="s">
        <v>412</v>
      </c>
      <c r="U590" s="20" t="s">
        <v>104</v>
      </c>
      <c r="V590" s="51" t="s">
        <v>536</v>
      </c>
    </row>
    <row r="591" spans="1:22">
      <c r="A591" s="20" t="s">
        <v>721</v>
      </c>
      <c r="B591" s="20" t="s">
        <v>793</v>
      </c>
      <c r="C591" s="20">
        <f>'EXD Wakeham 2012 Figure 4'!B10</f>
        <v>219.02654867256635</v>
      </c>
      <c r="J591" s="51">
        <f>'EXD Wakeham 2012 Figure 4'!I10</f>
        <v>209090.90909090903</v>
      </c>
      <c r="K591" s="51">
        <f>'EXD Wakeham 2012 Figure 4'!F10</f>
        <v>12727.272727272726</v>
      </c>
      <c r="L591" s="51">
        <f>J591+K591</f>
        <v>221818.18181818177</v>
      </c>
      <c r="N591" s="63">
        <f>K591/L591</f>
        <v>5.7377049180327877E-2</v>
      </c>
      <c r="O591" s="63" t="s">
        <v>262</v>
      </c>
      <c r="P591" s="51" t="s">
        <v>367</v>
      </c>
      <c r="Q591" s="51" t="s">
        <v>534</v>
      </c>
      <c r="R591" s="51" t="s">
        <v>247</v>
      </c>
      <c r="S591" s="51" t="s">
        <v>247</v>
      </c>
      <c r="T591" s="20" t="s">
        <v>412</v>
      </c>
      <c r="U591" s="20" t="s">
        <v>104</v>
      </c>
      <c r="V591" s="51" t="s">
        <v>536</v>
      </c>
    </row>
    <row r="592" spans="1:22">
      <c r="A592" s="20" t="s">
        <v>721</v>
      </c>
      <c r="B592" s="20" t="s">
        <v>793</v>
      </c>
      <c r="C592" s="20">
        <f>'EXD Wakeham 2012 Figure 4'!B11</f>
        <v>230.97345132743362</v>
      </c>
      <c r="J592" s="51">
        <f>'EXD Wakeham 2012 Figure 4'!I11</f>
        <v>190909.09090909091</v>
      </c>
      <c r="K592" s="51">
        <f>'EXD Wakeham 2012 Figure 4'!F11</f>
        <v>6363.6363636363631</v>
      </c>
      <c r="L592" s="51">
        <f>J592+K592</f>
        <v>197272.72727272726</v>
      </c>
      <c r="N592" s="63">
        <f>K592/L592</f>
        <v>3.2258064516129031E-2</v>
      </c>
      <c r="O592" s="63" t="s">
        <v>262</v>
      </c>
      <c r="P592" s="51" t="s">
        <v>367</v>
      </c>
      <c r="Q592" s="51" t="s">
        <v>534</v>
      </c>
      <c r="R592" s="51" t="s">
        <v>247</v>
      </c>
      <c r="S592" s="51" t="s">
        <v>247</v>
      </c>
      <c r="T592" s="20" t="s">
        <v>412</v>
      </c>
      <c r="U592" s="20" t="s">
        <v>104</v>
      </c>
      <c r="V592" s="51" t="s">
        <v>536</v>
      </c>
    </row>
    <row r="593" spans="1:22">
      <c r="A593" s="20" t="s">
        <v>721</v>
      </c>
      <c r="B593" s="20" t="s">
        <v>793</v>
      </c>
      <c r="C593" s="20">
        <f>'EXD Wakeham 2012 Figure 4'!B12</f>
        <v>238.93805309734512</v>
      </c>
      <c r="J593" s="51">
        <f>'EXD Wakeham 2012 Figure 4'!I12</f>
        <v>227272.72727272726</v>
      </c>
      <c r="K593" s="51">
        <f>'EXD Wakeham 2012 Figure 4'!F12</f>
        <v>9090.9090909090901</v>
      </c>
      <c r="L593" s="51">
        <f>J593+K593</f>
        <v>236363.63636363635</v>
      </c>
      <c r="N593" s="63">
        <f>K593/L593</f>
        <v>3.8461538461538457E-2</v>
      </c>
      <c r="O593" s="63" t="s">
        <v>262</v>
      </c>
      <c r="P593" s="51" t="s">
        <v>367</v>
      </c>
      <c r="Q593" s="51" t="s">
        <v>534</v>
      </c>
      <c r="R593" s="51" t="s">
        <v>247</v>
      </c>
      <c r="S593" s="51" t="s">
        <v>247</v>
      </c>
      <c r="T593" s="20" t="s">
        <v>412</v>
      </c>
      <c r="U593" s="20" t="s">
        <v>104</v>
      </c>
      <c r="V593" s="51" t="s">
        <v>536</v>
      </c>
    </row>
    <row r="594" spans="1:22">
      <c r="A594" s="20" t="s">
        <v>721</v>
      </c>
      <c r="B594" s="20" t="s">
        <v>793</v>
      </c>
      <c r="C594" s="20">
        <f>'EXD Wakeham 2012 Figure 4'!B13</f>
        <v>250.88495575221236</v>
      </c>
      <c r="J594" s="51">
        <f>'EXD Wakeham 2012 Figure 4'!I13</f>
        <v>222727.27272727274</v>
      </c>
      <c r="K594" s="51">
        <f>'EXD Wakeham 2012 Figure 4'!F13</f>
        <v>14545.454545454542</v>
      </c>
      <c r="L594" s="51">
        <f>J594+K594</f>
        <v>237272.72727272726</v>
      </c>
      <c r="N594" s="63">
        <f>K594/L594</f>
        <v>6.1302681992337155E-2</v>
      </c>
      <c r="O594" s="63" t="s">
        <v>262</v>
      </c>
      <c r="P594" s="51" t="s">
        <v>367</v>
      </c>
      <c r="Q594" s="51" t="s">
        <v>534</v>
      </c>
      <c r="R594" s="51" t="s">
        <v>247</v>
      </c>
      <c r="S594" s="51" t="s">
        <v>247</v>
      </c>
      <c r="T594" s="20" t="s">
        <v>412</v>
      </c>
      <c r="U594" s="20" t="s">
        <v>104</v>
      </c>
      <c r="V594" s="51" t="s">
        <v>536</v>
      </c>
    </row>
    <row r="595" spans="1:22">
      <c r="A595" s="20" t="s">
        <v>721</v>
      </c>
      <c r="B595" s="20" t="s">
        <v>793</v>
      </c>
      <c r="C595" s="20">
        <f>'EXD Wakeham 2012 Figure 4'!B14</f>
        <v>258.84955752212386</v>
      </c>
      <c r="J595" s="51">
        <f>'EXD Wakeham 2012 Figure 4'!I14</f>
        <v>195454.54545454544</v>
      </c>
      <c r="K595" s="51">
        <f>'EXD Wakeham 2012 Figure 4'!F14</f>
        <v>20000</v>
      </c>
      <c r="L595" s="51">
        <f>J595+K595</f>
        <v>215454.54545454544</v>
      </c>
      <c r="N595" s="63">
        <f>K595/L595</f>
        <v>9.2827004219409287E-2</v>
      </c>
      <c r="O595" s="63" t="s">
        <v>262</v>
      </c>
      <c r="P595" s="51" t="s">
        <v>367</v>
      </c>
      <c r="Q595" s="51" t="s">
        <v>534</v>
      </c>
      <c r="R595" s="51" t="s">
        <v>247</v>
      </c>
      <c r="S595" s="51" t="s">
        <v>247</v>
      </c>
      <c r="T595" s="20" t="s">
        <v>412</v>
      </c>
      <c r="U595" s="20" t="s">
        <v>104</v>
      </c>
      <c r="V595" s="51" t="s">
        <v>536</v>
      </c>
    </row>
    <row r="596" spans="1:22">
      <c r="A596" s="20" t="s">
        <v>721</v>
      </c>
      <c r="B596" s="20" t="s">
        <v>793</v>
      </c>
      <c r="C596" s="20">
        <f>'EXD Wakeham 2012 Figure 4'!B15</f>
        <v>270.79646017699116</v>
      </c>
      <c r="J596" s="51">
        <f>'EXD Wakeham 2012 Figure 4'!I15</f>
        <v>204545.45454545453</v>
      </c>
      <c r="K596" s="51">
        <f>'EXD Wakeham 2012 Figure 4'!F15</f>
        <v>7272.7272727272712</v>
      </c>
      <c r="L596" s="51">
        <f>J596+K596</f>
        <v>211818.18181818179</v>
      </c>
      <c r="N596" s="63">
        <f>K596/L596</f>
        <v>3.4334763948497854E-2</v>
      </c>
      <c r="O596" s="63" t="s">
        <v>262</v>
      </c>
      <c r="P596" s="51" t="s">
        <v>367</v>
      </c>
      <c r="Q596" s="51" t="s">
        <v>534</v>
      </c>
      <c r="R596" s="51" t="s">
        <v>247</v>
      </c>
      <c r="S596" s="51" t="s">
        <v>247</v>
      </c>
      <c r="T596" s="20" t="s">
        <v>412</v>
      </c>
      <c r="U596" s="20" t="s">
        <v>104</v>
      </c>
      <c r="V596" s="51" t="s">
        <v>536</v>
      </c>
    </row>
    <row r="597" spans="1:22">
      <c r="A597" s="20" t="s">
        <v>721</v>
      </c>
      <c r="B597" s="20" t="s">
        <v>793</v>
      </c>
      <c r="C597" s="20">
        <f>'EXD Wakeham 2012 Figure 4'!B16</f>
        <v>286.72566371681415</v>
      </c>
      <c r="J597" s="51">
        <f>'EXD Wakeham 2012 Figure 4'!I16</f>
        <v>245454.54545454544</v>
      </c>
      <c r="K597" s="51">
        <f>'EXD Wakeham 2012 Figure 4'!F16</f>
        <v>5454.545454545454</v>
      </c>
      <c r="L597" s="51">
        <f>J597+K597</f>
        <v>250909.09090909088</v>
      </c>
      <c r="N597" s="63">
        <f>K597/L597</f>
        <v>2.1739130434782608E-2</v>
      </c>
      <c r="O597" s="63" t="s">
        <v>262</v>
      </c>
      <c r="P597" s="51" t="s">
        <v>367</v>
      </c>
      <c r="Q597" s="51" t="s">
        <v>534</v>
      </c>
      <c r="R597" s="51" t="s">
        <v>247</v>
      </c>
      <c r="S597" s="51" t="s">
        <v>247</v>
      </c>
      <c r="T597" s="20" t="s">
        <v>412</v>
      </c>
      <c r="U597" s="20" t="s">
        <v>104</v>
      </c>
      <c r="V597" s="51" t="s">
        <v>536</v>
      </c>
    </row>
    <row r="598" spans="1:22">
      <c r="A598" s="20" t="s">
        <v>721</v>
      </c>
      <c r="B598" s="20" t="s">
        <v>793</v>
      </c>
      <c r="C598" s="20">
        <f>'EXD Wakeham 2012 Figure 4'!B17</f>
        <v>298.6725663716814</v>
      </c>
      <c r="J598" s="51">
        <f>'EXD Wakeham 2012 Figure 4'!I17</f>
        <v>168181.81818181815</v>
      </c>
      <c r="K598" s="51">
        <f>'EXD Wakeham 2012 Figure 4'!F17</f>
        <v>5454.545454545454</v>
      </c>
      <c r="L598" s="51">
        <f>J598+K598</f>
        <v>173636.36363636359</v>
      </c>
      <c r="N598" s="63">
        <f>K598/L598</f>
        <v>3.1413612565445032E-2</v>
      </c>
      <c r="O598" s="63" t="s">
        <v>262</v>
      </c>
      <c r="P598" s="51" t="s">
        <v>367</v>
      </c>
      <c r="Q598" s="51" t="s">
        <v>534</v>
      </c>
      <c r="R598" s="51" t="s">
        <v>247</v>
      </c>
      <c r="S598" s="51" t="s">
        <v>247</v>
      </c>
      <c r="T598" s="20" t="s">
        <v>412</v>
      </c>
      <c r="U598" s="20" t="s">
        <v>104</v>
      </c>
      <c r="V598" s="51" t="s">
        <v>536</v>
      </c>
    </row>
    <row r="599" spans="1:22">
      <c r="A599" s="20" t="s">
        <v>721</v>
      </c>
      <c r="B599" s="20" t="s">
        <v>793</v>
      </c>
      <c r="C599" s="20">
        <f>'EXD Wakeham 2012 Figure 4'!B18</f>
        <v>334.51327433628319</v>
      </c>
      <c r="J599" s="51">
        <f>'EXD Wakeham 2012 Figure 4'!I18</f>
        <v>136363.63636363635</v>
      </c>
      <c r="K599" s="51">
        <f>'EXD Wakeham 2012 Figure 4'!F18</f>
        <v>1818.1818181818178</v>
      </c>
      <c r="L599" s="51">
        <f>J599+K599</f>
        <v>138181.81818181818</v>
      </c>
      <c r="N599" s="63">
        <f>K599/L599</f>
        <v>1.3157894736842103E-2</v>
      </c>
      <c r="O599" s="63" t="s">
        <v>262</v>
      </c>
      <c r="P599" s="51" t="s">
        <v>367</v>
      </c>
      <c r="Q599" s="51" t="s">
        <v>534</v>
      </c>
      <c r="R599" s="51" t="s">
        <v>247</v>
      </c>
      <c r="S599" s="51" t="s">
        <v>247</v>
      </c>
      <c r="T599" s="20" t="s">
        <v>412</v>
      </c>
      <c r="U599" s="20" t="s">
        <v>104</v>
      </c>
      <c r="V599" s="51" t="s">
        <v>536</v>
      </c>
    </row>
    <row r="600" spans="1:22">
      <c r="A600" s="20" t="s">
        <v>721</v>
      </c>
      <c r="B600" s="20" t="s">
        <v>793</v>
      </c>
      <c r="C600" s="20">
        <f>'EXD Wakeham 2012 Figure 4'!B19</f>
        <v>354.42477876106193</v>
      </c>
      <c r="J600" s="51">
        <f>'EXD Wakeham 2012 Figure 4'!I19</f>
        <v>181818.18181818182</v>
      </c>
      <c r="K600" s="51">
        <f>'EXD Wakeham 2012 Figure 4'!F19</f>
        <v>9090.9090909090901</v>
      </c>
      <c r="L600" s="51">
        <f>J600+K600</f>
        <v>190909.09090909091</v>
      </c>
      <c r="N600" s="63">
        <f>K600/L600</f>
        <v>4.7619047619047616E-2</v>
      </c>
      <c r="O600" s="63" t="s">
        <v>262</v>
      </c>
      <c r="P600" s="51" t="s">
        <v>367</v>
      </c>
      <c r="Q600" s="51" t="s">
        <v>534</v>
      </c>
      <c r="R600" s="51" t="s">
        <v>247</v>
      </c>
      <c r="S600" s="51" t="s">
        <v>247</v>
      </c>
      <c r="T600" s="20" t="s">
        <v>412</v>
      </c>
      <c r="U600" s="20" t="s">
        <v>104</v>
      </c>
      <c r="V600" s="51" t="s">
        <v>536</v>
      </c>
    </row>
    <row r="601" spans="1:22">
      <c r="A601" s="20" t="s">
        <v>721</v>
      </c>
      <c r="B601" s="20" t="s">
        <v>793</v>
      </c>
      <c r="C601" s="20">
        <f>'EXD Wakeham 2012 Figure 4'!B20</f>
        <v>398.23008849557522</v>
      </c>
      <c r="J601" s="51">
        <f>'EXD Wakeham 2012 Figure 4'!I20</f>
        <v>154545.45454545453</v>
      </c>
      <c r="K601" s="51">
        <f>'EXD Wakeham 2012 Figure 4'!F20</f>
        <v>27272.727272727268</v>
      </c>
      <c r="L601" s="51">
        <f>J601+K601</f>
        <v>181818.18181818179</v>
      </c>
      <c r="N601" s="63">
        <f>K601/L601</f>
        <v>0.15</v>
      </c>
      <c r="O601" s="63" t="s">
        <v>262</v>
      </c>
      <c r="P601" s="51" t="s">
        <v>367</v>
      </c>
      <c r="Q601" s="51" t="s">
        <v>534</v>
      </c>
      <c r="R601" s="51" t="s">
        <v>247</v>
      </c>
      <c r="S601" s="51" t="s">
        <v>247</v>
      </c>
      <c r="T601" s="20" t="s">
        <v>412</v>
      </c>
      <c r="U601" s="20" t="s">
        <v>104</v>
      </c>
      <c r="V601" s="51" t="s">
        <v>536</v>
      </c>
    </row>
    <row r="602" spans="1:22">
      <c r="A602" s="20" t="s">
        <v>342</v>
      </c>
      <c r="B602" s="20" t="str">
        <f>'Wells 2003, Table 3'!A26</f>
        <v>DU5 Surface Water</v>
      </c>
      <c r="C602" s="20">
        <f>'Wells 2003, Table 3'!B26</f>
        <v>7</v>
      </c>
      <c r="I602" s="51">
        <f>'Wells 2003, Table 3'!D26</f>
        <v>123000</v>
      </c>
      <c r="J602" s="51">
        <f>'Wells 2003, Table 3'!G26</f>
        <v>81000</v>
      </c>
      <c r="K602" s="51">
        <f>'Wells 2003, Table 3'!K26</f>
        <v>420</v>
      </c>
      <c r="L602" s="51">
        <f>J602+K602</f>
        <v>81420</v>
      </c>
      <c r="M602" s="63">
        <f>L602/I602</f>
        <v>0.66195121951219515</v>
      </c>
      <c r="N602" s="63">
        <f>K602/L602</f>
        <v>5.1584377302873984E-3</v>
      </c>
      <c r="O602" s="63" t="s">
        <v>262</v>
      </c>
      <c r="P602" s="51" t="s">
        <v>416</v>
      </c>
      <c r="Q602" s="51" t="s">
        <v>372</v>
      </c>
      <c r="R602" s="51" t="s">
        <v>247</v>
      </c>
      <c r="S602" s="51" t="s">
        <v>247</v>
      </c>
      <c r="T602" s="20" t="s">
        <v>412</v>
      </c>
      <c r="U602" s="20" t="s">
        <v>414</v>
      </c>
      <c r="V602" s="51" t="s">
        <v>536</v>
      </c>
    </row>
    <row r="603" spans="1:22">
      <c r="A603" s="20" t="s">
        <v>343</v>
      </c>
      <c r="B603" s="20" t="str">
        <f>'Wells 2003, Table 3'!A6</f>
        <v>AG5 Surface Water</v>
      </c>
      <c r="C603" s="20">
        <f>'Wells 2003, Table 3'!B6</f>
        <v>10</v>
      </c>
      <c r="I603" s="51">
        <f>'Wells 2003, Table 3'!D6</f>
        <v>656000</v>
      </c>
      <c r="J603" s="51">
        <f>'Wells 2003, Table 3'!G6</f>
        <v>394000</v>
      </c>
      <c r="K603" s="51">
        <f>'Wells 2003, Table 3'!K6</f>
        <v>610</v>
      </c>
      <c r="L603" s="51">
        <f>J603+K603</f>
        <v>394610</v>
      </c>
      <c r="M603" s="63">
        <f>L603/I603</f>
        <v>0.60153963414634148</v>
      </c>
      <c r="N603" s="63">
        <f>K603/L603</f>
        <v>1.5458300600592991E-3</v>
      </c>
      <c r="O603" s="63" t="s">
        <v>262</v>
      </c>
      <c r="P603" s="51" t="s">
        <v>416</v>
      </c>
      <c r="Q603" s="51" t="s">
        <v>372</v>
      </c>
      <c r="R603" s="51" t="s">
        <v>247</v>
      </c>
      <c r="S603" s="51" t="s">
        <v>247</v>
      </c>
      <c r="T603" s="20" t="s">
        <v>412</v>
      </c>
      <c r="U603" s="20" t="s">
        <v>414</v>
      </c>
      <c r="V603" s="51" t="s">
        <v>536</v>
      </c>
    </row>
    <row r="604" spans="1:22">
      <c r="A604" s="20" t="s">
        <v>342</v>
      </c>
      <c r="B604" s="20" t="str">
        <f>'Wells 2003, Table 3'!A9</f>
        <v>AGT2 Surface Water</v>
      </c>
      <c r="C604" s="20">
        <f>'Wells 2003, Table 3'!B9</f>
        <v>15</v>
      </c>
      <c r="I604" s="51">
        <f>'Wells 2003, Table 3'!D9</f>
        <v>385000</v>
      </c>
      <c r="J604" s="51">
        <f>'Wells 2003, Table 3'!G9</f>
        <v>227999.99999999997</v>
      </c>
      <c r="K604" s="51">
        <f>'Wells 2003, Table 3'!K9</f>
        <v>520</v>
      </c>
      <c r="L604" s="51">
        <f>J604+K604</f>
        <v>228519.99999999997</v>
      </c>
      <c r="M604" s="63">
        <f>L604/I604</f>
        <v>0.59355844155844151</v>
      </c>
      <c r="N604" s="63">
        <f>K604/L604</f>
        <v>2.2755119901977949E-3</v>
      </c>
      <c r="O604" s="63" t="s">
        <v>262</v>
      </c>
      <c r="P604" s="51" t="s">
        <v>416</v>
      </c>
      <c r="Q604" s="51" t="s">
        <v>372</v>
      </c>
      <c r="R604" s="51" t="s">
        <v>247</v>
      </c>
      <c r="S604" s="51" t="s">
        <v>247</v>
      </c>
      <c r="T604" s="20" t="s">
        <v>412</v>
      </c>
      <c r="U604" s="20" t="s">
        <v>414</v>
      </c>
      <c r="V604" s="51" t="s">
        <v>536</v>
      </c>
    </row>
    <row r="605" spans="1:22">
      <c r="A605" s="20" t="s">
        <v>343</v>
      </c>
      <c r="B605" s="20" t="str">
        <f>'Wells 2003, Table 3'!A7</f>
        <v>AG5 Surface Water</v>
      </c>
      <c r="C605" s="20">
        <f>'Wells 2003, Table 3'!B7</f>
        <v>20</v>
      </c>
      <c r="I605" s="51">
        <f>'Wells 2003, Table 3'!D7</f>
        <v>494000.00000000006</v>
      </c>
      <c r="J605" s="51">
        <f>'Wells 2003, Table 3'!G7</f>
        <v>327000</v>
      </c>
      <c r="K605" s="51">
        <f>'Wells 2003, Table 3'!K7</f>
        <v>1760</v>
      </c>
      <c r="L605" s="51">
        <f>J605+K605</f>
        <v>328760</v>
      </c>
      <c r="M605" s="63">
        <f>L605/I605</f>
        <v>0.66550607287449381</v>
      </c>
      <c r="N605" s="63">
        <f>K605/L605</f>
        <v>5.3534493247353694E-3</v>
      </c>
      <c r="O605" s="63" t="s">
        <v>262</v>
      </c>
      <c r="P605" s="51" t="s">
        <v>416</v>
      </c>
      <c r="Q605" s="51" t="s">
        <v>372</v>
      </c>
      <c r="R605" s="51" t="s">
        <v>247</v>
      </c>
      <c r="S605" s="51" t="s">
        <v>247</v>
      </c>
      <c r="T605" s="20" t="s">
        <v>412</v>
      </c>
      <c r="U605" s="20" t="s">
        <v>414</v>
      </c>
      <c r="V605" s="51" t="s">
        <v>536</v>
      </c>
    </row>
    <row r="606" spans="1:22">
      <c r="A606" s="20" t="s">
        <v>342</v>
      </c>
      <c r="B606" s="20" t="str">
        <f>'Wells 2003, Table 3'!A8</f>
        <v>AGT1 Surface Water</v>
      </c>
      <c r="C606" s="20">
        <f>'Wells 2003, Table 3'!B8</f>
        <v>20</v>
      </c>
      <c r="I606" s="51">
        <f>'Wells 2003, Table 3'!D8</f>
        <v>542000</v>
      </c>
      <c r="J606" s="51">
        <f>'Wells 2003, Table 3'!G8</f>
        <v>323000</v>
      </c>
      <c r="K606" s="51">
        <f>'Wells 2003, Table 3'!K8</f>
        <v>1850</v>
      </c>
      <c r="L606" s="51">
        <f>J606+K606</f>
        <v>324850</v>
      </c>
      <c r="M606" s="63">
        <f>L606/I606</f>
        <v>0.59935424354243538</v>
      </c>
      <c r="N606" s="63">
        <f>K606/L606</f>
        <v>5.6949361243650914E-3</v>
      </c>
      <c r="O606" s="63" t="s">
        <v>262</v>
      </c>
      <c r="P606" s="51" t="s">
        <v>416</v>
      </c>
      <c r="Q606" s="51" t="s">
        <v>372</v>
      </c>
      <c r="R606" s="51" t="s">
        <v>247</v>
      </c>
      <c r="S606" s="51" t="s">
        <v>247</v>
      </c>
      <c r="T606" s="20" t="s">
        <v>412</v>
      </c>
      <c r="U606" s="20" t="s">
        <v>414</v>
      </c>
      <c r="V606" s="51" t="s">
        <v>536</v>
      </c>
    </row>
    <row r="607" spans="1:22">
      <c r="A607" s="20" t="s">
        <v>342</v>
      </c>
      <c r="B607" s="20" t="str">
        <f>'Wells 2003, Table 3'!A11</f>
        <v>AGT3 Surface Water</v>
      </c>
      <c r="C607" s="20">
        <f>'Wells 2003, Table 3'!B11</f>
        <v>20</v>
      </c>
      <c r="I607" s="51">
        <f>'Wells 2003, Table 3'!D11</f>
        <v>521000</v>
      </c>
      <c r="J607" s="51">
        <f>'Wells 2003, Table 3'!G11</f>
        <v>328000</v>
      </c>
      <c r="K607" s="51">
        <f>'Wells 2003, Table 3'!K11</f>
        <v>3840</v>
      </c>
      <c r="L607" s="51">
        <f>J607+K607</f>
        <v>331840</v>
      </c>
      <c r="M607" s="63">
        <f>L607/I607</f>
        <v>0.63692898272552778</v>
      </c>
      <c r="N607" s="63">
        <f>K607/L607</f>
        <v>1.1571841851494697E-2</v>
      </c>
      <c r="O607" s="63" t="s">
        <v>262</v>
      </c>
      <c r="P607" s="51" t="s">
        <v>416</v>
      </c>
      <c r="Q607" s="51" t="s">
        <v>372</v>
      </c>
      <c r="R607" s="51" t="s">
        <v>247</v>
      </c>
      <c r="S607" s="51" t="s">
        <v>247</v>
      </c>
      <c r="T607" s="20" t="s">
        <v>412</v>
      </c>
      <c r="U607" s="20" t="s">
        <v>414</v>
      </c>
      <c r="V607" s="51" t="s">
        <v>536</v>
      </c>
    </row>
    <row r="608" spans="1:22">
      <c r="A608" s="20" t="s">
        <v>342</v>
      </c>
      <c r="B608" s="20" t="str">
        <f>'Wells 2003, Table 3'!A13</f>
        <v>AGT4 Surface Water</v>
      </c>
      <c r="C608" s="20">
        <f>'Wells 2003, Table 3'!B13</f>
        <v>20</v>
      </c>
      <c r="I608" s="51">
        <f>'Wells 2003, Table 3'!D13</f>
        <v>457000</v>
      </c>
      <c r="J608" s="51">
        <f>'Wells 2003, Table 3'!G13</f>
        <v>227999.99999999997</v>
      </c>
      <c r="K608" s="51">
        <f>'Wells 2003, Table 3'!K13</f>
        <v>890</v>
      </c>
      <c r="L608" s="51">
        <f>J608+K608</f>
        <v>228889.99999999997</v>
      </c>
      <c r="M608" s="63">
        <f>L608/I608</f>
        <v>0.50085339168490151</v>
      </c>
      <c r="N608" s="63">
        <f>K608/L608</f>
        <v>3.888330639171655E-3</v>
      </c>
      <c r="O608" s="63" t="s">
        <v>262</v>
      </c>
      <c r="P608" s="51" t="s">
        <v>416</v>
      </c>
      <c r="Q608" s="51" t="s">
        <v>372</v>
      </c>
      <c r="R608" s="51" t="s">
        <v>247</v>
      </c>
      <c r="S608" s="51" t="s">
        <v>247</v>
      </c>
      <c r="T608" s="20" t="s">
        <v>412</v>
      </c>
      <c r="U608" s="20" t="s">
        <v>414</v>
      </c>
      <c r="V608" s="51" t="s">
        <v>536</v>
      </c>
    </row>
    <row r="609" spans="1:22">
      <c r="A609" s="20" t="s">
        <v>342</v>
      </c>
      <c r="B609" s="20" t="str">
        <f>'Wells 2003, Table 3'!A14</f>
        <v>CK1 Surface Water</v>
      </c>
      <c r="C609" s="20">
        <f>'Wells 2003, Table 3'!B14</f>
        <v>20</v>
      </c>
      <c r="I609" s="51">
        <f>'Wells 2003, Table 3'!D14</f>
        <v>327000</v>
      </c>
      <c r="J609" s="51">
        <f>'Wells 2003, Table 3'!G14</f>
        <v>164000</v>
      </c>
      <c r="K609" s="51">
        <f>'Wells 2003, Table 3'!K14</f>
        <v>340</v>
      </c>
      <c r="L609" s="51">
        <f>J609+K609</f>
        <v>164340</v>
      </c>
      <c r="M609" s="63">
        <f>L609/I609</f>
        <v>0.50256880733944953</v>
      </c>
      <c r="N609" s="63">
        <f>K609/L609</f>
        <v>2.068881586953876E-3</v>
      </c>
      <c r="O609" s="63" t="s">
        <v>262</v>
      </c>
      <c r="P609" s="51" t="s">
        <v>416</v>
      </c>
      <c r="Q609" s="51" t="s">
        <v>372</v>
      </c>
      <c r="R609" s="51" t="s">
        <v>247</v>
      </c>
      <c r="S609" s="51" t="s">
        <v>247</v>
      </c>
      <c r="T609" s="20" t="s">
        <v>412</v>
      </c>
      <c r="U609" s="20" t="s">
        <v>414</v>
      </c>
      <c r="V609" s="51" t="s">
        <v>536</v>
      </c>
    </row>
    <row r="610" spans="1:22">
      <c r="A610" s="20" t="s">
        <v>342</v>
      </c>
      <c r="B610" s="20" t="str">
        <f>'Wells 2003, Table 3'!A16</f>
        <v>CK5 Surface Water</v>
      </c>
      <c r="C610" s="20">
        <f>'Wells 2003, Table 3'!B16</f>
        <v>20</v>
      </c>
      <c r="I610" s="51">
        <f>'Wells 2003, Table 3'!D16</f>
        <v>424000</v>
      </c>
      <c r="J610" s="51">
        <f>'Wells 2003, Table 3'!G16</f>
        <v>239000</v>
      </c>
      <c r="K610" s="51">
        <f>'Wells 2003, Table 3'!K16</f>
        <v>3440</v>
      </c>
      <c r="L610" s="51">
        <f>J610+K610</f>
        <v>242440</v>
      </c>
      <c r="M610" s="63">
        <f>L610/I610</f>
        <v>0.57179245283018865</v>
      </c>
      <c r="N610" s="63">
        <f>K610/L610</f>
        <v>1.4189077709948853E-2</v>
      </c>
      <c r="O610" s="63" t="s">
        <v>262</v>
      </c>
      <c r="P610" s="51" t="s">
        <v>416</v>
      </c>
      <c r="Q610" s="51" t="s">
        <v>372</v>
      </c>
      <c r="R610" s="51" t="s">
        <v>247</v>
      </c>
      <c r="S610" s="51" t="s">
        <v>247</v>
      </c>
      <c r="T610" s="20" t="s">
        <v>412</v>
      </c>
      <c r="U610" s="20" t="s">
        <v>414</v>
      </c>
      <c r="V610" s="51" t="s">
        <v>536</v>
      </c>
    </row>
    <row r="611" spans="1:22">
      <c r="A611" s="20" t="s">
        <v>342</v>
      </c>
      <c r="B611" s="20" t="str">
        <f>'Wells 2003, Table 3'!A17</f>
        <v>CP1 Surface Water</v>
      </c>
      <c r="C611" s="20">
        <f>'Wells 2003, Table 3'!B17</f>
        <v>20</v>
      </c>
      <c r="I611" s="51">
        <f>'Wells 2003, Table 3'!D17</f>
        <v>309000</v>
      </c>
      <c r="J611" s="51">
        <f>'Wells 2003, Table 3'!G17</f>
        <v>197000</v>
      </c>
      <c r="K611" s="51">
        <f>'Wells 2003, Table 3'!K17</f>
        <v>5270</v>
      </c>
      <c r="L611" s="51">
        <f>J611+K611</f>
        <v>202270</v>
      </c>
      <c r="M611" s="63">
        <f>L611/I611</f>
        <v>0.65459546925566348</v>
      </c>
      <c r="N611" s="63">
        <f>K611/L611</f>
        <v>2.6054283877984873E-2</v>
      </c>
      <c r="O611" s="63" t="s">
        <v>262</v>
      </c>
      <c r="P611" s="51" t="s">
        <v>416</v>
      </c>
      <c r="Q611" s="51" t="s">
        <v>372</v>
      </c>
      <c r="R611" s="51" t="s">
        <v>247</v>
      </c>
      <c r="S611" s="51" t="s">
        <v>247</v>
      </c>
      <c r="T611" s="20" t="s">
        <v>412</v>
      </c>
      <c r="U611" s="20" t="s">
        <v>414</v>
      </c>
      <c r="V611" s="51" t="s">
        <v>536</v>
      </c>
    </row>
    <row r="612" spans="1:22">
      <c r="A612" s="20" t="s">
        <v>342</v>
      </c>
      <c r="B612" s="20" t="str">
        <f>'Wells 2003, Table 3'!A19</f>
        <v>CP3 Surface Water</v>
      </c>
      <c r="C612" s="20">
        <f>'Wells 2003, Table 3'!B19</f>
        <v>20</v>
      </c>
      <c r="I612" s="51">
        <f>'Wells 2003, Table 3'!D19</f>
        <v>285000</v>
      </c>
      <c r="J612" s="51">
        <f>'Wells 2003, Table 3'!G19</f>
        <v>60000</v>
      </c>
      <c r="K612" s="51">
        <f>'Wells 2003, Table 3'!K19</f>
        <v>2850</v>
      </c>
      <c r="L612" s="51">
        <f>J612+K612</f>
        <v>62850</v>
      </c>
      <c r="M612" s="63">
        <f>L612/I612</f>
        <v>0.22052631578947368</v>
      </c>
      <c r="N612" s="63">
        <f>K612/L612</f>
        <v>4.5346062052505964E-2</v>
      </c>
      <c r="O612" s="63" t="s">
        <v>262</v>
      </c>
      <c r="P612" s="51" t="s">
        <v>416</v>
      </c>
      <c r="Q612" s="51" t="s">
        <v>372</v>
      </c>
      <c r="R612" s="51" t="s">
        <v>247</v>
      </c>
      <c r="S612" s="51" t="s">
        <v>247</v>
      </c>
      <c r="T612" s="20" t="s">
        <v>412</v>
      </c>
      <c r="U612" s="20" t="s">
        <v>414</v>
      </c>
      <c r="V612" s="51" t="s">
        <v>536</v>
      </c>
    </row>
    <row r="613" spans="1:22">
      <c r="A613" s="20" t="s">
        <v>342</v>
      </c>
      <c r="B613" s="20" t="str">
        <f>'Wells 2003, Table 3'!A22</f>
        <v>CP5 Surface Water</v>
      </c>
      <c r="C613" s="20">
        <f>'Wells 2003, Table 3'!B22</f>
        <v>20</v>
      </c>
      <c r="I613" s="51">
        <f>'Wells 2003, Table 3'!D22</f>
        <v>227000</v>
      </c>
      <c r="J613" s="51">
        <f>'Wells 2003, Table 3'!G22</f>
        <v>115999.99999999999</v>
      </c>
      <c r="K613" s="51">
        <f>'Wells 2003, Table 3'!K22</f>
        <v>5360</v>
      </c>
      <c r="L613" s="51">
        <f>J613+K613</f>
        <v>121359.99999999999</v>
      </c>
      <c r="M613" s="63">
        <f>L613/I613</f>
        <v>0.53462555066079287</v>
      </c>
      <c r="N613" s="63">
        <f>K613/L613</f>
        <v>4.4166117336849046E-2</v>
      </c>
      <c r="O613" s="63" t="s">
        <v>262</v>
      </c>
      <c r="P613" s="51" t="s">
        <v>416</v>
      </c>
      <c r="Q613" s="51" t="s">
        <v>372</v>
      </c>
      <c r="R613" s="51" t="s">
        <v>247</v>
      </c>
      <c r="S613" s="51" t="s">
        <v>247</v>
      </c>
      <c r="T613" s="20" t="s">
        <v>412</v>
      </c>
      <c r="U613" s="20" t="s">
        <v>414</v>
      </c>
      <c r="V613" s="51" t="s">
        <v>536</v>
      </c>
    </row>
    <row r="614" spans="1:22">
      <c r="A614" s="20" t="s">
        <v>342</v>
      </c>
      <c r="B614" s="20" t="str">
        <f>'Wells 2003, Table 3'!A23</f>
        <v>DT3 Surface Water</v>
      </c>
      <c r="C614" s="20">
        <f>'Wells 2003, Table 3'!B23</f>
        <v>20</v>
      </c>
      <c r="I614" s="51">
        <f>'Wells 2003, Table 3'!D23</f>
        <v>271000</v>
      </c>
      <c r="J614" s="51">
        <f>'Wells 2003, Table 3'!G23</f>
        <v>114999.99999999999</v>
      </c>
      <c r="K614" s="51">
        <f>'Wells 2003, Table 3'!K23</f>
        <v>5480</v>
      </c>
      <c r="L614" s="51">
        <f>J614+K614</f>
        <v>120479.99999999999</v>
      </c>
      <c r="M614" s="63">
        <f>L614/I614</f>
        <v>0.44457564575645753</v>
      </c>
      <c r="N614" s="63">
        <f>K614/L614</f>
        <v>4.5484727755644098E-2</v>
      </c>
      <c r="O614" s="63" t="s">
        <v>262</v>
      </c>
      <c r="P614" s="51" t="s">
        <v>416</v>
      </c>
      <c r="Q614" s="51" t="s">
        <v>372</v>
      </c>
      <c r="R614" s="51" t="s">
        <v>247</v>
      </c>
      <c r="S614" s="51" t="s">
        <v>247</v>
      </c>
      <c r="T614" s="20" t="s">
        <v>412</v>
      </c>
      <c r="U614" s="20" t="s">
        <v>414</v>
      </c>
      <c r="V614" s="51" t="s">
        <v>536</v>
      </c>
    </row>
    <row r="615" spans="1:22">
      <c r="A615" s="20" t="s">
        <v>342</v>
      </c>
      <c r="B615" s="20" t="str">
        <f>'Wells 2003, Table 3'!A25</f>
        <v>DT5 Surface Water</v>
      </c>
      <c r="C615" s="20">
        <f>'Wells 2003, Table 3'!B25</f>
        <v>20</v>
      </c>
      <c r="I615" s="51">
        <f>'Wells 2003, Table 3'!D25</f>
        <v>553000</v>
      </c>
      <c r="J615" s="51">
        <f>'Wells 2003, Table 3'!G25</f>
        <v>183000</v>
      </c>
      <c r="K615" s="51">
        <f>'Wells 2003, Table 3'!K25</f>
        <v>750</v>
      </c>
      <c r="L615" s="51">
        <f>J615+K615</f>
        <v>183750</v>
      </c>
      <c r="M615" s="63">
        <f>L615/I615</f>
        <v>0.33227848101265822</v>
      </c>
      <c r="N615" s="63">
        <f>K615/L615</f>
        <v>4.0816326530612249E-3</v>
      </c>
      <c r="O615" s="63" t="s">
        <v>262</v>
      </c>
      <c r="P615" s="51" t="s">
        <v>416</v>
      </c>
      <c r="Q615" s="51" t="s">
        <v>372</v>
      </c>
      <c r="R615" s="51" t="s">
        <v>247</v>
      </c>
      <c r="S615" s="51" t="s">
        <v>247</v>
      </c>
      <c r="T615" s="20" t="s">
        <v>412</v>
      </c>
      <c r="U615" s="20" t="s">
        <v>414</v>
      </c>
      <c r="V615" s="51" t="s">
        <v>536</v>
      </c>
    </row>
    <row r="616" spans="1:22">
      <c r="A616" s="20" t="s">
        <v>342</v>
      </c>
      <c r="B616" s="20" t="str">
        <f>'Wells 2003, Table 3'!A29</f>
        <v>WB1 Surface Water</v>
      </c>
      <c r="C616" s="20">
        <f>'Wells 2003, Table 3'!B29</f>
        <v>20</v>
      </c>
      <c r="I616" s="51">
        <f>'Wells 2003, Table 3'!D29</f>
        <v>432000</v>
      </c>
      <c r="J616" s="51">
        <f>'Wells 2003, Table 3'!G29</f>
        <v>172000</v>
      </c>
      <c r="K616" s="51">
        <f>'Wells 2003, Table 3'!K29</f>
        <v>920</v>
      </c>
      <c r="L616" s="51">
        <f>J616+K616</f>
        <v>172920</v>
      </c>
      <c r="M616" s="63">
        <f>L616/I616</f>
        <v>0.40027777777777779</v>
      </c>
      <c r="N616" s="63">
        <f>K616/L616</f>
        <v>5.320379366180893E-3</v>
      </c>
      <c r="O616" s="63" t="s">
        <v>262</v>
      </c>
      <c r="P616" s="51" t="s">
        <v>416</v>
      </c>
      <c r="Q616" s="51" t="s">
        <v>372</v>
      </c>
      <c r="R616" s="51" t="s">
        <v>247</v>
      </c>
      <c r="S616" s="51" t="s">
        <v>247</v>
      </c>
      <c r="T616" s="20" t="s">
        <v>412</v>
      </c>
      <c r="U616" s="20" t="s">
        <v>414</v>
      </c>
      <c r="V616" s="51" t="s">
        <v>536</v>
      </c>
    </row>
    <row r="617" spans="1:22">
      <c r="A617" s="20" t="s">
        <v>342</v>
      </c>
      <c r="B617" s="20" t="str">
        <f>'Wells 2003, Table 3'!A33</f>
        <v>WB3 Surface Water</v>
      </c>
      <c r="C617" s="20">
        <f>'Wells 2003, Table 3'!B33</f>
        <v>20</v>
      </c>
      <c r="I617" s="51">
        <f>'Wells 2003, Table 3'!D33</f>
        <v>354000</v>
      </c>
      <c r="J617" s="51">
        <f>'Wells 2003, Table 3'!G33</f>
        <v>101000</v>
      </c>
      <c r="K617" s="51">
        <f>'Wells 2003, Table 3'!K33</f>
        <v>650</v>
      </c>
      <c r="L617" s="51">
        <f>J617+K617</f>
        <v>101650</v>
      </c>
      <c r="M617" s="63">
        <f>L617/I617</f>
        <v>0.28714689265536725</v>
      </c>
      <c r="N617" s="63">
        <f>K617/L617</f>
        <v>6.3944909001475651E-3</v>
      </c>
      <c r="O617" s="63" t="s">
        <v>262</v>
      </c>
      <c r="P617" s="51" t="s">
        <v>416</v>
      </c>
      <c r="Q617" s="51" t="s">
        <v>372</v>
      </c>
      <c r="R617" s="51" t="s">
        <v>247</v>
      </c>
      <c r="S617" s="51" t="s">
        <v>247</v>
      </c>
      <c r="T617" s="20" t="s">
        <v>412</v>
      </c>
      <c r="U617" s="20" t="s">
        <v>414</v>
      </c>
      <c r="V617" s="51" t="s">
        <v>536</v>
      </c>
    </row>
    <row r="618" spans="1:22">
      <c r="A618" s="20" t="s">
        <v>342</v>
      </c>
      <c r="B618" s="20" t="str">
        <f>'Wells 2003, Table 3'!A27</f>
        <v>LW3 Surface Water</v>
      </c>
      <c r="C618" s="20">
        <f>'Wells 2003, Table 3'!B27</f>
        <v>33</v>
      </c>
      <c r="I618" s="51">
        <f>'Wells 2003, Table 3'!D27</f>
        <v>511000.00000000006</v>
      </c>
      <c r="J618" s="51">
        <f>'Wells 2003, Table 3'!G27</f>
        <v>185000</v>
      </c>
      <c r="K618" s="51">
        <f>'Wells 2003, Table 3'!K27</f>
        <v>7150</v>
      </c>
      <c r="L618" s="51">
        <f>J618+K618</f>
        <v>192150</v>
      </c>
      <c r="M618" s="63">
        <f>L618/I618</f>
        <v>0.37602739726027395</v>
      </c>
      <c r="N618" s="63">
        <f>K618/L618</f>
        <v>3.7210512620348683E-2</v>
      </c>
      <c r="O618" s="63" t="s">
        <v>262</v>
      </c>
      <c r="P618" s="51" t="s">
        <v>416</v>
      </c>
      <c r="Q618" s="51" t="s">
        <v>372</v>
      </c>
      <c r="R618" s="51" t="s">
        <v>247</v>
      </c>
      <c r="S618" s="51" t="s">
        <v>247</v>
      </c>
      <c r="T618" s="20" t="s">
        <v>412</v>
      </c>
      <c r="U618" s="20" t="s">
        <v>414</v>
      </c>
      <c r="V618" s="51" t="s">
        <v>536</v>
      </c>
    </row>
    <row r="619" spans="1:22">
      <c r="A619" s="20" t="s">
        <v>342</v>
      </c>
      <c r="B619" s="20" t="str">
        <f>'Wells 2003, Table 3'!A30</f>
        <v>WB1 Surface Water</v>
      </c>
      <c r="C619" s="20">
        <f>'Wells 2003, Table 3'!B30</f>
        <v>42</v>
      </c>
      <c r="I619" s="51">
        <f>'Wells 2003, Table 3'!D30</f>
        <v>215000</v>
      </c>
      <c r="J619" s="51">
        <f>'Wells 2003, Table 3'!G30</f>
        <v>122000</v>
      </c>
      <c r="K619" s="51">
        <f>'Wells 2003, Table 3'!K30</f>
        <v>5510</v>
      </c>
      <c r="L619" s="51">
        <f>J619+K619</f>
        <v>127510</v>
      </c>
      <c r="M619" s="63">
        <f>L619/I619</f>
        <v>0.59306976744186046</v>
      </c>
      <c r="N619" s="63">
        <f>K619/L619</f>
        <v>4.3212297074739239E-2</v>
      </c>
      <c r="O619" s="63" t="s">
        <v>262</v>
      </c>
      <c r="P619" s="51" t="s">
        <v>416</v>
      </c>
      <c r="Q619" s="51" t="s">
        <v>372</v>
      </c>
      <c r="R619" s="51" t="s">
        <v>247</v>
      </c>
      <c r="S619" s="51" t="s">
        <v>247</v>
      </c>
      <c r="T619" s="20" t="s">
        <v>412</v>
      </c>
      <c r="U619" s="20" t="s">
        <v>414</v>
      </c>
      <c r="V619" s="51" t="s">
        <v>536</v>
      </c>
    </row>
    <row r="620" spans="1:22">
      <c r="A620" s="20" t="s">
        <v>342</v>
      </c>
      <c r="B620" s="20" t="str">
        <f>'Wells 2003, Table 3'!A31</f>
        <v>WB3 Nepheloid layer</v>
      </c>
      <c r="C620" s="20">
        <f>'Wells 2003, Table 3'!B31</f>
        <v>92</v>
      </c>
      <c r="I620" s="51">
        <f>'Wells 2003, Table 3'!D31</f>
        <v>139000</v>
      </c>
      <c r="J620" s="51">
        <f>'Wells 2003, Table 3'!G31</f>
        <v>42000</v>
      </c>
      <c r="K620" s="51">
        <f>'Wells 2003, Table 3'!K31</f>
        <v>7990</v>
      </c>
      <c r="L620" s="51">
        <f>J620+K620</f>
        <v>49990</v>
      </c>
      <c r="M620" s="63">
        <f>L620/I620</f>
        <v>0.35964028776978418</v>
      </c>
      <c r="N620" s="63">
        <f>K620/L620</f>
        <v>0.15983196639327865</v>
      </c>
      <c r="O620" s="63" t="s">
        <v>262</v>
      </c>
      <c r="P620" s="51" t="s">
        <v>416</v>
      </c>
      <c r="Q620" s="51" t="s">
        <v>372</v>
      </c>
      <c r="R620" s="51" t="s">
        <v>247</v>
      </c>
      <c r="S620" s="51" t="s">
        <v>247</v>
      </c>
      <c r="T620" s="20" t="s">
        <v>412</v>
      </c>
      <c r="U620" s="20" t="s">
        <v>414</v>
      </c>
      <c r="V620" s="51" t="s">
        <v>536</v>
      </c>
    </row>
    <row r="621" spans="1:22">
      <c r="A621" s="20" t="s">
        <v>342</v>
      </c>
      <c r="B621" s="20" t="str">
        <f>'Wells 2003, Table 3'!A20</f>
        <v>CP5 Deep water</v>
      </c>
      <c r="C621" s="20">
        <f>'Wells 2003, Table 3'!B20</f>
        <v>150</v>
      </c>
      <c r="I621" s="51">
        <f>'Wells 2003, Table 3'!D21</f>
        <v>194000</v>
      </c>
      <c r="J621" s="51">
        <f>'Wells 2003, Table 3'!G21</f>
        <v>38000</v>
      </c>
      <c r="K621" s="51">
        <f>'Wells 2003, Table 3'!K21</f>
        <v>1450</v>
      </c>
      <c r="L621" s="51">
        <f>J621+K621</f>
        <v>39450</v>
      </c>
      <c r="M621" s="63">
        <f>L621/I621</f>
        <v>0.20335051546391752</v>
      </c>
      <c r="N621" s="63">
        <f>K621/L621</f>
        <v>3.6755386565272496E-2</v>
      </c>
      <c r="O621" s="63" t="s">
        <v>262</v>
      </c>
      <c r="P621" s="51" t="s">
        <v>416</v>
      </c>
      <c r="Q621" s="51" t="s">
        <v>372</v>
      </c>
      <c r="R621" s="51" t="s">
        <v>247</v>
      </c>
      <c r="S621" s="51" t="s">
        <v>247</v>
      </c>
      <c r="T621" s="20" t="s">
        <v>412</v>
      </c>
      <c r="U621" s="20" t="s">
        <v>414</v>
      </c>
      <c r="V621" s="51" t="s">
        <v>536</v>
      </c>
    </row>
    <row r="622" spans="1:22">
      <c r="A622" s="20" t="s">
        <v>342</v>
      </c>
      <c r="B622" s="20" t="str">
        <f>'Wells 2003, Table 3'!A32</f>
        <v>WB3 Nepheloid layer</v>
      </c>
      <c r="C622" s="20">
        <f>'Wells 2003, Table 3'!B32</f>
        <v>160</v>
      </c>
      <c r="I622" s="51">
        <f>'Wells 2003, Table 3'!D32</f>
        <v>155000</v>
      </c>
      <c r="J622" s="51">
        <f>'Wells 2003, Table 3'!G32</f>
        <v>42000</v>
      </c>
      <c r="K622" s="51">
        <f>'Wells 2003, Table 3'!K32</f>
        <v>19800</v>
      </c>
      <c r="L622" s="51">
        <f>J622+K622</f>
        <v>61800</v>
      </c>
      <c r="M622" s="63">
        <f>L622/I622</f>
        <v>0.39870967741935481</v>
      </c>
      <c r="N622" s="63">
        <f>K622/L622</f>
        <v>0.32038834951456313</v>
      </c>
      <c r="O622" s="63" t="s">
        <v>262</v>
      </c>
      <c r="P622" s="51" t="s">
        <v>416</v>
      </c>
      <c r="Q622" s="51" t="s">
        <v>372</v>
      </c>
      <c r="R622" s="51" t="s">
        <v>247</v>
      </c>
      <c r="S622" s="51" t="s">
        <v>247</v>
      </c>
      <c r="T622" s="20" t="s">
        <v>412</v>
      </c>
      <c r="U622" s="20" t="s">
        <v>414</v>
      </c>
      <c r="V622" s="51" t="s">
        <v>536</v>
      </c>
    </row>
    <row r="623" spans="1:22">
      <c r="A623" s="20" t="s">
        <v>342</v>
      </c>
      <c r="B623" s="20" t="str">
        <f>'Wells 2003, Table 3'!A18</f>
        <v>CP3 Deep water</v>
      </c>
      <c r="C623" s="20">
        <f>'Wells 2003, Table 3'!B18</f>
        <v>310</v>
      </c>
      <c r="I623" s="51">
        <f>'Wells 2003, Table 3'!D18</f>
        <v>194000</v>
      </c>
      <c r="J623" s="51">
        <f>'Wells 2003, Table 3'!G18</f>
        <v>61000</v>
      </c>
      <c r="K623" s="51">
        <f>'Wells 2003, Table 3'!K18</f>
        <v>1360</v>
      </c>
      <c r="L623" s="51">
        <f>J623+K623</f>
        <v>62360</v>
      </c>
      <c r="M623" s="63">
        <f>L623/I623</f>
        <v>0.32144329896907214</v>
      </c>
      <c r="N623" s="63">
        <f>K623/L623</f>
        <v>2.1808851828094934E-2</v>
      </c>
      <c r="O623" s="63" t="s">
        <v>262</v>
      </c>
      <c r="P623" s="51" t="s">
        <v>416</v>
      </c>
      <c r="Q623" s="51" t="s">
        <v>372</v>
      </c>
      <c r="R623" s="51" t="s">
        <v>247</v>
      </c>
      <c r="S623" s="51" t="s">
        <v>247</v>
      </c>
      <c r="T623" s="20" t="s">
        <v>412</v>
      </c>
      <c r="U623" s="20" t="s">
        <v>414</v>
      </c>
      <c r="V623" s="51" t="s">
        <v>536</v>
      </c>
    </row>
    <row r="624" spans="1:22">
      <c r="A624" s="20" t="s">
        <v>342</v>
      </c>
      <c r="B624" s="20" t="str">
        <f>'Wells 2003, Table 3'!A28</f>
        <v>WB1 Nepheloid layer</v>
      </c>
      <c r="C624" s="20">
        <f>'Wells 2003, Table 3'!B28</f>
        <v>310</v>
      </c>
      <c r="I624" s="51">
        <f>'Wells 2003, Table 3'!D28</f>
        <v>219000</v>
      </c>
      <c r="J624" s="51">
        <f>'Wells 2003, Table 3'!G28</f>
        <v>71000</v>
      </c>
      <c r="K624" s="51">
        <f>'Wells 2003, Table 3'!K28</f>
        <v>4970</v>
      </c>
      <c r="L624" s="51">
        <f>J624+K624</f>
        <v>75970</v>
      </c>
      <c r="M624" s="63">
        <f>L624/I624</f>
        <v>0.34689497716894979</v>
      </c>
      <c r="N624" s="63">
        <f>K624/L624</f>
        <v>6.5420560747663545E-2</v>
      </c>
      <c r="O624" s="63" t="s">
        <v>262</v>
      </c>
      <c r="P624" s="51" t="s">
        <v>416</v>
      </c>
      <c r="Q624" s="51" t="s">
        <v>372</v>
      </c>
      <c r="R624" s="51" t="s">
        <v>247</v>
      </c>
      <c r="S624" s="51" t="s">
        <v>247</v>
      </c>
      <c r="T624" s="20" t="s">
        <v>412</v>
      </c>
      <c r="U624" s="20" t="s">
        <v>414</v>
      </c>
      <c r="V624" s="51" t="s">
        <v>536</v>
      </c>
    </row>
    <row r="625" spans="1:22">
      <c r="A625" s="20" t="s">
        <v>342</v>
      </c>
      <c r="B625" s="20" t="str">
        <f>'Wells 2003, Table 3'!A15</f>
        <v>CK5 Nepheloid layer</v>
      </c>
      <c r="C625" s="20">
        <f>'Wells 2003, Table 3'!B15</f>
        <v>413</v>
      </c>
      <c r="I625" s="51">
        <f>'Wells 2003, Table 3'!D15</f>
        <v>168000</v>
      </c>
      <c r="J625" s="51">
        <f>'Wells 2003, Table 3'!G15</f>
        <v>91000</v>
      </c>
      <c r="K625" s="51">
        <f>'Wells 2003, Table 3'!K15</f>
        <v>6820</v>
      </c>
      <c r="L625" s="51">
        <f>J625+K625</f>
        <v>97820</v>
      </c>
      <c r="M625" s="63">
        <f>L625/I625</f>
        <v>0.58226190476190476</v>
      </c>
      <c r="N625" s="63">
        <f>K625/L625</f>
        <v>6.9719893682273562E-2</v>
      </c>
      <c r="O625" s="63" t="s">
        <v>262</v>
      </c>
      <c r="P625" s="51" t="s">
        <v>416</v>
      </c>
      <c r="Q625" s="51" t="s">
        <v>372</v>
      </c>
      <c r="R625" s="51" t="s">
        <v>247</v>
      </c>
      <c r="S625" s="51" t="s">
        <v>247</v>
      </c>
      <c r="T625" s="20" t="s">
        <v>412</v>
      </c>
      <c r="U625" s="20" t="s">
        <v>414</v>
      </c>
      <c r="V625" s="51" t="s">
        <v>536</v>
      </c>
    </row>
    <row r="626" spans="1:22">
      <c r="A626" s="20" t="s">
        <v>342</v>
      </c>
      <c r="B626" s="20" t="str">
        <f>'Wells 2003, Table 3'!A12</f>
        <v>AGT4 Nepheloid layer</v>
      </c>
      <c r="C626" s="20">
        <f>'Wells 2003, Table 3'!B12</f>
        <v>431</v>
      </c>
      <c r="I626" s="51">
        <f>'Wells 2003, Table 3'!D12</f>
        <v>227000</v>
      </c>
      <c r="J626" s="51">
        <f>'Wells 2003, Table 3'!G12</f>
        <v>164000</v>
      </c>
      <c r="K626" s="51">
        <f>'Wells 2003, Table 3'!K12</f>
        <v>6710</v>
      </c>
      <c r="L626" s="51">
        <f>J626+K626</f>
        <v>170710</v>
      </c>
      <c r="M626" s="63">
        <f>L626/I626</f>
        <v>0.75202643171806172</v>
      </c>
      <c r="N626" s="63">
        <f>K626/L626</f>
        <v>3.9306426102747351E-2</v>
      </c>
      <c r="O626" s="63" t="s">
        <v>262</v>
      </c>
      <c r="P626" s="51" t="s">
        <v>416</v>
      </c>
      <c r="Q626" s="51" t="s">
        <v>372</v>
      </c>
      <c r="R626" s="51" t="s">
        <v>247</v>
      </c>
      <c r="S626" s="51" t="s">
        <v>247</v>
      </c>
      <c r="T626" s="20" t="s">
        <v>412</v>
      </c>
      <c r="U626" s="20" t="s">
        <v>414</v>
      </c>
      <c r="V626" s="51" t="s">
        <v>536</v>
      </c>
    </row>
    <row r="627" spans="1:22">
      <c r="A627" s="20" t="s">
        <v>342</v>
      </c>
      <c r="B627" s="20" t="str">
        <f>'Wells 2003, Table 3'!A10</f>
        <v>AGT3 Nepheloid layer</v>
      </c>
      <c r="C627" s="20">
        <f>'Wells 2003, Table 3'!B10</f>
        <v>446</v>
      </c>
      <c r="I627" s="51">
        <f>'Wells 2003, Table 3'!D10</f>
        <v>231999.99999999997</v>
      </c>
      <c r="J627" s="51">
        <f>'Wells 2003, Table 3'!G10</f>
        <v>89000</v>
      </c>
      <c r="K627" s="51">
        <f>'Wells 2003, Table 3'!K10</f>
        <v>20600</v>
      </c>
      <c r="L627" s="51">
        <f>J627+K627</f>
        <v>109600</v>
      </c>
      <c r="M627" s="63">
        <f>L627/I627</f>
        <v>0.47241379310344833</v>
      </c>
      <c r="N627" s="63">
        <f>K627/L627</f>
        <v>0.18795620437956204</v>
      </c>
      <c r="O627" s="63" t="s">
        <v>262</v>
      </c>
      <c r="P627" s="51" t="s">
        <v>416</v>
      </c>
      <c r="Q627" s="51" t="s">
        <v>372</v>
      </c>
      <c r="R627" s="51" t="s">
        <v>247</v>
      </c>
      <c r="S627" s="51" t="s">
        <v>247</v>
      </c>
      <c r="T627" s="20" t="s">
        <v>412</v>
      </c>
      <c r="U627" s="20" t="s">
        <v>414</v>
      </c>
      <c r="V627" s="51" t="s">
        <v>536</v>
      </c>
    </row>
    <row r="628" spans="1:22">
      <c r="A628" s="20" t="s">
        <v>342</v>
      </c>
      <c r="B628" s="20" t="str">
        <f>'Wells 2003, Table 3'!A24</f>
        <v>DT5 Nepheloid layer</v>
      </c>
      <c r="C628" s="20">
        <f>'Wells 2003, Table 3'!B24</f>
        <v>480</v>
      </c>
      <c r="I628" s="51">
        <f>'Wells 2003, Table 3'!D24</f>
        <v>249000.00000000003</v>
      </c>
      <c r="J628" s="51">
        <f>'Wells 2003, Table 3'!G24</f>
        <v>100000</v>
      </c>
      <c r="K628" s="51">
        <f>'Wells 2003, Table 3'!K24</f>
        <v>7400</v>
      </c>
      <c r="L628" s="51">
        <f>J628+K628</f>
        <v>107400</v>
      </c>
      <c r="M628" s="63">
        <f>L628/I628</f>
        <v>0.43132530120481921</v>
      </c>
      <c r="N628" s="63">
        <f>K628/L628</f>
        <v>6.8901303538175043E-2</v>
      </c>
      <c r="O628" s="63" t="s">
        <v>262</v>
      </c>
      <c r="P628" s="51" t="s">
        <v>416</v>
      </c>
      <c r="Q628" s="51" t="s">
        <v>372</v>
      </c>
      <c r="R628" s="51" t="s">
        <v>247</v>
      </c>
      <c r="S628" s="51" t="s">
        <v>247</v>
      </c>
      <c r="T628" s="20" t="s">
        <v>412</v>
      </c>
      <c r="U628" s="20" t="s">
        <v>414</v>
      </c>
      <c r="V628" s="51" t="s">
        <v>536</v>
      </c>
    </row>
    <row r="629" spans="1:22">
      <c r="A629" s="20" t="s">
        <v>342</v>
      </c>
      <c r="B629" s="20" t="str">
        <f>'Wells 2003, Table 3'!A21</f>
        <v>CP5 Deep water</v>
      </c>
      <c r="C629" s="20">
        <f>'Wells 2003, Table 3'!B21</f>
        <v>500</v>
      </c>
      <c r="I629" s="51">
        <f>'Wells 2003, Table 3'!D20</f>
        <v>137000</v>
      </c>
      <c r="J629" s="51">
        <f>'Wells 2003, Table 3'!G20</f>
        <v>50000</v>
      </c>
      <c r="K629" s="51">
        <f>'Wells 2003, Table 3'!K20</f>
        <v>4530</v>
      </c>
      <c r="L629" s="51">
        <f>J629+K629</f>
        <v>54530</v>
      </c>
      <c r="M629" s="63">
        <f>L629/I629</f>
        <v>0.398029197080292</v>
      </c>
      <c r="N629" s="63">
        <f>K629/L629</f>
        <v>8.3073537502292322E-2</v>
      </c>
      <c r="O629" s="63" t="s">
        <v>262</v>
      </c>
      <c r="P629" s="51" t="s">
        <v>416</v>
      </c>
      <c r="Q629" s="51" t="s">
        <v>372</v>
      </c>
      <c r="R629" s="51" t="s">
        <v>247</v>
      </c>
      <c r="S629" s="51" t="s">
        <v>247</v>
      </c>
      <c r="T629" s="20" t="s">
        <v>412</v>
      </c>
      <c r="U629" s="20" t="s">
        <v>414</v>
      </c>
      <c r="V629" s="51" t="s">
        <v>536</v>
      </c>
    </row>
    <row r="630" spans="1:22">
      <c r="A630" s="20" t="s">
        <v>343</v>
      </c>
      <c r="B630" s="20" t="str">
        <f>'Wells 2003, Table 3'!A5</f>
        <v>AG5 Nepheloid layer</v>
      </c>
      <c r="C630" s="20">
        <f>'Wells 2003, Table 3'!B5</f>
        <v>600</v>
      </c>
      <c r="I630" s="51">
        <f>'Wells 2003, Table 3'!D5</f>
        <v>190000</v>
      </c>
      <c r="J630" s="51">
        <f>'Wells 2003, Table 3'!G5</f>
        <v>78000</v>
      </c>
      <c r="K630" s="51">
        <f>'Wells 2003, Table 3'!K5</f>
        <v>12700</v>
      </c>
      <c r="L630" s="51">
        <f>J630+K630</f>
        <v>90700</v>
      </c>
      <c r="M630" s="63">
        <f>L630/I630</f>
        <v>0.47736842105263155</v>
      </c>
      <c r="N630" s="63">
        <f>K630/L630</f>
        <v>0.14002205071664828</v>
      </c>
      <c r="O630" s="63" t="s">
        <v>262</v>
      </c>
      <c r="P630" s="51" t="s">
        <v>416</v>
      </c>
      <c r="Q630" s="51" t="s">
        <v>372</v>
      </c>
      <c r="R630" s="51" t="s">
        <v>247</v>
      </c>
      <c r="S630" s="51" t="s">
        <v>247</v>
      </c>
      <c r="T630" s="20" t="s">
        <v>412</v>
      </c>
      <c r="U630" s="20" t="s">
        <v>414</v>
      </c>
      <c r="V630" s="51" t="s">
        <v>536</v>
      </c>
    </row>
    <row r="631" spans="1:22">
      <c r="A631" s="20" t="s">
        <v>316</v>
      </c>
      <c r="B631" s="20">
        <f>'Schattenhofer, SI Data'!A6</f>
        <v>1</v>
      </c>
      <c r="C631" s="20">
        <f>'Schattenhofer, SI Data'!E6</f>
        <v>2</v>
      </c>
      <c r="I631" s="51">
        <f>'Schattenhofer, SI Data'!F6</f>
        <v>1300000</v>
      </c>
      <c r="J631" s="51">
        <f>'Schattenhofer, SI Data'!H6</f>
        <v>1029600</v>
      </c>
      <c r="K631" s="51">
        <f>'Schattenhofer, SI Data'!M6</f>
        <v>48100</v>
      </c>
      <c r="L631" s="51">
        <f>J631+K631</f>
        <v>1077700</v>
      </c>
      <c r="M631" s="63">
        <f>L631/I631</f>
        <v>0.82899999999999996</v>
      </c>
      <c r="N631" s="63">
        <f>K631/L631</f>
        <v>4.4632086851628471E-2</v>
      </c>
      <c r="O631" s="63" t="s">
        <v>396</v>
      </c>
      <c r="P631" s="51" t="s">
        <v>416</v>
      </c>
      <c r="Q631" s="51" t="s">
        <v>534</v>
      </c>
      <c r="R631" s="51" t="s">
        <v>246</v>
      </c>
      <c r="S631" s="51" t="s">
        <v>909</v>
      </c>
      <c r="T631" s="20" t="s">
        <v>317</v>
      </c>
      <c r="U631" s="20" t="s">
        <v>319</v>
      </c>
      <c r="V631" s="20" t="s">
        <v>444</v>
      </c>
    </row>
    <row r="632" spans="1:22">
      <c r="A632" s="20" t="s">
        <v>500</v>
      </c>
      <c r="B632" s="20">
        <f>'Schattenhofer, SI Data'!A12</f>
        <v>2</v>
      </c>
      <c r="C632" s="20">
        <f>'Schattenhofer, SI Data'!E12</f>
        <v>2</v>
      </c>
      <c r="I632" s="51">
        <f>'Schattenhofer, SI Data'!F12</f>
        <v>2100000</v>
      </c>
      <c r="J632" s="51">
        <f>'Schattenhofer, SI Data'!H12</f>
        <v>1743000</v>
      </c>
      <c r="K632" s="51">
        <f>'Schattenhofer, SI Data'!M12</f>
        <v>149100</v>
      </c>
      <c r="L632" s="51">
        <f>J632+K632</f>
        <v>1892100</v>
      </c>
      <c r="M632" s="63">
        <f>L632/I632</f>
        <v>0.90100000000000002</v>
      </c>
      <c r="N632" s="63">
        <f>K632/L632</f>
        <v>7.8801331853496109E-2</v>
      </c>
      <c r="O632" s="63" t="s">
        <v>396</v>
      </c>
      <c r="P632" s="51" t="s">
        <v>416</v>
      </c>
      <c r="Q632" s="51" t="s">
        <v>534</v>
      </c>
      <c r="R632" s="51" t="s">
        <v>246</v>
      </c>
      <c r="S632" s="51" t="s">
        <v>909</v>
      </c>
      <c r="T632" s="20" t="s">
        <v>317</v>
      </c>
      <c r="U632" s="20" t="s">
        <v>318</v>
      </c>
      <c r="V632" s="20" t="s">
        <v>444</v>
      </c>
    </row>
    <row r="633" spans="1:22">
      <c r="A633" s="20" t="s">
        <v>500</v>
      </c>
      <c r="B633" s="20">
        <f>'Schattenhofer, SI Data'!A18</f>
        <v>3</v>
      </c>
      <c r="C633" s="20">
        <f>'Schattenhofer, SI Data'!E18</f>
        <v>2</v>
      </c>
      <c r="I633" s="51">
        <f>'Schattenhofer, SI Data'!F18</f>
        <v>1700000</v>
      </c>
      <c r="J633" s="51">
        <f>'Schattenhofer, SI Data'!H18</f>
        <v>1266500</v>
      </c>
      <c r="K633" s="51">
        <f>'Schattenhofer, SI Data'!M18</f>
        <v>23800</v>
      </c>
      <c r="L633" s="51">
        <f>J633+K633</f>
        <v>1290300</v>
      </c>
      <c r="M633" s="63">
        <f>L633/I633</f>
        <v>0.75900000000000001</v>
      </c>
      <c r="N633" s="63">
        <f>K633/L633</f>
        <v>1.844532279314888E-2</v>
      </c>
      <c r="O633" s="63" t="s">
        <v>396</v>
      </c>
      <c r="P633" s="51" t="s">
        <v>416</v>
      </c>
      <c r="Q633" s="51" t="s">
        <v>534</v>
      </c>
      <c r="R633" s="51" t="s">
        <v>246</v>
      </c>
      <c r="S633" s="51" t="s">
        <v>909</v>
      </c>
      <c r="T633" s="20" t="s">
        <v>317</v>
      </c>
      <c r="U633" s="20" t="s">
        <v>318</v>
      </c>
      <c r="V633" s="20" t="s">
        <v>444</v>
      </c>
    </row>
    <row r="634" spans="1:22">
      <c r="A634" s="20" t="s">
        <v>500</v>
      </c>
      <c r="B634" s="20">
        <f>'Schattenhofer, SI Data'!A24</f>
        <v>4</v>
      </c>
      <c r="C634" s="20">
        <f>'Schattenhofer, SI Data'!E24</f>
        <v>2</v>
      </c>
      <c r="I634" s="51">
        <f>'Schattenhofer, SI Data'!F24</f>
        <v>740000</v>
      </c>
      <c r="J634" s="51">
        <f>'Schattenhofer, SI Data'!H24</f>
        <v>446960</v>
      </c>
      <c r="K634" s="51">
        <f>'Schattenhofer, SI Data'!M24</f>
        <v>8140</v>
      </c>
      <c r="L634" s="51">
        <f>J634+K634</f>
        <v>455100</v>
      </c>
      <c r="M634" s="63">
        <f>L634/I634</f>
        <v>0.61499999999999999</v>
      </c>
      <c r="N634" s="63">
        <f>K634/L634</f>
        <v>1.7886178861788619E-2</v>
      </c>
      <c r="O634" s="63" t="s">
        <v>396</v>
      </c>
      <c r="P634" s="51" t="s">
        <v>416</v>
      </c>
      <c r="Q634" s="51" t="s">
        <v>534</v>
      </c>
      <c r="R634" s="51" t="s">
        <v>246</v>
      </c>
      <c r="S634" s="51" t="s">
        <v>909</v>
      </c>
      <c r="T634" s="20" t="s">
        <v>317</v>
      </c>
      <c r="U634" s="20" t="s">
        <v>318</v>
      </c>
      <c r="V634" s="20" t="s">
        <v>444</v>
      </c>
    </row>
    <row r="635" spans="1:22">
      <c r="A635" s="20" t="s">
        <v>500</v>
      </c>
      <c r="B635" s="20">
        <f>'Schattenhofer, SI Data'!A30</f>
        <v>5</v>
      </c>
      <c r="C635" s="20">
        <f>'Schattenhofer, SI Data'!E30</f>
        <v>2</v>
      </c>
      <c r="I635" s="51">
        <f>'Schattenhofer, SI Data'!F30</f>
        <v>1000000</v>
      </c>
      <c r="J635" s="51">
        <f>'Schattenhofer, SI Data'!H30</f>
        <v>682000</v>
      </c>
      <c r="K635" s="51">
        <f>'Schattenhofer, SI Data'!M30</f>
        <v>14000</v>
      </c>
      <c r="L635" s="51">
        <f>J635+K635</f>
        <v>696000</v>
      </c>
      <c r="M635" s="63">
        <f>L635/I635</f>
        <v>0.69599999999999995</v>
      </c>
      <c r="N635" s="63">
        <f>K635/L635</f>
        <v>2.0114942528735632E-2</v>
      </c>
      <c r="O635" s="63" t="s">
        <v>396</v>
      </c>
      <c r="P635" s="51" t="s">
        <v>416</v>
      </c>
      <c r="Q635" s="51" t="s">
        <v>534</v>
      </c>
      <c r="R635" s="51" t="s">
        <v>246</v>
      </c>
      <c r="S635" s="51" t="s">
        <v>909</v>
      </c>
      <c r="T635" s="20" t="s">
        <v>317</v>
      </c>
      <c r="U635" s="20" t="s">
        <v>318</v>
      </c>
      <c r="V635" s="20" t="s">
        <v>444</v>
      </c>
    </row>
    <row r="636" spans="1:22">
      <c r="A636" s="20" t="s">
        <v>500</v>
      </c>
      <c r="B636" s="20">
        <f>'Schattenhofer, SI Data'!A36</f>
        <v>6</v>
      </c>
      <c r="C636" s="20">
        <f>'Schattenhofer, SI Data'!E36</f>
        <v>2</v>
      </c>
      <c r="I636" s="51">
        <f>'Schattenhofer, SI Data'!F36</f>
        <v>780000</v>
      </c>
      <c r="J636" s="51">
        <f>'Schattenhofer, SI Data'!H36</f>
        <v>520260</v>
      </c>
      <c r="K636" s="51">
        <f>'Schattenhofer, SI Data'!M36</f>
        <v>4680</v>
      </c>
      <c r="L636" s="51">
        <f>J636+K636</f>
        <v>524940</v>
      </c>
      <c r="M636" s="63">
        <f>L636/I636</f>
        <v>0.67300000000000004</v>
      </c>
      <c r="N636" s="63">
        <f>K636/L636</f>
        <v>8.9153046062407128E-3</v>
      </c>
      <c r="O636" s="63" t="s">
        <v>396</v>
      </c>
      <c r="P636" s="51" t="s">
        <v>416</v>
      </c>
      <c r="Q636" s="51" t="s">
        <v>534</v>
      </c>
      <c r="R636" s="51" t="s">
        <v>246</v>
      </c>
      <c r="S636" s="51" t="s">
        <v>909</v>
      </c>
      <c r="T636" s="20" t="s">
        <v>317</v>
      </c>
      <c r="U636" s="20" t="s">
        <v>318</v>
      </c>
      <c r="V636" s="20" t="s">
        <v>444</v>
      </c>
    </row>
    <row r="637" spans="1:22">
      <c r="A637" s="20" t="s">
        <v>500</v>
      </c>
      <c r="B637" s="20">
        <f>'Schattenhofer, SI Data'!A42</f>
        <v>7</v>
      </c>
      <c r="C637" s="20">
        <f>'Schattenhofer, SI Data'!E42</f>
        <v>2</v>
      </c>
      <c r="I637" s="51">
        <f>'Schattenhofer, SI Data'!F42</f>
        <v>820000</v>
      </c>
      <c r="J637" s="51">
        <f>'Schattenhofer, SI Data'!H42</f>
        <v>546119.99999999988</v>
      </c>
      <c r="K637" s="51">
        <f>'Schattenhofer, SI Data'!M42</f>
        <v>4100</v>
      </c>
      <c r="L637" s="51">
        <f>J637+K637</f>
        <v>550219.99999999988</v>
      </c>
      <c r="M637" s="63">
        <f>L637/I637</f>
        <v>0.67099999999999982</v>
      </c>
      <c r="N637" s="63">
        <f>K637/L637</f>
        <v>7.4515648286140107E-3</v>
      </c>
      <c r="O637" s="63" t="s">
        <v>396</v>
      </c>
      <c r="P637" s="51" t="s">
        <v>416</v>
      </c>
      <c r="Q637" s="51" t="s">
        <v>534</v>
      </c>
      <c r="R637" s="51" t="s">
        <v>246</v>
      </c>
      <c r="S637" s="51" t="s">
        <v>909</v>
      </c>
      <c r="T637" s="20" t="s">
        <v>317</v>
      </c>
      <c r="U637" s="20" t="s">
        <v>318</v>
      </c>
      <c r="V637" s="20" t="s">
        <v>444</v>
      </c>
    </row>
    <row r="638" spans="1:22">
      <c r="A638" s="20" t="s">
        <v>500</v>
      </c>
      <c r="B638" s="20">
        <f>'Schattenhofer, SI Data'!A48</f>
        <v>8</v>
      </c>
      <c r="C638" s="20">
        <f>'Schattenhofer, SI Data'!E48</f>
        <v>2</v>
      </c>
      <c r="I638" s="51">
        <f>'Schattenhofer, SI Data'!F48</f>
        <v>800000</v>
      </c>
      <c r="J638" s="51">
        <f>'Schattenhofer, SI Data'!H48</f>
        <v>590400</v>
      </c>
      <c r="K638" s="51">
        <f>'Schattenhofer, SI Data'!M48</f>
        <v>0</v>
      </c>
      <c r="L638" s="51">
        <f>J638+K638</f>
        <v>590400</v>
      </c>
      <c r="M638" s="63">
        <f>L638/I638</f>
        <v>0.73799999999999999</v>
      </c>
      <c r="N638" s="63">
        <f>K638/L638</f>
        <v>0</v>
      </c>
      <c r="O638" s="63" t="s">
        <v>396</v>
      </c>
      <c r="P638" s="51" t="s">
        <v>416</v>
      </c>
      <c r="Q638" s="51" t="s">
        <v>534</v>
      </c>
      <c r="R638" s="51" t="s">
        <v>246</v>
      </c>
      <c r="S638" s="51" t="s">
        <v>909</v>
      </c>
      <c r="T638" s="20" t="s">
        <v>317</v>
      </c>
      <c r="U638" s="20" t="s">
        <v>318</v>
      </c>
      <c r="V638" s="20" t="s">
        <v>444</v>
      </c>
    </row>
    <row r="639" spans="1:22">
      <c r="A639" s="20" t="s">
        <v>500</v>
      </c>
      <c r="B639" s="20">
        <f>'Schattenhofer, SI Data'!A54</f>
        <v>9</v>
      </c>
      <c r="C639" s="20">
        <f>'Schattenhofer, SI Data'!E54</f>
        <v>2</v>
      </c>
      <c r="I639" s="51">
        <f>'Schattenhofer, SI Data'!F54</f>
        <v>600000</v>
      </c>
      <c r="J639" s="51">
        <f>'Schattenhofer, SI Data'!H54</f>
        <v>466200</v>
      </c>
      <c r="K639" s="51">
        <f>'Schattenhofer, SI Data'!M54</f>
        <v>3000</v>
      </c>
      <c r="L639" s="51">
        <f>J639+K639</f>
        <v>469200</v>
      </c>
      <c r="M639" s="63">
        <f>L639/I639</f>
        <v>0.78200000000000003</v>
      </c>
      <c r="N639" s="63">
        <f>K639/L639</f>
        <v>6.3938618925831201E-3</v>
      </c>
      <c r="O639" s="63" t="s">
        <v>396</v>
      </c>
      <c r="P639" s="51" t="s">
        <v>416</v>
      </c>
      <c r="Q639" s="51" t="s">
        <v>534</v>
      </c>
      <c r="R639" s="51" t="s">
        <v>246</v>
      </c>
      <c r="S639" s="51" t="s">
        <v>909</v>
      </c>
      <c r="T639" s="20" t="s">
        <v>317</v>
      </c>
      <c r="U639" s="20" t="s">
        <v>318</v>
      </c>
      <c r="V639" s="20" t="s">
        <v>444</v>
      </c>
    </row>
    <row r="640" spans="1:22">
      <c r="A640" s="20" t="s">
        <v>500</v>
      </c>
      <c r="B640" s="20">
        <f>'Schattenhofer, SI Data'!A60</f>
        <v>11</v>
      </c>
      <c r="C640" s="20">
        <f>'Schattenhofer, SI Data'!E60</f>
        <v>2</v>
      </c>
      <c r="I640" s="51">
        <f>'Schattenhofer, SI Data'!F60</f>
        <v>660000</v>
      </c>
      <c r="J640" s="51">
        <f>'Schattenhofer, SI Data'!H60</f>
        <v>481800</v>
      </c>
      <c r="K640" s="51">
        <f>'Schattenhofer, SI Data'!M60</f>
        <v>6599.9999999999991</v>
      </c>
      <c r="L640" s="51">
        <f>J640+K640</f>
        <v>488400</v>
      </c>
      <c r="M640" s="63">
        <f>L640/I640</f>
        <v>0.74</v>
      </c>
      <c r="N640" s="63">
        <f>K640/L640</f>
        <v>1.3513513513513511E-2</v>
      </c>
      <c r="O640" s="63" t="s">
        <v>396</v>
      </c>
      <c r="P640" s="51" t="s">
        <v>416</v>
      </c>
      <c r="Q640" s="51" t="s">
        <v>534</v>
      </c>
      <c r="R640" s="51" t="s">
        <v>246</v>
      </c>
      <c r="S640" s="51" t="s">
        <v>909</v>
      </c>
      <c r="T640" s="20" t="s">
        <v>317</v>
      </c>
      <c r="U640" s="20" t="s">
        <v>318</v>
      </c>
      <c r="V640" s="20" t="s">
        <v>444</v>
      </c>
    </row>
    <row r="641" spans="1:22">
      <c r="A641" s="20" t="s">
        <v>500</v>
      </c>
      <c r="B641" s="20">
        <f>'Schattenhofer, SI Data'!A65</f>
        <v>12</v>
      </c>
      <c r="C641" s="20">
        <f>'Schattenhofer, SI Data'!E65</f>
        <v>2</v>
      </c>
      <c r="I641" s="51">
        <f>'Schattenhofer, SI Data'!F65</f>
        <v>750000</v>
      </c>
      <c r="J641" s="51">
        <f>'Schattenhofer, SI Data'!H65</f>
        <v>536999.99999999988</v>
      </c>
      <c r="K641" s="51">
        <f>'Schattenhofer, SI Data'!M65</f>
        <v>3000</v>
      </c>
      <c r="L641" s="51">
        <f>J641+K641</f>
        <v>539999.99999999988</v>
      </c>
      <c r="M641" s="63">
        <f>L641/I641</f>
        <v>0.71999999999999986</v>
      </c>
      <c r="N641" s="63">
        <f>K641/L641</f>
        <v>5.5555555555555566E-3</v>
      </c>
      <c r="O641" s="63" t="s">
        <v>396</v>
      </c>
      <c r="P641" s="51" t="s">
        <v>416</v>
      </c>
      <c r="Q641" s="51" t="s">
        <v>534</v>
      </c>
      <c r="R641" s="51" t="s">
        <v>246</v>
      </c>
      <c r="S641" s="51" t="s">
        <v>909</v>
      </c>
      <c r="T641" s="20" t="s">
        <v>317</v>
      </c>
      <c r="U641" s="20" t="s">
        <v>318</v>
      </c>
      <c r="V641" s="20" t="s">
        <v>444</v>
      </c>
    </row>
    <row r="642" spans="1:22">
      <c r="A642" s="20" t="s">
        <v>500</v>
      </c>
      <c r="B642" s="20">
        <f>'Schattenhofer, SI Data'!A384</f>
        <v>64</v>
      </c>
      <c r="C642" s="20">
        <f>'Schattenhofer, SI Data'!E384</f>
        <v>5</v>
      </c>
      <c r="I642" s="51">
        <f>'Schattenhofer, SI Data'!F384</f>
        <v>2000000</v>
      </c>
      <c r="J642" s="51">
        <f>'Schattenhofer, SI Data'!H384</f>
        <v>1860000</v>
      </c>
      <c r="K642" s="51">
        <f>'Schattenhofer, SI Data'!M384</f>
        <v>2000</v>
      </c>
      <c r="L642" s="51">
        <f>J642+K642</f>
        <v>1862000</v>
      </c>
      <c r="M642" s="63">
        <f>L642/I642</f>
        <v>0.93100000000000005</v>
      </c>
      <c r="N642" s="63">
        <f>K642/L642</f>
        <v>1.0741138560687433E-3</v>
      </c>
      <c r="O642" s="63" t="s">
        <v>396</v>
      </c>
      <c r="P642" s="51" t="s">
        <v>416</v>
      </c>
      <c r="Q642" s="51" t="s">
        <v>534</v>
      </c>
      <c r="R642" s="51" t="s">
        <v>246</v>
      </c>
      <c r="S642" s="51" t="s">
        <v>909</v>
      </c>
      <c r="T642" s="20" t="s">
        <v>317</v>
      </c>
      <c r="U642" s="20" t="s">
        <v>318</v>
      </c>
      <c r="V642" s="20" t="s">
        <v>444</v>
      </c>
    </row>
    <row r="643" spans="1:22">
      <c r="A643" s="20" t="s">
        <v>500</v>
      </c>
      <c r="B643" s="20">
        <f>'Schattenhofer, SI Data'!A390</f>
        <v>65</v>
      </c>
      <c r="C643" s="20">
        <f>'Schattenhofer, SI Data'!E390</f>
        <v>5</v>
      </c>
      <c r="I643" s="51">
        <f>'Schattenhofer, SI Data'!F390</f>
        <v>1000000</v>
      </c>
      <c r="J643" s="51">
        <f>'Schattenhofer, SI Data'!H390</f>
        <v>907000</v>
      </c>
      <c r="K643" s="51">
        <f>'Schattenhofer, SI Data'!M390</f>
        <v>2000</v>
      </c>
      <c r="L643" s="51">
        <f>J643+K643</f>
        <v>909000</v>
      </c>
      <c r="M643" s="63">
        <f>L643/I643</f>
        <v>0.90900000000000003</v>
      </c>
      <c r="N643" s="63">
        <f>K643/L643</f>
        <v>2.2002200220022001E-3</v>
      </c>
      <c r="O643" s="63" t="s">
        <v>396</v>
      </c>
      <c r="P643" s="51" t="s">
        <v>416</v>
      </c>
      <c r="Q643" s="51" t="s">
        <v>534</v>
      </c>
      <c r="R643" s="51" t="s">
        <v>246</v>
      </c>
      <c r="S643" s="51" t="s">
        <v>909</v>
      </c>
      <c r="T643" s="20" t="s">
        <v>317</v>
      </c>
      <c r="U643" s="20" t="s">
        <v>318</v>
      </c>
      <c r="V643" s="20" t="s">
        <v>444</v>
      </c>
    </row>
    <row r="644" spans="1:22">
      <c r="A644" s="20" t="s">
        <v>500</v>
      </c>
      <c r="B644" s="20">
        <f>'Schattenhofer, SI Data'!A173</f>
        <v>29</v>
      </c>
      <c r="C644" s="20">
        <f>'Schattenhofer, SI Data'!E173</f>
        <v>6</v>
      </c>
      <c r="I644" s="51">
        <f>'Schattenhofer, SI Data'!F173</f>
        <v>1200000</v>
      </c>
      <c r="J644" s="51">
        <f>'Schattenhofer, SI Data'!H173</f>
        <v>856800</v>
      </c>
      <c r="K644" s="51">
        <f>'Schattenhofer, SI Data'!M173</f>
        <v>1200</v>
      </c>
      <c r="L644" s="51">
        <f>J644+K644</f>
        <v>858000</v>
      </c>
      <c r="M644" s="63">
        <f>L644/I644</f>
        <v>0.71499999999999997</v>
      </c>
      <c r="N644" s="63">
        <f>K644/L644</f>
        <v>1.3986013986013986E-3</v>
      </c>
      <c r="O644" s="63" t="s">
        <v>396</v>
      </c>
      <c r="P644" s="51" t="s">
        <v>416</v>
      </c>
      <c r="Q644" s="51" t="s">
        <v>534</v>
      </c>
      <c r="R644" s="51" t="s">
        <v>246</v>
      </c>
      <c r="S644" s="51" t="s">
        <v>909</v>
      </c>
      <c r="T644" s="20" t="s">
        <v>317</v>
      </c>
      <c r="U644" s="20" t="s">
        <v>318</v>
      </c>
      <c r="V644" s="20" t="s">
        <v>444</v>
      </c>
    </row>
    <row r="645" spans="1:22">
      <c r="A645" s="20" t="s">
        <v>500</v>
      </c>
      <c r="B645" s="20">
        <f>'Schattenhofer, SI Data'!A378</f>
        <v>63</v>
      </c>
      <c r="C645" s="20">
        <f>'Schattenhofer, SI Data'!E378</f>
        <v>6</v>
      </c>
      <c r="I645" s="51">
        <f>'Schattenhofer, SI Data'!F378</f>
        <v>840000</v>
      </c>
      <c r="J645" s="51">
        <f>'Schattenhofer, SI Data'!H378</f>
        <v>630839.99999999988</v>
      </c>
      <c r="K645" s="51">
        <f>'Schattenhofer, SI Data'!M378</f>
        <v>12600</v>
      </c>
      <c r="L645" s="51">
        <f>J645+K645</f>
        <v>643439.99999999988</v>
      </c>
      <c r="M645" s="63">
        <f>L645/I645</f>
        <v>0.7659999999999999</v>
      </c>
      <c r="N645" s="63">
        <f>K645/L645</f>
        <v>1.9582245430809404E-2</v>
      </c>
      <c r="O645" s="63" t="s">
        <v>396</v>
      </c>
      <c r="P645" s="51" t="s">
        <v>416</v>
      </c>
      <c r="Q645" s="51" t="s">
        <v>534</v>
      </c>
      <c r="R645" s="51" t="s">
        <v>246</v>
      </c>
      <c r="S645" s="51" t="s">
        <v>909</v>
      </c>
      <c r="T645" s="20" t="s">
        <v>317</v>
      </c>
      <c r="U645" s="20" t="s">
        <v>318</v>
      </c>
      <c r="V645" s="20" t="s">
        <v>444</v>
      </c>
    </row>
    <row r="646" spans="1:22">
      <c r="A646" s="20" t="s">
        <v>500</v>
      </c>
      <c r="B646" s="20">
        <f>'Schattenhofer, SI Data'!A201</f>
        <v>33</v>
      </c>
      <c r="C646" s="20">
        <f>'Schattenhofer, SI Data'!E201</f>
        <v>7</v>
      </c>
      <c r="I646" s="51">
        <f>'Schattenhofer, SI Data'!F201</f>
        <v>1400000</v>
      </c>
      <c r="J646" s="51">
        <f>'Schattenhofer, SI Data'!H201</f>
        <v>1089200</v>
      </c>
      <c r="K646" s="51">
        <f>'Schattenhofer, SI Data'!M201</f>
        <v>2800</v>
      </c>
      <c r="L646" s="51">
        <f>J646+K646</f>
        <v>1092000</v>
      </c>
      <c r="M646" s="63">
        <f>L646/I646</f>
        <v>0.78</v>
      </c>
      <c r="N646" s="63">
        <f>K646/L646</f>
        <v>2.5641025641025641E-3</v>
      </c>
      <c r="O646" s="63" t="s">
        <v>396</v>
      </c>
      <c r="P646" s="51" t="s">
        <v>416</v>
      </c>
      <c r="Q646" s="51" t="s">
        <v>534</v>
      </c>
      <c r="R646" s="51" t="s">
        <v>246</v>
      </c>
      <c r="S646" s="51" t="s">
        <v>909</v>
      </c>
      <c r="T646" s="20" t="s">
        <v>317</v>
      </c>
      <c r="U646" s="20" t="s">
        <v>318</v>
      </c>
      <c r="V646" s="20" t="s">
        <v>444</v>
      </c>
    </row>
    <row r="647" spans="1:22">
      <c r="A647" s="20" t="s">
        <v>500</v>
      </c>
      <c r="B647" s="20">
        <f>'Schattenhofer, SI Data'!A207</f>
        <v>34</v>
      </c>
      <c r="C647" s="20">
        <f>'Schattenhofer, SI Data'!E207</f>
        <v>7</v>
      </c>
      <c r="I647" s="51">
        <f>'Schattenhofer, SI Data'!F207</f>
        <v>1300000</v>
      </c>
      <c r="J647" s="51">
        <f>'Schattenhofer, SI Data'!H207</f>
        <v>1040000</v>
      </c>
      <c r="K647" s="51">
        <f>'Schattenhofer, SI Data'!M207</f>
        <v>3900</v>
      </c>
      <c r="L647" s="51">
        <f>J647+K647</f>
        <v>1043900</v>
      </c>
      <c r="M647" s="63">
        <f>L647/I647</f>
        <v>0.80300000000000005</v>
      </c>
      <c r="N647" s="63">
        <f>K647/L647</f>
        <v>3.7359900373599006E-3</v>
      </c>
      <c r="O647" s="63" t="s">
        <v>396</v>
      </c>
      <c r="P647" s="51" t="s">
        <v>416</v>
      </c>
      <c r="Q647" s="51" t="s">
        <v>534</v>
      </c>
      <c r="R647" s="51" t="s">
        <v>246</v>
      </c>
      <c r="S647" s="51" t="s">
        <v>909</v>
      </c>
      <c r="T647" s="20" t="s">
        <v>317</v>
      </c>
      <c r="U647" s="20" t="s">
        <v>318</v>
      </c>
      <c r="V647" s="20" t="s">
        <v>444</v>
      </c>
    </row>
    <row r="648" spans="1:22">
      <c r="A648" s="20" t="s">
        <v>500</v>
      </c>
      <c r="B648" s="20">
        <f>'Schattenhofer, SI Data'!A346</f>
        <v>58</v>
      </c>
      <c r="C648" s="20">
        <f>'Schattenhofer, SI Data'!E346</f>
        <v>7</v>
      </c>
      <c r="I648" s="51">
        <f>'Schattenhofer, SI Data'!F346</f>
        <v>1100000</v>
      </c>
      <c r="J648" s="51">
        <f>'Schattenhofer, SI Data'!H346</f>
        <v>968000</v>
      </c>
      <c r="K648" s="51">
        <f>'Schattenhofer, SI Data'!M346</f>
        <v>8800</v>
      </c>
      <c r="L648" s="51">
        <f>J648+K648</f>
        <v>976800</v>
      </c>
      <c r="M648" s="63">
        <f>L648/I648</f>
        <v>0.88800000000000001</v>
      </c>
      <c r="N648" s="63">
        <f>K648/L648</f>
        <v>9.0090090090090089E-3</v>
      </c>
      <c r="O648" s="63" t="s">
        <v>396</v>
      </c>
      <c r="P648" s="51" t="s">
        <v>416</v>
      </c>
      <c r="Q648" s="51" t="s">
        <v>534</v>
      </c>
      <c r="R648" s="51" t="s">
        <v>246</v>
      </c>
      <c r="S648" s="51" t="s">
        <v>909</v>
      </c>
      <c r="T648" s="20" t="s">
        <v>317</v>
      </c>
      <c r="U648" s="20" t="s">
        <v>318</v>
      </c>
      <c r="V648" s="20" t="s">
        <v>444</v>
      </c>
    </row>
    <row r="649" spans="1:22">
      <c r="A649" s="20" t="s">
        <v>500</v>
      </c>
      <c r="B649" s="20">
        <f>'Schattenhofer, SI Data'!A366</f>
        <v>61</v>
      </c>
      <c r="C649" s="20">
        <f>'Schattenhofer, SI Data'!E366</f>
        <v>7</v>
      </c>
      <c r="I649" s="51">
        <f>'Schattenhofer, SI Data'!F366</f>
        <v>900000</v>
      </c>
      <c r="J649" s="51">
        <f>'Schattenhofer, SI Data'!H366</f>
        <v>809100</v>
      </c>
      <c r="K649" s="51">
        <f>'Schattenhofer, SI Data'!M366</f>
        <v>4500</v>
      </c>
      <c r="L649" s="51">
        <f>J649+K649</f>
        <v>813600</v>
      </c>
      <c r="M649" s="63">
        <f>L649/I649</f>
        <v>0.90400000000000003</v>
      </c>
      <c r="N649" s="63">
        <f>K649/L649</f>
        <v>5.5309734513274336E-3</v>
      </c>
      <c r="O649" s="63" t="s">
        <v>396</v>
      </c>
      <c r="P649" s="51" t="s">
        <v>416</v>
      </c>
      <c r="Q649" s="51" t="s">
        <v>534</v>
      </c>
      <c r="R649" s="51" t="s">
        <v>246</v>
      </c>
      <c r="S649" s="51" t="s">
        <v>909</v>
      </c>
      <c r="T649" s="20" t="s">
        <v>317</v>
      </c>
      <c r="U649" s="20" t="s">
        <v>318</v>
      </c>
      <c r="V649" s="20" t="s">
        <v>444</v>
      </c>
    </row>
    <row r="650" spans="1:22">
      <c r="A650" s="20" t="s">
        <v>500</v>
      </c>
      <c r="B650" s="20">
        <f>'Schattenhofer, SI Data'!A372</f>
        <v>62</v>
      </c>
      <c r="C650" s="20">
        <f>'Schattenhofer, SI Data'!E372</f>
        <v>7</v>
      </c>
      <c r="I650" s="51">
        <f>'Schattenhofer, SI Data'!F372</f>
        <v>610000</v>
      </c>
      <c r="J650" s="51">
        <f>'Schattenhofer, SI Data'!H372</f>
        <v>534970</v>
      </c>
      <c r="K650" s="51">
        <f>'Schattenhofer, SI Data'!M372</f>
        <v>3660</v>
      </c>
      <c r="L650" s="51">
        <f>J650+K650</f>
        <v>538630</v>
      </c>
      <c r="M650" s="63">
        <f>L650/I650</f>
        <v>0.88300000000000001</v>
      </c>
      <c r="N650" s="63">
        <f>K650/L650</f>
        <v>6.7950169875424689E-3</v>
      </c>
      <c r="O650" s="63" t="s">
        <v>396</v>
      </c>
      <c r="P650" s="51" t="s">
        <v>416</v>
      </c>
      <c r="Q650" s="51" t="s">
        <v>534</v>
      </c>
      <c r="R650" s="51" t="s">
        <v>246</v>
      </c>
      <c r="S650" s="51" t="s">
        <v>909</v>
      </c>
      <c r="T650" s="20" t="s">
        <v>317</v>
      </c>
      <c r="U650" s="20" t="s">
        <v>318</v>
      </c>
      <c r="V650" s="20" t="s">
        <v>444</v>
      </c>
    </row>
    <row r="651" spans="1:22">
      <c r="A651" s="20" t="s">
        <v>500</v>
      </c>
      <c r="B651" s="20">
        <f>'Schattenhofer, SI Data'!A340</f>
        <v>57</v>
      </c>
      <c r="C651" s="20">
        <f>'Schattenhofer, SI Data'!E340</f>
        <v>8</v>
      </c>
      <c r="I651" s="51">
        <f>'Schattenhofer, SI Data'!F340</f>
        <v>810000</v>
      </c>
      <c r="J651" s="51">
        <f>'Schattenhofer, SI Data'!H340</f>
        <v>724140</v>
      </c>
      <c r="K651" s="51">
        <f>'Schattenhofer, SI Data'!M340</f>
        <v>3240</v>
      </c>
      <c r="L651" s="51">
        <f>J651+K651</f>
        <v>727380</v>
      </c>
      <c r="M651" s="63">
        <f>L651/I651</f>
        <v>0.89800000000000002</v>
      </c>
      <c r="N651" s="63">
        <f>K651/L651</f>
        <v>4.4543429844097994E-3</v>
      </c>
      <c r="O651" s="63" t="s">
        <v>396</v>
      </c>
      <c r="P651" s="51" t="s">
        <v>416</v>
      </c>
      <c r="Q651" s="51" t="s">
        <v>534</v>
      </c>
      <c r="R651" s="51" t="s">
        <v>246</v>
      </c>
      <c r="S651" s="51" t="s">
        <v>909</v>
      </c>
      <c r="T651" s="20" t="s">
        <v>317</v>
      </c>
      <c r="U651" s="20" t="s">
        <v>318</v>
      </c>
      <c r="V651" s="20" t="s">
        <v>444</v>
      </c>
    </row>
    <row r="652" spans="1:22">
      <c r="A652" s="20" t="s">
        <v>500</v>
      </c>
      <c r="B652" s="20">
        <f>'Schattenhofer, SI Data'!A181</f>
        <v>30</v>
      </c>
      <c r="C652" s="20">
        <f>'Schattenhofer, SI Data'!E181</f>
        <v>9</v>
      </c>
      <c r="I652" s="51">
        <f>'Schattenhofer, SI Data'!F181</f>
        <v>1000000</v>
      </c>
      <c r="J652" s="51">
        <f>'Schattenhofer, SI Data'!H181</f>
        <v>721000</v>
      </c>
      <c r="K652" s="51">
        <f>'Schattenhofer, SI Data'!M181</f>
        <v>2000</v>
      </c>
      <c r="L652" s="51">
        <f>J652+K652</f>
        <v>723000</v>
      </c>
      <c r="M652" s="63">
        <f>L652/I652</f>
        <v>0.72299999999999998</v>
      </c>
      <c r="N652" s="63">
        <f>K652/L652</f>
        <v>2.7662517289073307E-3</v>
      </c>
      <c r="O652" s="63" t="s">
        <v>396</v>
      </c>
      <c r="P652" s="51" t="s">
        <v>416</v>
      </c>
      <c r="Q652" s="51" t="s">
        <v>534</v>
      </c>
      <c r="R652" s="51" t="s">
        <v>246</v>
      </c>
      <c r="S652" s="51" t="s">
        <v>909</v>
      </c>
      <c r="T652" s="20" t="s">
        <v>317</v>
      </c>
      <c r="U652" s="20" t="s">
        <v>318</v>
      </c>
      <c r="V652" s="20" t="s">
        <v>444</v>
      </c>
    </row>
    <row r="653" spans="1:22">
      <c r="A653" s="20" t="s">
        <v>500</v>
      </c>
      <c r="B653" s="20">
        <f>'Schattenhofer, SI Data'!A213</f>
        <v>35</v>
      </c>
      <c r="C653" s="20">
        <f>'Schattenhofer, SI Data'!E213</f>
        <v>9</v>
      </c>
      <c r="I653" s="51">
        <f>'Schattenhofer, SI Data'!F213</f>
        <v>930000</v>
      </c>
      <c r="J653" s="51">
        <f>'Schattenhofer, SI Data'!H213</f>
        <v>766320</v>
      </c>
      <c r="K653" s="51">
        <f>'Schattenhofer, SI Data'!M213</f>
        <v>3720</v>
      </c>
      <c r="L653" s="51">
        <f>J653+K653</f>
        <v>770040</v>
      </c>
      <c r="M653" s="63">
        <f>L653/I653</f>
        <v>0.82799999999999996</v>
      </c>
      <c r="N653" s="63">
        <f>K653/L653</f>
        <v>4.830917874396135E-3</v>
      </c>
      <c r="O653" s="63" t="s">
        <v>396</v>
      </c>
      <c r="P653" s="51" t="s">
        <v>416</v>
      </c>
      <c r="Q653" s="51" t="s">
        <v>534</v>
      </c>
      <c r="R653" s="51" t="s">
        <v>246</v>
      </c>
      <c r="S653" s="51" t="s">
        <v>909</v>
      </c>
      <c r="T653" s="20" t="s">
        <v>317</v>
      </c>
      <c r="U653" s="20" t="s">
        <v>318</v>
      </c>
      <c r="V653" s="20" t="s">
        <v>444</v>
      </c>
    </row>
    <row r="654" spans="1:22">
      <c r="A654" s="20" t="s">
        <v>500</v>
      </c>
      <c r="B654" s="20">
        <f>'Schattenhofer, SI Data'!A308</f>
        <v>51</v>
      </c>
      <c r="C654" s="20">
        <f>'Schattenhofer, SI Data'!E308</f>
        <v>9</v>
      </c>
      <c r="I654" s="51">
        <f>'Schattenhofer, SI Data'!F308</f>
        <v>1100000</v>
      </c>
      <c r="J654" s="51">
        <f>'Schattenhofer, SI Data'!H308</f>
        <v>859100</v>
      </c>
      <c r="K654" s="51">
        <f>'Schattenhofer, SI Data'!M308</f>
        <v>9900</v>
      </c>
      <c r="L654" s="51">
        <f>J654+K654</f>
        <v>869000</v>
      </c>
      <c r="M654" s="63">
        <f>L654/I654</f>
        <v>0.79</v>
      </c>
      <c r="N654" s="63">
        <f>K654/L654</f>
        <v>1.1392405063291139E-2</v>
      </c>
      <c r="O654" s="63" t="s">
        <v>396</v>
      </c>
      <c r="P654" s="51" t="s">
        <v>416</v>
      </c>
      <c r="Q654" s="51" t="s">
        <v>534</v>
      </c>
      <c r="R654" s="51" t="s">
        <v>246</v>
      </c>
      <c r="S654" s="51" t="s">
        <v>909</v>
      </c>
      <c r="T654" s="20" t="s">
        <v>317</v>
      </c>
      <c r="U654" s="20" t="s">
        <v>318</v>
      </c>
      <c r="V654" s="20" t="s">
        <v>444</v>
      </c>
    </row>
    <row r="655" spans="1:22">
      <c r="A655" s="20" t="s">
        <v>500</v>
      </c>
      <c r="B655" s="20">
        <f>'Schattenhofer, SI Data'!A334</f>
        <v>55</v>
      </c>
      <c r="C655" s="20">
        <f>'Schattenhofer, SI Data'!E334</f>
        <v>9</v>
      </c>
      <c r="I655" s="51">
        <f>'Schattenhofer, SI Data'!F334</f>
        <v>760000</v>
      </c>
      <c r="J655" s="51">
        <f>'Schattenhofer, SI Data'!H334</f>
        <v>375440</v>
      </c>
      <c r="K655" s="51">
        <f>'Schattenhofer, SI Data'!M334</f>
        <v>3040</v>
      </c>
      <c r="L655" s="51">
        <f>J655+K655</f>
        <v>378480</v>
      </c>
      <c r="M655" s="63">
        <f>L655/I655</f>
        <v>0.498</v>
      </c>
      <c r="N655" s="63">
        <f>K655/L655</f>
        <v>8.0321285140562242E-3</v>
      </c>
      <c r="O655" s="63" t="s">
        <v>396</v>
      </c>
      <c r="P655" s="51" t="s">
        <v>416</v>
      </c>
      <c r="Q655" s="51" t="s">
        <v>534</v>
      </c>
      <c r="R655" s="51" t="s">
        <v>246</v>
      </c>
      <c r="S655" s="51" t="s">
        <v>909</v>
      </c>
      <c r="T655" s="20" t="s">
        <v>317</v>
      </c>
      <c r="U655" s="20" t="s">
        <v>318</v>
      </c>
      <c r="V655" s="20" t="s">
        <v>444</v>
      </c>
    </row>
    <row r="656" spans="1:22">
      <c r="A656" s="20" t="s">
        <v>500</v>
      </c>
      <c r="B656" s="20">
        <f>'Schattenhofer, SI Data'!A352</f>
        <v>59</v>
      </c>
      <c r="C656" s="20">
        <f>'Schattenhofer, SI Data'!E352</f>
        <v>9</v>
      </c>
      <c r="I656" s="51">
        <f>'Schattenhofer, SI Data'!F352</f>
        <v>990000</v>
      </c>
      <c r="J656" s="51">
        <f>'Schattenhofer, SI Data'!H352</f>
        <v>813780</v>
      </c>
      <c r="K656" s="51">
        <f>'Schattenhofer, SI Data'!M352</f>
        <v>4950</v>
      </c>
      <c r="L656" s="51">
        <f>J656+K656</f>
        <v>818730</v>
      </c>
      <c r="M656" s="63">
        <f>L656/I656</f>
        <v>0.82699999999999996</v>
      </c>
      <c r="N656" s="63">
        <f>K656/L656</f>
        <v>6.0459492140266021E-3</v>
      </c>
      <c r="O656" s="63" t="s">
        <v>396</v>
      </c>
      <c r="P656" s="51" t="s">
        <v>416</v>
      </c>
      <c r="Q656" s="51" t="s">
        <v>534</v>
      </c>
      <c r="R656" s="51" t="s">
        <v>246</v>
      </c>
      <c r="S656" s="51" t="s">
        <v>909</v>
      </c>
      <c r="T656" s="20" t="s">
        <v>317</v>
      </c>
      <c r="U656" s="20" t="s">
        <v>318</v>
      </c>
      <c r="V656" s="20" t="s">
        <v>444</v>
      </c>
    </row>
    <row r="657" spans="1:22">
      <c r="A657" s="20" t="s">
        <v>500</v>
      </c>
      <c r="B657" s="20">
        <f>'Schattenhofer, SI Data'!A161</f>
        <v>27</v>
      </c>
      <c r="C657" s="20">
        <f>'Schattenhofer, SI Data'!E161</f>
        <v>10</v>
      </c>
      <c r="I657" s="51">
        <f>'Schattenhofer, SI Data'!F161</f>
        <v>1100000</v>
      </c>
      <c r="J657" s="51">
        <f>'Schattenhofer, SI Data'!H161</f>
        <v>785400</v>
      </c>
      <c r="K657" s="51">
        <f>'Schattenhofer, SI Data'!M161</f>
        <v>4400</v>
      </c>
      <c r="L657" s="51">
        <f>J657+K657</f>
        <v>789800</v>
      </c>
      <c r="M657" s="63">
        <f>L657/I657</f>
        <v>0.71799999999999997</v>
      </c>
      <c r="N657" s="63">
        <f>K657/L657</f>
        <v>5.5710306406685237E-3</v>
      </c>
      <c r="O657" s="63" t="s">
        <v>396</v>
      </c>
      <c r="P657" s="51" t="s">
        <v>416</v>
      </c>
      <c r="Q657" s="51" t="s">
        <v>534</v>
      </c>
      <c r="R657" s="51" t="s">
        <v>246</v>
      </c>
      <c r="S657" s="51" t="s">
        <v>909</v>
      </c>
      <c r="T657" s="20" t="s">
        <v>317</v>
      </c>
      <c r="U657" s="20" t="s">
        <v>318</v>
      </c>
      <c r="V657" s="20" t="s">
        <v>444</v>
      </c>
    </row>
    <row r="658" spans="1:22">
      <c r="A658" s="20" t="s">
        <v>500</v>
      </c>
      <c r="B658" s="20">
        <f>'Schattenhofer, SI Data'!A167</f>
        <v>28</v>
      </c>
      <c r="C658" s="20">
        <f>'Schattenhofer, SI Data'!E167</f>
        <v>10</v>
      </c>
      <c r="I658" s="51">
        <f>'Schattenhofer, SI Data'!F167</f>
        <v>1600000</v>
      </c>
      <c r="J658" s="51">
        <f>'Schattenhofer, SI Data'!H167</f>
        <v>1248000</v>
      </c>
      <c r="K658" s="51">
        <f>'Schattenhofer, SI Data'!M167</f>
        <v>1600</v>
      </c>
      <c r="L658" s="51">
        <f>J658+K658</f>
        <v>1249600</v>
      </c>
      <c r="M658" s="63">
        <f>L658/I658</f>
        <v>0.78100000000000003</v>
      </c>
      <c r="N658" s="63">
        <f>K658/L658</f>
        <v>1.2804097311139564E-3</v>
      </c>
      <c r="O658" s="63" t="s">
        <v>396</v>
      </c>
      <c r="P658" s="51" t="s">
        <v>416</v>
      </c>
      <c r="Q658" s="51" t="s">
        <v>534</v>
      </c>
      <c r="R658" s="51" t="s">
        <v>246</v>
      </c>
      <c r="S658" s="51" t="s">
        <v>909</v>
      </c>
      <c r="T658" s="20" t="s">
        <v>317</v>
      </c>
      <c r="U658" s="20" t="s">
        <v>318</v>
      </c>
      <c r="V658" s="20" t="s">
        <v>444</v>
      </c>
    </row>
    <row r="659" spans="1:22">
      <c r="A659" s="20" t="s">
        <v>500</v>
      </c>
      <c r="B659" s="20">
        <f>'Schattenhofer, SI Data'!A187</f>
        <v>31</v>
      </c>
      <c r="C659" s="20">
        <f>'Schattenhofer, SI Data'!E187</f>
        <v>10</v>
      </c>
      <c r="I659" s="51">
        <f>'Schattenhofer, SI Data'!F187</f>
        <v>1200000</v>
      </c>
      <c r="J659" s="51">
        <f>'Schattenhofer, SI Data'!H187</f>
        <v>914400</v>
      </c>
      <c r="K659" s="51">
        <f>'Schattenhofer, SI Data'!M187</f>
        <v>4800</v>
      </c>
      <c r="L659" s="51">
        <f>J659+K659</f>
        <v>919200</v>
      </c>
      <c r="M659" s="63">
        <f>L659/I659</f>
        <v>0.76600000000000001</v>
      </c>
      <c r="N659" s="63">
        <f>K659/L659</f>
        <v>5.2219321148825066E-3</v>
      </c>
      <c r="O659" s="63" t="s">
        <v>396</v>
      </c>
      <c r="P659" s="51" t="s">
        <v>416</v>
      </c>
      <c r="Q659" s="51" t="s">
        <v>534</v>
      </c>
      <c r="R659" s="51" t="s">
        <v>246</v>
      </c>
      <c r="S659" s="51" t="s">
        <v>909</v>
      </c>
      <c r="T659" s="20" t="s">
        <v>317</v>
      </c>
      <c r="U659" s="20" t="s">
        <v>318</v>
      </c>
      <c r="V659" s="20" t="s">
        <v>444</v>
      </c>
    </row>
    <row r="660" spans="1:22">
      <c r="A660" s="20" t="s">
        <v>500</v>
      </c>
      <c r="B660" s="20">
        <f>'Schattenhofer, SI Data'!A193</f>
        <v>32</v>
      </c>
      <c r="C660" s="20">
        <f>'Schattenhofer, SI Data'!E193</f>
        <v>10</v>
      </c>
      <c r="I660" s="51">
        <f>'Schattenhofer, SI Data'!F193</f>
        <v>980000</v>
      </c>
      <c r="J660" s="51">
        <f>'Schattenhofer, SI Data'!H193</f>
        <v>786940</v>
      </c>
      <c r="K660" s="51">
        <f>'Schattenhofer, SI Data'!M193</f>
        <v>3920</v>
      </c>
      <c r="L660" s="51">
        <f>J660+K660</f>
        <v>790860</v>
      </c>
      <c r="M660" s="63">
        <f>L660/I660</f>
        <v>0.80700000000000005</v>
      </c>
      <c r="N660" s="63">
        <f>K660/L660</f>
        <v>4.9566294919454771E-3</v>
      </c>
      <c r="O660" s="63" t="s">
        <v>396</v>
      </c>
      <c r="P660" s="51" t="s">
        <v>416</v>
      </c>
      <c r="Q660" s="51" t="s">
        <v>534</v>
      </c>
      <c r="R660" s="51" t="s">
        <v>246</v>
      </c>
      <c r="S660" s="51" t="s">
        <v>909</v>
      </c>
      <c r="T660" s="20" t="s">
        <v>317</v>
      </c>
      <c r="U660" s="20" t="s">
        <v>318</v>
      </c>
      <c r="V660" s="20" t="s">
        <v>444</v>
      </c>
    </row>
    <row r="661" spans="1:22">
      <c r="A661" s="20" t="s">
        <v>500</v>
      </c>
      <c r="B661" s="20">
        <f>'Schattenhofer, SI Data'!A302</f>
        <v>50</v>
      </c>
      <c r="C661" s="20">
        <f>'Schattenhofer, SI Data'!E302</f>
        <v>10</v>
      </c>
      <c r="I661" s="51">
        <f>'Schattenhofer, SI Data'!F302</f>
        <v>1200000</v>
      </c>
      <c r="J661" s="51">
        <f>'Schattenhofer, SI Data'!H302</f>
        <v>934800</v>
      </c>
      <c r="K661" s="51">
        <f>'Schattenhofer, SI Data'!M302</f>
        <v>1200</v>
      </c>
      <c r="L661" s="51">
        <f>J661+K661</f>
        <v>936000</v>
      </c>
      <c r="M661" s="63">
        <f>L661/I661</f>
        <v>0.78</v>
      </c>
      <c r="N661" s="63">
        <f>K661/L661</f>
        <v>1.2820512820512821E-3</v>
      </c>
      <c r="O661" s="63" t="s">
        <v>396</v>
      </c>
      <c r="P661" s="51" t="s">
        <v>416</v>
      </c>
      <c r="Q661" s="51" t="s">
        <v>534</v>
      </c>
      <c r="R661" s="51" t="s">
        <v>246</v>
      </c>
      <c r="S661" s="51" t="s">
        <v>909</v>
      </c>
      <c r="T661" s="20" t="s">
        <v>317</v>
      </c>
      <c r="U661" s="20" t="s">
        <v>318</v>
      </c>
      <c r="V661" s="20" t="s">
        <v>444</v>
      </c>
    </row>
    <row r="662" spans="1:22">
      <c r="A662" s="20" t="s">
        <v>500</v>
      </c>
      <c r="B662" s="20">
        <f>'Schattenhofer, SI Data'!A328</f>
        <v>54</v>
      </c>
      <c r="C662" s="20">
        <f>'Schattenhofer, SI Data'!E328</f>
        <v>10</v>
      </c>
      <c r="I662" s="51">
        <f>'Schattenhofer, SI Data'!F328</f>
        <v>830000</v>
      </c>
      <c r="J662" s="51">
        <f>'Schattenhofer, SI Data'!H328</f>
        <v>672300</v>
      </c>
      <c r="K662" s="51">
        <f>'Schattenhofer, SI Data'!M328</f>
        <v>2490</v>
      </c>
      <c r="L662" s="51">
        <f>J662+K662</f>
        <v>674790</v>
      </c>
      <c r="M662" s="63">
        <f>L662/I662</f>
        <v>0.81299999999999994</v>
      </c>
      <c r="N662" s="63">
        <f>K662/L662</f>
        <v>3.6900369003690036E-3</v>
      </c>
      <c r="O662" s="63" t="s">
        <v>396</v>
      </c>
      <c r="P662" s="51" t="s">
        <v>416</v>
      </c>
      <c r="Q662" s="51" t="s">
        <v>534</v>
      </c>
      <c r="R662" s="51" t="s">
        <v>246</v>
      </c>
      <c r="S662" s="51" t="s">
        <v>909</v>
      </c>
      <c r="T662" s="20" t="s">
        <v>317</v>
      </c>
      <c r="U662" s="20" t="s">
        <v>318</v>
      </c>
      <c r="V662" s="20" t="s">
        <v>444</v>
      </c>
    </row>
    <row r="663" spans="1:22">
      <c r="A663" s="20" t="s">
        <v>500</v>
      </c>
      <c r="B663" s="20">
        <f>'Schattenhofer, SI Data'!A358</f>
        <v>60</v>
      </c>
      <c r="C663" s="20">
        <f>'Schattenhofer, SI Data'!E358</f>
        <v>10</v>
      </c>
      <c r="I663" s="51">
        <f>'Schattenhofer, SI Data'!F358</f>
        <v>1000000</v>
      </c>
      <c r="J663" s="51">
        <f>'Schattenhofer, SI Data'!H358</f>
        <v>814000</v>
      </c>
      <c r="K663" s="51">
        <f>'Schattenhofer, SI Data'!M358</f>
        <v>2000</v>
      </c>
      <c r="L663" s="51">
        <f>J663+K663</f>
        <v>816000</v>
      </c>
      <c r="M663" s="63">
        <f>L663/I663</f>
        <v>0.81599999999999995</v>
      </c>
      <c r="N663" s="63">
        <f>K663/L663</f>
        <v>2.4509803921568627E-3</v>
      </c>
      <c r="O663" s="63" t="s">
        <v>396</v>
      </c>
      <c r="P663" s="51" t="s">
        <v>416</v>
      </c>
      <c r="Q663" s="51" t="s">
        <v>534</v>
      </c>
      <c r="R663" s="51" t="s">
        <v>246</v>
      </c>
      <c r="S663" s="51" t="s">
        <v>909</v>
      </c>
      <c r="T663" s="20" t="s">
        <v>317</v>
      </c>
      <c r="U663" s="20" t="s">
        <v>318</v>
      </c>
      <c r="V663" s="20" t="s">
        <v>444</v>
      </c>
    </row>
    <row r="664" spans="1:22">
      <c r="A664" s="20" t="s">
        <v>500</v>
      </c>
      <c r="B664" s="20">
        <f>'Schattenhofer, SI Data'!A220</f>
        <v>37</v>
      </c>
      <c r="C664" s="20">
        <f>'Schattenhofer, SI Data'!E220</f>
        <v>11</v>
      </c>
      <c r="I664" s="51">
        <f>'Schattenhofer, SI Data'!F220</f>
        <v>670000</v>
      </c>
      <c r="J664" s="51">
        <f>'Schattenhofer, SI Data'!H220</f>
        <v>560790</v>
      </c>
      <c r="K664" s="51">
        <f>'Schattenhofer, SI Data'!M220</f>
        <v>8039.9999999999991</v>
      </c>
      <c r="L664" s="51">
        <f>J664+K664</f>
        <v>568830</v>
      </c>
      <c r="M664" s="63">
        <f>L664/I664</f>
        <v>0.84899999999999998</v>
      </c>
      <c r="N664" s="63">
        <f>K664/L664</f>
        <v>1.4134275618374556E-2</v>
      </c>
      <c r="O664" s="63" t="s">
        <v>396</v>
      </c>
      <c r="P664" s="51" t="s">
        <v>416</v>
      </c>
      <c r="Q664" s="51" t="s">
        <v>534</v>
      </c>
      <c r="R664" s="51" t="s">
        <v>246</v>
      </c>
      <c r="S664" s="51" t="s">
        <v>909</v>
      </c>
      <c r="T664" s="20" t="s">
        <v>317</v>
      </c>
      <c r="U664" s="20" t="s">
        <v>318</v>
      </c>
      <c r="V664" s="20" t="s">
        <v>444</v>
      </c>
    </row>
    <row r="665" spans="1:22">
      <c r="A665" s="20" t="s">
        <v>500</v>
      </c>
      <c r="B665" s="20">
        <f>'Schattenhofer, SI Data'!A296</f>
        <v>49</v>
      </c>
      <c r="C665" s="20">
        <f>'Schattenhofer, SI Data'!E296</f>
        <v>11</v>
      </c>
      <c r="I665" s="51">
        <f>'Schattenhofer, SI Data'!F296</f>
        <v>840000</v>
      </c>
      <c r="J665" s="51">
        <f>'Schattenhofer, SI Data'!H296</f>
        <v>652680</v>
      </c>
      <c r="K665" s="51">
        <f>'Schattenhofer, SI Data'!M296</f>
        <v>3360</v>
      </c>
      <c r="L665" s="51">
        <f>J665+K665</f>
        <v>656040</v>
      </c>
      <c r="M665" s="63">
        <f>L665/I665</f>
        <v>0.78100000000000003</v>
      </c>
      <c r="N665" s="63">
        <f>K665/L665</f>
        <v>5.1216389244558257E-3</v>
      </c>
      <c r="O665" s="63" t="s">
        <v>396</v>
      </c>
      <c r="P665" s="51" t="s">
        <v>416</v>
      </c>
      <c r="Q665" s="51" t="s">
        <v>534</v>
      </c>
      <c r="R665" s="51" t="s">
        <v>246</v>
      </c>
      <c r="S665" s="51" t="s">
        <v>909</v>
      </c>
      <c r="T665" s="20" t="s">
        <v>317</v>
      </c>
      <c r="U665" s="20" t="s">
        <v>318</v>
      </c>
      <c r="V665" s="20" t="s">
        <v>444</v>
      </c>
    </row>
    <row r="666" spans="1:22">
      <c r="A666" s="20" t="s">
        <v>500</v>
      </c>
      <c r="B666" s="20">
        <f>'Schattenhofer, SI Data'!A155</f>
        <v>26</v>
      </c>
      <c r="C666" s="20">
        <f>'Schattenhofer, SI Data'!E155</f>
        <v>12</v>
      </c>
      <c r="I666" s="51">
        <f>'Schattenhofer, SI Data'!F155</f>
        <v>1300000</v>
      </c>
      <c r="J666" s="51">
        <f>'Schattenhofer, SI Data'!H155</f>
        <v>882700</v>
      </c>
      <c r="K666" s="51">
        <f>'Schattenhofer, SI Data'!M155</f>
        <v>6500</v>
      </c>
      <c r="L666" s="51">
        <f>J666+K666</f>
        <v>889200</v>
      </c>
      <c r="M666" s="63">
        <f>L666/I666</f>
        <v>0.68400000000000005</v>
      </c>
      <c r="N666" s="63">
        <f>K666/L666</f>
        <v>7.3099415204678359E-3</v>
      </c>
      <c r="O666" s="63" t="s">
        <v>396</v>
      </c>
      <c r="P666" s="51" t="s">
        <v>416</v>
      </c>
      <c r="Q666" s="51" t="s">
        <v>534</v>
      </c>
      <c r="R666" s="51" t="s">
        <v>246</v>
      </c>
      <c r="S666" s="51" t="s">
        <v>909</v>
      </c>
      <c r="T666" s="20" t="s">
        <v>317</v>
      </c>
      <c r="U666" s="20" t="s">
        <v>318</v>
      </c>
      <c r="V666" s="20" t="s">
        <v>444</v>
      </c>
    </row>
    <row r="667" spans="1:22">
      <c r="A667" s="20" t="s">
        <v>500</v>
      </c>
      <c r="B667" s="20">
        <f>'Schattenhofer, SI Data'!A314</f>
        <v>52</v>
      </c>
      <c r="C667" s="20">
        <f>'Schattenhofer, SI Data'!E314</f>
        <v>12</v>
      </c>
      <c r="I667" s="51">
        <f>'Schattenhofer, SI Data'!F314</f>
        <v>820000</v>
      </c>
      <c r="J667" s="51">
        <f>'Schattenhofer, SI Data'!H314</f>
        <v>665019.99999999988</v>
      </c>
      <c r="K667" s="51">
        <f>'Schattenhofer, SI Data'!M314</f>
        <v>0</v>
      </c>
      <c r="L667" s="51">
        <f>J667+K667</f>
        <v>665019.99999999988</v>
      </c>
      <c r="M667" s="63">
        <f>L667/I667</f>
        <v>0.81099999999999983</v>
      </c>
      <c r="N667" s="63">
        <f>K667/L667</f>
        <v>0</v>
      </c>
      <c r="O667" s="63" t="s">
        <v>396</v>
      </c>
      <c r="P667" s="51" t="s">
        <v>416</v>
      </c>
      <c r="Q667" s="51" t="s">
        <v>534</v>
      </c>
      <c r="R667" s="51" t="s">
        <v>246</v>
      </c>
      <c r="S667" s="51" t="s">
        <v>909</v>
      </c>
      <c r="T667" s="20" t="s">
        <v>317</v>
      </c>
      <c r="U667" s="20" t="s">
        <v>318</v>
      </c>
      <c r="V667" s="20" t="s">
        <v>444</v>
      </c>
    </row>
    <row r="668" spans="1:22">
      <c r="A668" s="20" t="s">
        <v>500</v>
      </c>
      <c r="B668" s="20">
        <f>'Schattenhofer, SI Data'!A322</f>
        <v>53</v>
      </c>
      <c r="C668" s="20">
        <f>'Schattenhofer, SI Data'!E322</f>
        <v>12</v>
      </c>
      <c r="I668" s="51">
        <f>'Schattenhofer, SI Data'!F322</f>
        <v>750000</v>
      </c>
      <c r="J668" s="51">
        <f>'Schattenhofer, SI Data'!H322</f>
        <v>644250.00000000012</v>
      </c>
      <c r="K668" s="51">
        <f>'Schattenhofer, SI Data'!M322</f>
        <v>2250</v>
      </c>
      <c r="L668" s="51">
        <f>J668+K668</f>
        <v>646500.00000000012</v>
      </c>
      <c r="M668" s="63">
        <f>L668/I668</f>
        <v>0.86200000000000021</v>
      </c>
      <c r="N668" s="63">
        <f>K668/L668</f>
        <v>3.4802784222737813E-3</v>
      </c>
      <c r="O668" s="63" t="s">
        <v>396</v>
      </c>
      <c r="P668" s="51" t="s">
        <v>416</v>
      </c>
      <c r="Q668" s="51" t="s">
        <v>534</v>
      </c>
      <c r="R668" s="51" t="s">
        <v>246</v>
      </c>
      <c r="S668" s="51" t="s">
        <v>909</v>
      </c>
      <c r="T668" s="20" t="s">
        <v>317</v>
      </c>
      <c r="U668" s="20" t="s">
        <v>318</v>
      </c>
      <c r="V668" s="20" t="s">
        <v>444</v>
      </c>
    </row>
    <row r="669" spans="1:22">
      <c r="A669" s="20" t="s">
        <v>500</v>
      </c>
      <c r="B669" s="20">
        <f>'Schattenhofer, SI Data'!A226</f>
        <v>38</v>
      </c>
      <c r="C669" s="20">
        <f>'Schattenhofer, SI Data'!E226</f>
        <v>13</v>
      </c>
      <c r="I669" s="51">
        <f>'Schattenhofer, SI Data'!F226</f>
        <v>810000</v>
      </c>
      <c r="J669" s="51">
        <f>'Schattenhofer, SI Data'!H226</f>
        <v>646380</v>
      </c>
      <c r="K669" s="51">
        <f>'Schattenhofer, SI Data'!M226</f>
        <v>8100</v>
      </c>
      <c r="L669" s="51">
        <f>J669+K669</f>
        <v>654480</v>
      </c>
      <c r="M669" s="63">
        <f>L669/I669</f>
        <v>0.80800000000000005</v>
      </c>
      <c r="N669" s="63">
        <f>K669/L669</f>
        <v>1.2376237623762377E-2</v>
      </c>
      <c r="O669" s="63" t="s">
        <v>396</v>
      </c>
      <c r="P669" s="51" t="s">
        <v>416</v>
      </c>
      <c r="Q669" s="51" t="s">
        <v>534</v>
      </c>
      <c r="R669" s="51" t="s">
        <v>246</v>
      </c>
      <c r="S669" s="51" t="s">
        <v>909</v>
      </c>
      <c r="T669" s="20" t="s">
        <v>317</v>
      </c>
      <c r="U669" s="20" t="s">
        <v>318</v>
      </c>
      <c r="V669" s="20" t="s">
        <v>444</v>
      </c>
    </row>
    <row r="670" spans="1:22">
      <c r="A670" s="20" t="s">
        <v>500</v>
      </c>
      <c r="B670" s="20">
        <f>'Schattenhofer, SI Data'!A232</f>
        <v>39</v>
      </c>
      <c r="C670" s="20">
        <f>'Schattenhofer, SI Data'!E232</f>
        <v>13</v>
      </c>
      <c r="I670" s="51">
        <f>'Schattenhofer, SI Data'!F232</f>
        <v>620000</v>
      </c>
      <c r="J670" s="51">
        <f>'Schattenhofer, SI Data'!H232</f>
        <v>505920</v>
      </c>
      <c r="K670" s="51">
        <f>'Schattenhofer, SI Data'!M232</f>
        <v>9300</v>
      </c>
      <c r="L670" s="51">
        <f>J670+K670</f>
        <v>515220</v>
      </c>
      <c r="M670" s="63">
        <f>L670/I670</f>
        <v>0.83099999999999996</v>
      </c>
      <c r="N670" s="63">
        <f>K670/L670</f>
        <v>1.8050541516245487E-2</v>
      </c>
      <c r="O670" s="63" t="s">
        <v>396</v>
      </c>
      <c r="P670" s="51" t="s">
        <v>416</v>
      </c>
      <c r="Q670" s="51" t="s">
        <v>534</v>
      </c>
      <c r="R670" s="51" t="s">
        <v>246</v>
      </c>
      <c r="S670" s="51" t="s">
        <v>909</v>
      </c>
      <c r="T670" s="20" t="s">
        <v>317</v>
      </c>
      <c r="U670" s="20" t="s">
        <v>318</v>
      </c>
      <c r="V670" s="20" t="s">
        <v>444</v>
      </c>
    </row>
    <row r="671" spans="1:22">
      <c r="A671" s="20" t="s">
        <v>500</v>
      </c>
      <c r="B671" s="20">
        <f>'Schattenhofer, SI Data'!A85</f>
        <v>15</v>
      </c>
      <c r="C671" s="20">
        <f>'Schattenhofer, SI Data'!E85</f>
        <v>14</v>
      </c>
      <c r="I671" s="51">
        <f>'Schattenhofer, SI Data'!F85</f>
        <v>790000</v>
      </c>
      <c r="J671" s="51">
        <f>'Schattenhofer, SI Data'!H85</f>
        <v>601189.99999999988</v>
      </c>
      <c r="K671" s="51">
        <f>'Schattenhofer, SI Data'!M85</f>
        <v>6320</v>
      </c>
      <c r="L671" s="51">
        <f>J671+K671</f>
        <v>607509.99999999988</v>
      </c>
      <c r="M671" s="63">
        <f>L671/I671</f>
        <v>0.76899999999999991</v>
      </c>
      <c r="N671" s="63">
        <f>K671/L671</f>
        <v>1.0403120936280886E-2</v>
      </c>
      <c r="O671" s="63" t="s">
        <v>396</v>
      </c>
      <c r="P671" s="51" t="s">
        <v>416</v>
      </c>
      <c r="Q671" s="51" t="s">
        <v>534</v>
      </c>
      <c r="R671" s="51" t="s">
        <v>246</v>
      </c>
      <c r="S671" s="51" t="s">
        <v>909</v>
      </c>
      <c r="T671" s="20" t="s">
        <v>317</v>
      </c>
      <c r="U671" s="20" t="s">
        <v>318</v>
      </c>
      <c r="V671" s="20" t="s">
        <v>444</v>
      </c>
    </row>
    <row r="672" spans="1:22">
      <c r="A672" s="20" t="s">
        <v>500</v>
      </c>
      <c r="B672" s="20">
        <f>'Schattenhofer, SI Data'!A147</f>
        <v>25</v>
      </c>
      <c r="C672" s="20">
        <f>'Schattenhofer, SI Data'!E147</f>
        <v>14</v>
      </c>
      <c r="I672" s="51">
        <f>'Schattenhofer, SI Data'!F147</f>
        <v>880000</v>
      </c>
      <c r="J672" s="51">
        <f>'Schattenhofer, SI Data'!H147</f>
        <v>697840</v>
      </c>
      <c r="K672" s="51">
        <f>'Schattenhofer, SI Data'!M147</f>
        <v>7040</v>
      </c>
      <c r="L672" s="51">
        <f>J672+K672</f>
        <v>704880</v>
      </c>
      <c r="M672" s="63">
        <f>L672/I672</f>
        <v>0.80100000000000005</v>
      </c>
      <c r="N672" s="63">
        <f>K672/L672</f>
        <v>9.9875156054931337E-3</v>
      </c>
      <c r="O672" s="63" t="s">
        <v>396</v>
      </c>
      <c r="P672" s="51" t="s">
        <v>416</v>
      </c>
      <c r="Q672" s="51" t="s">
        <v>534</v>
      </c>
      <c r="R672" s="51" t="s">
        <v>246</v>
      </c>
      <c r="S672" s="51" t="s">
        <v>909</v>
      </c>
      <c r="T672" s="20" t="s">
        <v>317</v>
      </c>
      <c r="U672" s="20" t="s">
        <v>318</v>
      </c>
      <c r="V672" s="20" t="s">
        <v>444</v>
      </c>
    </row>
    <row r="673" spans="1:22">
      <c r="A673" s="20" t="s">
        <v>500</v>
      </c>
      <c r="B673" s="20">
        <f>'Schattenhofer, SI Data'!A252</f>
        <v>42</v>
      </c>
      <c r="C673" s="20">
        <f>'Schattenhofer, SI Data'!E252</f>
        <v>14</v>
      </c>
      <c r="I673" s="51">
        <f>'Schattenhofer, SI Data'!F252</f>
        <v>720000</v>
      </c>
      <c r="J673" s="51">
        <f>'Schattenhofer, SI Data'!H252</f>
        <v>624960</v>
      </c>
      <c r="K673" s="51">
        <f>'Schattenhofer, SI Data'!M252</f>
        <v>2160</v>
      </c>
      <c r="L673" s="51">
        <f>J673+K673</f>
        <v>627120</v>
      </c>
      <c r="M673" s="63">
        <f>L673/I673</f>
        <v>0.871</v>
      </c>
      <c r="N673" s="63">
        <f>K673/L673</f>
        <v>3.4443168771526979E-3</v>
      </c>
      <c r="O673" s="63" t="s">
        <v>396</v>
      </c>
      <c r="P673" s="51" t="s">
        <v>416</v>
      </c>
      <c r="Q673" s="51" t="s">
        <v>534</v>
      </c>
      <c r="R673" s="51" t="s">
        <v>246</v>
      </c>
      <c r="S673" s="51" t="s">
        <v>909</v>
      </c>
      <c r="T673" s="20" t="s">
        <v>317</v>
      </c>
      <c r="U673" s="20" t="s">
        <v>318</v>
      </c>
      <c r="V673" s="20" t="s">
        <v>444</v>
      </c>
    </row>
    <row r="674" spans="1:22">
      <c r="A674" s="20" t="s">
        <v>500</v>
      </c>
      <c r="B674" s="20">
        <f>'Schattenhofer, SI Data'!A71</f>
        <v>13</v>
      </c>
      <c r="C674" s="20">
        <f>'Schattenhofer, SI Data'!E71</f>
        <v>15</v>
      </c>
      <c r="I674" s="51">
        <f>'Schattenhofer, SI Data'!F71</f>
        <v>760000</v>
      </c>
      <c r="J674" s="51">
        <f>'Schattenhofer, SI Data'!H71</f>
        <v>595840.00000000012</v>
      </c>
      <c r="K674" s="51">
        <f>'Schattenhofer, SI Data'!M71</f>
        <v>2280</v>
      </c>
      <c r="L674" s="51">
        <f>J674+K674</f>
        <v>598120.00000000012</v>
      </c>
      <c r="M674" s="63">
        <f>L674/I674</f>
        <v>0.78700000000000014</v>
      </c>
      <c r="N674" s="63">
        <f>K674/L674</f>
        <v>3.8119440914866575E-3</v>
      </c>
      <c r="O674" s="63" t="s">
        <v>396</v>
      </c>
      <c r="P674" s="51" t="s">
        <v>416</v>
      </c>
      <c r="Q674" s="51" t="s">
        <v>534</v>
      </c>
      <c r="R674" s="51" t="s">
        <v>246</v>
      </c>
      <c r="S674" s="51" t="s">
        <v>909</v>
      </c>
      <c r="T674" s="20" t="s">
        <v>317</v>
      </c>
      <c r="U674" s="20" t="s">
        <v>318</v>
      </c>
      <c r="V674" s="20" t="s">
        <v>444</v>
      </c>
    </row>
    <row r="675" spans="1:22">
      <c r="A675" s="20" t="s">
        <v>500</v>
      </c>
      <c r="B675" s="20">
        <f>'Schattenhofer, SI Data'!A291</f>
        <v>48</v>
      </c>
      <c r="C675" s="20">
        <f>'Schattenhofer, SI Data'!E291</f>
        <v>15</v>
      </c>
      <c r="I675" s="51">
        <f>'Schattenhofer, SI Data'!F291</f>
        <v>560000</v>
      </c>
      <c r="J675" s="51">
        <f>'Schattenhofer, SI Data'!H291</f>
        <v>474320</v>
      </c>
      <c r="K675" s="51">
        <f>'Schattenhofer, SI Data'!M291</f>
        <v>1120</v>
      </c>
      <c r="L675" s="51">
        <f>J675+K675</f>
        <v>475440</v>
      </c>
      <c r="M675" s="63">
        <f>L675/I675</f>
        <v>0.84899999999999998</v>
      </c>
      <c r="N675" s="63">
        <f>K675/L675</f>
        <v>2.3557126030624262E-3</v>
      </c>
      <c r="O675" s="63" t="s">
        <v>396</v>
      </c>
      <c r="P675" s="51" t="s">
        <v>416</v>
      </c>
      <c r="Q675" s="51" t="s">
        <v>534</v>
      </c>
      <c r="R675" s="51" t="s">
        <v>246</v>
      </c>
      <c r="S675" s="51" t="s">
        <v>909</v>
      </c>
      <c r="T675" s="20" t="s">
        <v>317</v>
      </c>
      <c r="U675" s="20" t="s">
        <v>318</v>
      </c>
      <c r="V675" s="20" t="s">
        <v>444</v>
      </c>
    </row>
    <row r="676" spans="1:22">
      <c r="A676" s="20" t="s">
        <v>500</v>
      </c>
      <c r="B676" s="20">
        <f>'Schattenhofer, SI Data'!A91</f>
        <v>16</v>
      </c>
      <c r="C676" s="20">
        <f>'Schattenhofer, SI Data'!E91</f>
        <v>16</v>
      </c>
      <c r="I676" s="51">
        <f>'Schattenhofer, SI Data'!F91</f>
        <v>850000</v>
      </c>
      <c r="J676" s="51">
        <f>'Schattenhofer, SI Data'!H91</f>
        <v>640050</v>
      </c>
      <c r="K676" s="51">
        <f>'Schattenhofer, SI Data'!M91</f>
        <v>850</v>
      </c>
      <c r="L676" s="51">
        <f>J676+K676</f>
        <v>640900</v>
      </c>
      <c r="M676" s="63">
        <f>L676/I676</f>
        <v>0.754</v>
      </c>
      <c r="N676" s="63">
        <f>K676/L676</f>
        <v>1.3262599469496021E-3</v>
      </c>
      <c r="O676" s="63" t="s">
        <v>396</v>
      </c>
      <c r="P676" s="51" t="s">
        <v>416</v>
      </c>
      <c r="Q676" s="51" t="s">
        <v>534</v>
      </c>
      <c r="R676" s="51" t="s">
        <v>246</v>
      </c>
      <c r="S676" s="51" t="s">
        <v>909</v>
      </c>
      <c r="T676" s="20" t="s">
        <v>317</v>
      </c>
      <c r="U676" s="20" t="s">
        <v>318</v>
      </c>
      <c r="V676" s="20" t="s">
        <v>444</v>
      </c>
    </row>
    <row r="677" spans="1:22">
      <c r="A677" s="20" t="s">
        <v>500</v>
      </c>
      <c r="B677" s="20">
        <f>'Schattenhofer, SI Data'!A141</f>
        <v>24</v>
      </c>
      <c r="C677" s="20">
        <f>'Schattenhofer, SI Data'!E141</f>
        <v>16</v>
      </c>
      <c r="I677" s="51">
        <f>'Schattenhofer, SI Data'!F141</f>
        <v>1000000</v>
      </c>
      <c r="J677" s="51">
        <f>'Schattenhofer, SI Data'!H141</f>
        <v>756000</v>
      </c>
      <c r="K677" s="51">
        <f>'Schattenhofer, SI Data'!M141</f>
        <v>0</v>
      </c>
      <c r="L677" s="51">
        <f>J677+K677</f>
        <v>756000</v>
      </c>
      <c r="M677" s="63">
        <f>L677/I677</f>
        <v>0.75600000000000001</v>
      </c>
      <c r="N677" s="63">
        <f>K677/L677</f>
        <v>0</v>
      </c>
      <c r="O677" s="63" t="s">
        <v>396</v>
      </c>
      <c r="P677" s="51" t="s">
        <v>416</v>
      </c>
      <c r="Q677" s="51" t="s">
        <v>534</v>
      </c>
      <c r="R677" s="51" t="s">
        <v>246</v>
      </c>
      <c r="S677" s="51" t="s">
        <v>909</v>
      </c>
      <c r="T677" s="20" t="s">
        <v>317</v>
      </c>
      <c r="U677" s="20" t="s">
        <v>318</v>
      </c>
      <c r="V677" s="20" t="s">
        <v>444</v>
      </c>
    </row>
    <row r="678" spans="1:22">
      <c r="A678" s="20" t="s">
        <v>500</v>
      </c>
      <c r="B678" s="20">
        <f>'Schattenhofer, SI Data'!A246</f>
        <v>41</v>
      </c>
      <c r="C678" s="20">
        <f>'Schattenhofer, SI Data'!E246</f>
        <v>16</v>
      </c>
      <c r="I678" s="51">
        <f>'Schattenhofer, SI Data'!F246</f>
        <v>580000</v>
      </c>
      <c r="J678" s="51">
        <f>'Schattenhofer, SI Data'!H246</f>
        <v>472700</v>
      </c>
      <c r="K678" s="51">
        <f>'Schattenhofer, SI Data'!M246</f>
        <v>3480</v>
      </c>
      <c r="L678" s="51">
        <f>J678+K678</f>
        <v>476180</v>
      </c>
      <c r="M678" s="63">
        <f>L678/I678</f>
        <v>0.82099999999999995</v>
      </c>
      <c r="N678" s="63">
        <f>K678/L678</f>
        <v>7.3081607795371494E-3</v>
      </c>
      <c r="O678" s="63" t="s">
        <v>396</v>
      </c>
      <c r="P678" s="51" t="s">
        <v>416</v>
      </c>
      <c r="Q678" s="51" t="s">
        <v>534</v>
      </c>
      <c r="R678" s="51" t="s">
        <v>246</v>
      </c>
      <c r="S678" s="51" t="s">
        <v>909</v>
      </c>
      <c r="T678" s="20" t="s">
        <v>317</v>
      </c>
      <c r="U678" s="20" t="s">
        <v>318</v>
      </c>
      <c r="V678" s="20" t="s">
        <v>444</v>
      </c>
    </row>
    <row r="679" spans="1:22">
      <c r="A679" s="20" t="s">
        <v>500</v>
      </c>
      <c r="B679" s="20">
        <f>'Schattenhofer, SI Data'!A79</f>
        <v>14</v>
      </c>
      <c r="C679" s="20">
        <f>'Schattenhofer, SI Data'!E79</f>
        <v>17</v>
      </c>
      <c r="I679" s="51">
        <f>'Schattenhofer, SI Data'!F79</f>
        <v>660000</v>
      </c>
      <c r="J679" s="51">
        <f>'Schattenhofer, SI Data'!H79</f>
        <v>517440.00000000006</v>
      </c>
      <c r="K679" s="51">
        <f>'Schattenhofer, SI Data'!M79</f>
        <v>3300</v>
      </c>
      <c r="L679" s="51">
        <f>J679+K679</f>
        <v>520740.00000000006</v>
      </c>
      <c r="M679" s="63">
        <f>L679/I679</f>
        <v>0.78900000000000003</v>
      </c>
      <c r="N679" s="63">
        <f>K679/L679</f>
        <v>6.3371356147021536E-3</v>
      </c>
      <c r="O679" s="63" t="s">
        <v>396</v>
      </c>
      <c r="P679" s="51" t="s">
        <v>416</v>
      </c>
      <c r="Q679" s="51" t="s">
        <v>534</v>
      </c>
      <c r="R679" s="51" t="s">
        <v>246</v>
      </c>
      <c r="S679" s="51" t="s">
        <v>909</v>
      </c>
      <c r="T679" s="20" t="s">
        <v>317</v>
      </c>
      <c r="U679" s="20" t="s">
        <v>318</v>
      </c>
      <c r="V679" s="20" t="s">
        <v>444</v>
      </c>
    </row>
    <row r="680" spans="1:22">
      <c r="A680" s="20" t="s">
        <v>500</v>
      </c>
      <c r="B680" s="20">
        <f>'Schattenhofer, SI Data'!A97</f>
        <v>17</v>
      </c>
      <c r="C680" s="20">
        <f>'Schattenhofer, SI Data'!E97</f>
        <v>17</v>
      </c>
      <c r="I680" s="51">
        <f>'Schattenhofer, SI Data'!F97</f>
        <v>850000</v>
      </c>
      <c r="J680" s="51">
        <f>'Schattenhofer, SI Data'!H97</f>
        <v>637500</v>
      </c>
      <c r="K680" s="51">
        <f>'Schattenhofer, SI Data'!M97</f>
        <v>8500</v>
      </c>
      <c r="L680" s="51">
        <f>J680+K680</f>
        <v>646000</v>
      </c>
      <c r="M680" s="63">
        <f>L680/I680</f>
        <v>0.76</v>
      </c>
      <c r="N680" s="63">
        <f>K680/L680</f>
        <v>1.3157894736842105E-2</v>
      </c>
      <c r="O680" s="63" t="s">
        <v>396</v>
      </c>
      <c r="P680" s="51" t="s">
        <v>416</v>
      </c>
      <c r="Q680" s="51" t="s">
        <v>534</v>
      </c>
      <c r="R680" s="51" t="s">
        <v>246</v>
      </c>
      <c r="S680" s="51" t="s">
        <v>909</v>
      </c>
      <c r="T680" s="20" t="s">
        <v>317</v>
      </c>
      <c r="U680" s="20" t="s">
        <v>318</v>
      </c>
      <c r="V680" s="20" t="s">
        <v>444</v>
      </c>
    </row>
    <row r="681" spans="1:22">
      <c r="A681" s="20" t="s">
        <v>500</v>
      </c>
      <c r="B681" s="20">
        <f>'Schattenhofer, SI Data'!A103</f>
        <v>18</v>
      </c>
      <c r="C681" s="20">
        <f>'Schattenhofer, SI Data'!E103</f>
        <v>17</v>
      </c>
      <c r="I681" s="51">
        <f>'Schattenhofer, SI Data'!F103</f>
        <v>650000</v>
      </c>
      <c r="J681" s="51">
        <f>'Schattenhofer, SI Data'!H103</f>
        <v>467350</v>
      </c>
      <c r="K681" s="51">
        <f>'Schattenhofer, SI Data'!M103</f>
        <v>1950</v>
      </c>
      <c r="L681" s="51">
        <f>J681+K681</f>
        <v>469300</v>
      </c>
      <c r="M681" s="63">
        <f>L681/I681</f>
        <v>0.72199999999999998</v>
      </c>
      <c r="N681" s="63">
        <f>K681/L681</f>
        <v>4.1551246537396124E-3</v>
      </c>
      <c r="O681" s="63" t="s">
        <v>396</v>
      </c>
      <c r="P681" s="51" t="s">
        <v>416</v>
      </c>
      <c r="Q681" s="51" t="s">
        <v>534</v>
      </c>
      <c r="R681" s="51" t="s">
        <v>246</v>
      </c>
      <c r="S681" s="51" t="s">
        <v>909</v>
      </c>
      <c r="T681" s="20" t="s">
        <v>317</v>
      </c>
      <c r="U681" s="20" t="s">
        <v>318</v>
      </c>
      <c r="V681" s="20" t="s">
        <v>444</v>
      </c>
    </row>
    <row r="682" spans="1:22">
      <c r="A682" s="20" t="s">
        <v>500</v>
      </c>
      <c r="B682" s="20">
        <f>'Schattenhofer, SI Data'!A135</f>
        <v>23</v>
      </c>
      <c r="C682" s="20">
        <f>'Schattenhofer, SI Data'!E135</f>
        <v>17</v>
      </c>
      <c r="I682" s="51">
        <f>'Schattenhofer, SI Data'!F135</f>
        <v>890000</v>
      </c>
      <c r="J682" s="51">
        <f>'Schattenhofer, SI Data'!H135</f>
        <v>647920</v>
      </c>
      <c r="K682" s="51">
        <f>'Schattenhofer, SI Data'!M135</f>
        <v>1780</v>
      </c>
      <c r="L682" s="51">
        <f>J682+K682</f>
        <v>649700</v>
      </c>
      <c r="M682" s="63">
        <f>L682/I682</f>
        <v>0.73</v>
      </c>
      <c r="N682" s="63">
        <f>K682/L682</f>
        <v>2.7397260273972603E-3</v>
      </c>
      <c r="O682" s="63" t="s">
        <v>396</v>
      </c>
      <c r="P682" s="51" t="s">
        <v>416</v>
      </c>
      <c r="Q682" s="51" t="s">
        <v>534</v>
      </c>
      <c r="R682" s="51" t="s">
        <v>246</v>
      </c>
      <c r="S682" s="51" t="s">
        <v>909</v>
      </c>
      <c r="T682" s="20" t="s">
        <v>317</v>
      </c>
      <c r="U682" s="20" t="s">
        <v>318</v>
      </c>
      <c r="V682" s="20" t="s">
        <v>444</v>
      </c>
    </row>
    <row r="683" spans="1:22">
      <c r="A683" s="20" t="s">
        <v>500</v>
      </c>
      <c r="B683" s="20">
        <f>'Schattenhofer, SI Data'!A258</f>
        <v>43</v>
      </c>
      <c r="C683" s="20">
        <f>'Schattenhofer, SI Data'!E258</f>
        <v>17</v>
      </c>
      <c r="I683" s="51">
        <f>'Schattenhofer, SI Data'!F258</f>
        <v>690000</v>
      </c>
      <c r="J683" s="51">
        <f>'Schattenhofer, SI Data'!H258</f>
        <v>596850</v>
      </c>
      <c r="K683" s="51">
        <f>'Schattenhofer, SI Data'!M258</f>
        <v>5519.9999999999991</v>
      </c>
      <c r="L683" s="51">
        <f>J683+K683</f>
        <v>602370</v>
      </c>
      <c r="M683" s="63">
        <f>L683/I683</f>
        <v>0.873</v>
      </c>
      <c r="N683" s="63">
        <f>K683/L683</f>
        <v>9.1638029782359666E-3</v>
      </c>
      <c r="O683" s="63" t="s">
        <v>396</v>
      </c>
      <c r="P683" s="51" t="s">
        <v>416</v>
      </c>
      <c r="Q683" s="51" t="s">
        <v>534</v>
      </c>
      <c r="R683" s="51" t="s">
        <v>246</v>
      </c>
      <c r="S683" s="51" t="s">
        <v>909</v>
      </c>
      <c r="T683" s="20" t="s">
        <v>317</v>
      </c>
      <c r="U683" s="20" t="s">
        <v>318</v>
      </c>
      <c r="V683" s="20" t="s">
        <v>444</v>
      </c>
    </row>
    <row r="684" spans="1:22">
      <c r="A684" s="20" t="s">
        <v>500</v>
      </c>
      <c r="B684" s="20">
        <f>'Schattenhofer, SI Data'!A285</f>
        <v>47</v>
      </c>
      <c r="C684" s="20">
        <f>'Schattenhofer, SI Data'!E285</f>
        <v>17</v>
      </c>
      <c r="I684" s="51">
        <f>'Schattenhofer, SI Data'!F285</f>
        <v>540000</v>
      </c>
      <c r="J684" s="51">
        <f>'Schattenhofer, SI Data'!H285</f>
        <v>429300</v>
      </c>
      <c r="K684" s="51">
        <f>'Schattenhofer, SI Data'!M285</f>
        <v>8640</v>
      </c>
      <c r="L684" s="51">
        <f>J684+K684</f>
        <v>437940</v>
      </c>
      <c r="M684" s="63">
        <f>L684/I684</f>
        <v>0.81100000000000005</v>
      </c>
      <c r="N684" s="63">
        <f>K684/L684</f>
        <v>1.9728729963008632E-2</v>
      </c>
      <c r="O684" s="63" t="s">
        <v>396</v>
      </c>
      <c r="P684" s="51" t="s">
        <v>416</v>
      </c>
      <c r="Q684" s="51" t="s">
        <v>534</v>
      </c>
      <c r="R684" s="51" t="s">
        <v>246</v>
      </c>
      <c r="S684" s="51" t="s">
        <v>909</v>
      </c>
      <c r="T684" s="20" t="s">
        <v>317</v>
      </c>
      <c r="U684" s="20" t="s">
        <v>318</v>
      </c>
      <c r="V684" s="20" t="s">
        <v>444</v>
      </c>
    </row>
    <row r="685" spans="1:22">
      <c r="A685" s="20" t="s">
        <v>500</v>
      </c>
      <c r="B685" s="20">
        <f>'Schattenhofer, SI Data'!A117</f>
        <v>20</v>
      </c>
      <c r="C685" s="20">
        <f>'Schattenhofer, SI Data'!E117</f>
        <v>18</v>
      </c>
      <c r="I685" s="51">
        <f>'Schattenhofer, SI Data'!F117</f>
        <v>700000</v>
      </c>
      <c r="J685" s="51">
        <f>'Schattenhofer, SI Data'!H117</f>
        <v>497699.99999999994</v>
      </c>
      <c r="K685" s="51">
        <f>'Schattenhofer, SI Data'!M117</f>
        <v>700</v>
      </c>
      <c r="L685" s="51">
        <f>J685+K685</f>
        <v>498399.99999999994</v>
      </c>
      <c r="M685" s="63">
        <f>L685/I685</f>
        <v>0.71199999999999997</v>
      </c>
      <c r="N685" s="63">
        <f>K685/L685</f>
        <v>1.4044943820224721E-3</v>
      </c>
      <c r="O685" s="63" t="s">
        <v>396</v>
      </c>
      <c r="P685" s="51" t="s">
        <v>416</v>
      </c>
      <c r="Q685" s="51" t="s">
        <v>534</v>
      </c>
      <c r="R685" s="51" t="s">
        <v>246</v>
      </c>
      <c r="S685" s="51" t="s">
        <v>909</v>
      </c>
      <c r="T685" s="20" t="s">
        <v>317</v>
      </c>
      <c r="U685" s="20" t="s">
        <v>318</v>
      </c>
      <c r="V685" s="20" t="s">
        <v>444</v>
      </c>
    </row>
    <row r="686" spans="1:22">
      <c r="A686" s="20" t="s">
        <v>500</v>
      </c>
      <c r="B686" s="20">
        <f>'Schattenhofer, SI Data'!A129</f>
        <v>22</v>
      </c>
      <c r="C686" s="20">
        <f>'Schattenhofer, SI Data'!E129</f>
        <v>18</v>
      </c>
      <c r="I686" s="51">
        <f>'Schattenhofer, SI Data'!F129</f>
        <v>770000</v>
      </c>
      <c r="J686" s="51">
        <f>'Schattenhofer, SI Data'!H129</f>
        <v>561330.00000000012</v>
      </c>
      <c r="K686" s="51">
        <f>'Schattenhofer, SI Data'!M129</f>
        <v>0</v>
      </c>
      <c r="L686" s="51">
        <f>J686+K686</f>
        <v>561330.00000000012</v>
      </c>
      <c r="M686" s="63">
        <f>L686/I686</f>
        <v>0.7290000000000002</v>
      </c>
      <c r="N686" s="63">
        <f>K686/L686</f>
        <v>0</v>
      </c>
      <c r="O686" s="63" t="s">
        <v>396</v>
      </c>
      <c r="P686" s="51" t="s">
        <v>416</v>
      </c>
      <c r="Q686" s="51" t="s">
        <v>534</v>
      </c>
      <c r="R686" s="51" t="s">
        <v>246</v>
      </c>
      <c r="S686" s="51" t="s">
        <v>909</v>
      </c>
      <c r="T686" s="20" t="s">
        <v>317</v>
      </c>
      <c r="U686" s="20" t="s">
        <v>318</v>
      </c>
      <c r="V686" s="20" t="s">
        <v>444</v>
      </c>
    </row>
    <row r="687" spans="1:22">
      <c r="A687" s="20" t="s">
        <v>500</v>
      </c>
      <c r="B687" s="20">
        <f>'Schattenhofer, SI Data'!A277</f>
        <v>46</v>
      </c>
      <c r="C687" s="20">
        <f>'Schattenhofer, SI Data'!E277</f>
        <v>18</v>
      </c>
      <c r="I687" s="51">
        <f>'Schattenhofer, SI Data'!F277</f>
        <v>520000</v>
      </c>
      <c r="J687" s="51">
        <f>'Schattenhofer, SI Data'!H277</f>
        <v>429000</v>
      </c>
      <c r="K687" s="51">
        <f>'Schattenhofer, SI Data'!M277</f>
        <v>1560</v>
      </c>
      <c r="L687" s="51">
        <f>J687+K687</f>
        <v>430560</v>
      </c>
      <c r="M687" s="63">
        <f>L687/I687</f>
        <v>0.82799999999999996</v>
      </c>
      <c r="N687" s="63">
        <f>K687/L687</f>
        <v>3.6231884057971015E-3</v>
      </c>
      <c r="O687" s="63" t="s">
        <v>396</v>
      </c>
      <c r="P687" s="51" t="s">
        <v>416</v>
      </c>
      <c r="Q687" s="51" t="s">
        <v>534</v>
      </c>
      <c r="R687" s="51" t="s">
        <v>246</v>
      </c>
      <c r="S687" s="51" t="s">
        <v>909</v>
      </c>
      <c r="T687" s="20" t="s">
        <v>317</v>
      </c>
      <c r="U687" s="20" t="s">
        <v>318</v>
      </c>
      <c r="V687" s="20" t="s">
        <v>444</v>
      </c>
    </row>
    <row r="688" spans="1:22">
      <c r="A688" s="20" t="s">
        <v>500</v>
      </c>
      <c r="B688" s="20">
        <f>'Schattenhofer, SI Data'!A271</f>
        <v>45</v>
      </c>
      <c r="C688" s="20">
        <f>'Schattenhofer, SI Data'!E271</f>
        <v>19</v>
      </c>
      <c r="I688" s="51">
        <f>'Schattenhofer, SI Data'!F271</f>
        <v>580000</v>
      </c>
      <c r="J688" s="51">
        <f>'Schattenhofer, SI Data'!H271</f>
        <v>483140</v>
      </c>
      <c r="K688" s="51">
        <f>'Schattenhofer, SI Data'!M271</f>
        <v>1160</v>
      </c>
      <c r="L688" s="51">
        <f>J688+K688</f>
        <v>484300</v>
      </c>
      <c r="M688" s="63">
        <f>L688/I688</f>
        <v>0.83499999999999996</v>
      </c>
      <c r="N688" s="63">
        <f>K688/L688</f>
        <v>2.3952095808383233E-3</v>
      </c>
      <c r="O688" s="63" t="s">
        <v>396</v>
      </c>
      <c r="P688" s="51" t="s">
        <v>416</v>
      </c>
      <c r="Q688" s="51" t="s">
        <v>534</v>
      </c>
      <c r="R688" s="51" t="s">
        <v>246</v>
      </c>
      <c r="S688" s="51" t="s">
        <v>909</v>
      </c>
      <c r="T688" s="20" t="s">
        <v>317</v>
      </c>
      <c r="U688" s="20" t="s">
        <v>318</v>
      </c>
      <c r="V688" s="20" t="s">
        <v>444</v>
      </c>
    </row>
    <row r="689" spans="1:22">
      <c r="A689" s="20" t="s">
        <v>500</v>
      </c>
      <c r="B689" s="20">
        <f>'Schattenhofer, SI Data'!A111</f>
        <v>19</v>
      </c>
      <c r="C689" s="20">
        <f>'Schattenhofer, SI Data'!E111</f>
        <v>20</v>
      </c>
      <c r="I689" s="51">
        <f>'Schattenhofer, SI Data'!F111</f>
        <v>660000</v>
      </c>
      <c r="J689" s="51">
        <f>'Schattenhofer, SI Data'!H111</f>
        <v>448140.00000000006</v>
      </c>
      <c r="K689" s="51">
        <f>'Schattenhofer, SI Data'!M111</f>
        <v>1320</v>
      </c>
      <c r="L689" s="51">
        <f>J689+K689</f>
        <v>449460.00000000006</v>
      </c>
      <c r="M689" s="63">
        <f>L689/I689</f>
        <v>0.68100000000000005</v>
      </c>
      <c r="N689" s="63">
        <f>K689/L689</f>
        <v>2.9368575624082226E-3</v>
      </c>
      <c r="O689" s="63" t="s">
        <v>396</v>
      </c>
      <c r="P689" s="51" t="s">
        <v>416</v>
      </c>
      <c r="Q689" s="51" t="s">
        <v>534</v>
      </c>
      <c r="R689" s="51" t="s">
        <v>246</v>
      </c>
      <c r="S689" s="51" t="s">
        <v>909</v>
      </c>
      <c r="T689" s="20" t="s">
        <v>317</v>
      </c>
      <c r="U689" s="20" t="s">
        <v>318</v>
      </c>
      <c r="V689" s="20" t="s">
        <v>444</v>
      </c>
    </row>
    <row r="690" spans="1:22">
      <c r="A690" s="20" t="s">
        <v>500</v>
      </c>
      <c r="B690" s="20">
        <f>'Schattenhofer, SI Data'!A123</f>
        <v>21</v>
      </c>
      <c r="C690" s="20">
        <f>'Schattenhofer, SI Data'!E123</f>
        <v>20</v>
      </c>
      <c r="I690" s="51">
        <f>'Schattenhofer, SI Data'!F123</f>
        <v>670000</v>
      </c>
      <c r="J690" s="51">
        <f>'Schattenhofer, SI Data'!H123</f>
        <v>480390</v>
      </c>
      <c r="K690" s="51">
        <f>'Schattenhofer, SI Data'!M123</f>
        <v>5359.9999999999991</v>
      </c>
      <c r="L690" s="51">
        <f>J690+K690</f>
        <v>485750</v>
      </c>
      <c r="M690" s="63">
        <f>L690/I690</f>
        <v>0.72499999999999998</v>
      </c>
      <c r="N690" s="63">
        <f>K690/L690</f>
        <v>1.1034482758620687E-2</v>
      </c>
      <c r="O690" s="63" t="s">
        <v>396</v>
      </c>
      <c r="P690" s="51" t="s">
        <v>416</v>
      </c>
      <c r="Q690" s="51" t="s">
        <v>534</v>
      </c>
      <c r="R690" s="51" t="s">
        <v>246</v>
      </c>
      <c r="S690" s="51" t="s">
        <v>909</v>
      </c>
      <c r="T690" s="20" t="s">
        <v>317</v>
      </c>
      <c r="U690" s="20" t="s">
        <v>318</v>
      </c>
      <c r="V690" s="20" t="s">
        <v>444</v>
      </c>
    </row>
    <row r="691" spans="1:22">
      <c r="A691" s="20" t="s">
        <v>500</v>
      </c>
      <c r="B691" s="20">
        <f>'Schattenhofer, SI Data'!A238</f>
        <v>40</v>
      </c>
      <c r="C691" s="20">
        <f>'Schattenhofer, SI Data'!E238</f>
        <v>20</v>
      </c>
      <c r="I691" s="51">
        <f>'Schattenhofer, SI Data'!F238</f>
        <v>970000</v>
      </c>
      <c r="J691" s="51">
        <f>'Schattenhofer, SI Data'!H238</f>
        <v>733320</v>
      </c>
      <c r="K691" s="51">
        <f>'Schattenhofer, SI Data'!M238</f>
        <v>970</v>
      </c>
      <c r="L691" s="51">
        <f>J691+K691</f>
        <v>734290</v>
      </c>
      <c r="M691" s="63">
        <f>L691/I691</f>
        <v>0.75700000000000001</v>
      </c>
      <c r="N691" s="63">
        <f>K691/L691</f>
        <v>1.321003963011889E-3</v>
      </c>
      <c r="O691" s="63" t="s">
        <v>396</v>
      </c>
      <c r="P691" s="51" t="s">
        <v>416</v>
      </c>
      <c r="Q691" s="51" t="s">
        <v>534</v>
      </c>
      <c r="R691" s="51" t="s">
        <v>246</v>
      </c>
      <c r="S691" s="51" t="s">
        <v>909</v>
      </c>
      <c r="T691" s="20" t="s">
        <v>317</v>
      </c>
      <c r="U691" s="20" t="s">
        <v>318</v>
      </c>
      <c r="V691" s="20" t="s">
        <v>444</v>
      </c>
    </row>
    <row r="692" spans="1:22">
      <c r="A692" s="20" t="s">
        <v>500</v>
      </c>
      <c r="B692" s="20">
        <f>'Schattenhofer, SI Data'!A385</f>
        <v>64</v>
      </c>
      <c r="C692" s="20">
        <f>'Schattenhofer, SI Data'!E385</f>
        <v>28</v>
      </c>
      <c r="I692" s="51">
        <f>'Schattenhofer, SI Data'!F385</f>
        <v>1900000</v>
      </c>
      <c r="J692" s="51">
        <f>'Schattenhofer, SI Data'!H385</f>
        <v>1784100</v>
      </c>
      <c r="K692" s="51">
        <f>'Schattenhofer, SI Data'!M385</f>
        <v>1900</v>
      </c>
      <c r="L692" s="51">
        <f>J692+K692</f>
        <v>1786000</v>
      </c>
      <c r="M692" s="63">
        <f>L692/I692</f>
        <v>0.94</v>
      </c>
      <c r="N692" s="63">
        <f>K692/L692</f>
        <v>1.0638297872340426E-3</v>
      </c>
      <c r="O692" s="63" t="s">
        <v>396</v>
      </c>
      <c r="P692" s="51" t="s">
        <v>416</v>
      </c>
      <c r="Q692" s="51" t="s">
        <v>534</v>
      </c>
      <c r="R692" s="51" t="s">
        <v>246</v>
      </c>
      <c r="S692" s="51" t="s">
        <v>909</v>
      </c>
      <c r="T692" s="20" t="s">
        <v>317</v>
      </c>
      <c r="U692" s="20" t="s">
        <v>318</v>
      </c>
      <c r="V692" s="20" t="s">
        <v>444</v>
      </c>
    </row>
    <row r="693" spans="1:22">
      <c r="A693" s="20" t="s">
        <v>316</v>
      </c>
      <c r="B693" s="20">
        <f>'Schattenhofer, SI Data'!A7</f>
        <v>1</v>
      </c>
      <c r="C693" s="20">
        <f>'Schattenhofer, SI Data'!E7</f>
        <v>30</v>
      </c>
      <c r="I693" s="51">
        <f>'Schattenhofer, SI Data'!F7</f>
        <v>680000</v>
      </c>
      <c r="J693" s="51">
        <f>'Schattenhofer, SI Data'!H7</f>
        <v>452200</v>
      </c>
      <c r="K693" s="51">
        <f>'Schattenhofer, SI Data'!M7</f>
        <v>50320</v>
      </c>
      <c r="L693" s="51">
        <f>J693+K693</f>
        <v>502520</v>
      </c>
      <c r="M693" s="63">
        <f>L693/I693</f>
        <v>0.73899999999999999</v>
      </c>
      <c r="N693" s="63">
        <f>K693/L693</f>
        <v>0.10013531799729364</v>
      </c>
      <c r="O693" s="63" t="s">
        <v>396</v>
      </c>
      <c r="P693" s="51" t="s">
        <v>416</v>
      </c>
      <c r="Q693" s="51" t="s">
        <v>534</v>
      </c>
      <c r="R693" s="51" t="s">
        <v>246</v>
      </c>
      <c r="S693" s="51" t="s">
        <v>909</v>
      </c>
      <c r="T693" s="20" t="s">
        <v>317</v>
      </c>
      <c r="U693" s="20" t="s">
        <v>319</v>
      </c>
      <c r="V693" s="20" t="s">
        <v>444</v>
      </c>
    </row>
    <row r="694" spans="1:22">
      <c r="A694" s="20" t="s">
        <v>500</v>
      </c>
      <c r="B694" s="20">
        <f>'Schattenhofer, SI Data'!A13</f>
        <v>2</v>
      </c>
      <c r="C694" s="20">
        <f>'Schattenhofer, SI Data'!E13</f>
        <v>30</v>
      </c>
      <c r="I694" s="51">
        <f>'Schattenhofer, SI Data'!F13</f>
        <v>1500000</v>
      </c>
      <c r="J694" s="51">
        <f>'Schattenhofer, SI Data'!H13</f>
        <v>1018500.0000000001</v>
      </c>
      <c r="K694" s="51">
        <f>'Schattenhofer, SI Data'!M13</f>
        <v>88499.999999999985</v>
      </c>
      <c r="L694" s="51">
        <f>J694+K694</f>
        <v>1107000</v>
      </c>
      <c r="M694" s="63">
        <f>L694/I694</f>
        <v>0.73799999999999999</v>
      </c>
      <c r="N694" s="63">
        <f>K694/L694</f>
        <v>7.9945799457994571E-2</v>
      </c>
      <c r="O694" s="63" t="s">
        <v>396</v>
      </c>
      <c r="P694" s="51" t="s">
        <v>416</v>
      </c>
      <c r="Q694" s="51" t="s">
        <v>534</v>
      </c>
      <c r="R694" s="51" t="s">
        <v>246</v>
      </c>
      <c r="S694" s="51" t="s">
        <v>909</v>
      </c>
      <c r="T694" s="20" t="s">
        <v>317</v>
      </c>
      <c r="U694" s="20" t="s">
        <v>318</v>
      </c>
      <c r="V694" s="20" t="s">
        <v>444</v>
      </c>
    </row>
    <row r="695" spans="1:22">
      <c r="A695" s="20" t="s">
        <v>500</v>
      </c>
      <c r="B695" s="20">
        <f>'Schattenhofer, SI Data'!A391</f>
        <v>65</v>
      </c>
      <c r="C695" s="20">
        <f>'Schattenhofer, SI Data'!E391</f>
        <v>30</v>
      </c>
      <c r="I695" s="51">
        <f>'Schattenhofer, SI Data'!F391</f>
        <v>1100000</v>
      </c>
      <c r="J695" s="51">
        <f>'Schattenhofer, SI Data'!H391</f>
        <v>975700</v>
      </c>
      <c r="K695" s="51">
        <f>'Schattenhofer, SI Data'!M391</f>
        <v>6600</v>
      </c>
      <c r="L695" s="51">
        <f>J695+K695</f>
        <v>982300</v>
      </c>
      <c r="M695" s="63">
        <f>L695/I695</f>
        <v>0.89300000000000002</v>
      </c>
      <c r="N695" s="63">
        <f>K695/L695</f>
        <v>6.7189249720044789E-3</v>
      </c>
      <c r="O695" s="63" t="s">
        <v>396</v>
      </c>
      <c r="P695" s="51" t="s">
        <v>416</v>
      </c>
      <c r="Q695" s="51" t="s">
        <v>534</v>
      </c>
      <c r="R695" s="51" t="s">
        <v>246</v>
      </c>
      <c r="S695" s="51" t="s">
        <v>909</v>
      </c>
      <c r="T695" s="20" t="s">
        <v>317</v>
      </c>
      <c r="U695" s="20" t="s">
        <v>318</v>
      </c>
      <c r="V695" s="20" t="s">
        <v>444</v>
      </c>
    </row>
    <row r="696" spans="1:22">
      <c r="A696" s="20" t="s">
        <v>500</v>
      </c>
      <c r="B696" s="20">
        <f>'Schattenhofer, SI Data'!A379</f>
        <v>63</v>
      </c>
      <c r="C696" s="20">
        <f>'Schattenhofer, SI Data'!E379</f>
        <v>35</v>
      </c>
      <c r="I696" s="51">
        <f>'Schattenhofer, SI Data'!F379</f>
        <v>1500000</v>
      </c>
      <c r="J696" s="51">
        <f>'Schattenhofer, SI Data'!H379</f>
        <v>1128000</v>
      </c>
      <c r="K696" s="51">
        <f>'Schattenhofer, SI Data'!M379</f>
        <v>1500</v>
      </c>
      <c r="L696" s="51">
        <f>J696+K696</f>
        <v>1129500</v>
      </c>
      <c r="M696" s="63">
        <f>L696/I696</f>
        <v>0.753</v>
      </c>
      <c r="N696" s="63">
        <f>K696/L696</f>
        <v>1.3280212483399733E-3</v>
      </c>
      <c r="O696" s="63" t="s">
        <v>396</v>
      </c>
      <c r="P696" s="51" t="s">
        <v>416</v>
      </c>
      <c r="Q696" s="51" t="s">
        <v>534</v>
      </c>
      <c r="R696" s="51" t="s">
        <v>246</v>
      </c>
      <c r="S696" s="51" t="s">
        <v>909</v>
      </c>
      <c r="T696" s="20" t="s">
        <v>317</v>
      </c>
      <c r="U696" s="20" t="s">
        <v>318</v>
      </c>
      <c r="V696" s="20" t="s">
        <v>444</v>
      </c>
    </row>
    <row r="697" spans="1:22">
      <c r="A697" s="20" t="s">
        <v>500</v>
      </c>
      <c r="B697" s="20">
        <f>'Schattenhofer, SI Data'!A347</f>
        <v>58</v>
      </c>
      <c r="C697" s="20">
        <f>'Schattenhofer, SI Data'!E347</f>
        <v>36</v>
      </c>
      <c r="I697" s="51">
        <f>'Schattenhofer, SI Data'!F347</f>
        <v>990000</v>
      </c>
      <c r="J697" s="51">
        <f>'Schattenhofer, SI Data'!H347</f>
        <v>840510</v>
      </c>
      <c r="K697" s="51">
        <f>'Schattenhofer, SI Data'!M347</f>
        <v>8910</v>
      </c>
      <c r="L697" s="51">
        <f>J697+K697</f>
        <v>849420</v>
      </c>
      <c r="M697" s="63">
        <f>L697/I697</f>
        <v>0.85799999999999998</v>
      </c>
      <c r="N697" s="63">
        <f>K697/L697</f>
        <v>1.048951048951049E-2</v>
      </c>
      <c r="O697" s="63" t="s">
        <v>396</v>
      </c>
      <c r="P697" s="51" t="s">
        <v>416</v>
      </c>
      <c r="Q697" s="51" t="s">
        <v>534</v>
      </c>
      <c r="R697" s="51" t="s">
        <v>246</v>
      </c>
      <c r="S697" s="51" t="s">
        <v>909</v>
      </c>
      <c r="T697" s="20" t="s">
        <v>317</v>
      </c>
      <c r="U697" s="20" t="s">
        <v>318</v>
      </c>
      <c r="V697" s="20" t="s">
        <v>444</v>
      </c>
    </row>
    <row r="698" spans="1:22">
      <c r="A698" s="20" t="s">
        <v>500</v>
      </c>
      <c r="B698" s="20">
        <f>'Schattenhofer, SI Data'!A386</f>
        <v>64</v>
      </c>
      <c r="C698" s="20">
        <f>'Schattenhofer, SI Data'!E386</f>
        <v>38</v>
      </c>
      <c r="I698" s="51">
        <f>'Schattenhofer, SI Data'!F386</f>
        <v>1800000</v>
      </c>
      <c r="J698" s="51">
        <f>'Schattenhofer, SI Data'!H386</f>
        <v>1582200</v>
      </c>
      <c r="K698" s="51">
        <f>'Schattenhofer, SI Data'!M386</f>
        <v>10800</v>
      </c>
      <c r="L698" s="51">
        <f>J698+K698</f>
        <v>1593000</v>
      </c>
      <c r="M698" s="63">
        <f>L698/I698</f>
        <v>0.88500000000000001</v>
      </c>
      <c r="N698" s="63">
        <f>K698/L698</f>
        <v>6.7796610169491523E-3</v>
      </c>
      <c r="O698" s="63" t="s">
        <v>396</v>
      </c>
      <c r="P698" s="51" t="s">
        <v>416</v>
      </c>
      <c r="Q698" s="51" t="s">
        <v>534</v>
      </c>
      <c r="R698" s="51" t="s">
        <v>246</v>
      </c>
      <c r="S698" s="51" t="s">
        <v>909</v>
      </c>
      <c r="T698" s="20" t="s">
        <v>317</v>
      </c>
      <c r="U698" s="20" t="s">
        <v>318</v>
      </c>
      <c r="V698" s="20" t="s">
        <v>444</v>
      </c>
    </row>
    <row r="699" spans="1:22">
      <c r="A699" s="20" t="s">
        <v>500</v>
      </c>
      <c r="B699" s="20">
        <f>'Schattenhofer, SI Data'!A174</f>
        <v>29</v>
      </c>
      <c r="C699" s="20">
        <f>'Schattenhofer, SI Data'!E174</f>
        <v>40</v>
      </c>
      <c r="I699" s="51">
        <f>'Schattenhofer, SI Data'!F174</f>
        <v>1100000</v>
      </c>
      <c r="J699" s="51">
        <f>'Schattenhofer, SI Data'!H174</f>
        <v>794200</v>
      </c>
      <c r="K699" s="51">
        <f>'Schattenhofer, SI Data'!M174</f>
        <v>4400</v>
      </c>
      <c r="L699" s="51">
        <f>J699+K699</f>
        <v>798600</v>
      </c>
      <c r="M699" s="63">
        <f>L699/I699</f>
        <v>0.72599999999999998</v>
      </c>
      <c r="N699" s="63">
        <f>K699/L699</f>
        <v>5.5096418732782371E-3</v>
      </c>
      <c r="O699" s="63" t="s">
        <v>396</v>
      </c>
      <c r="P699" s="51" t="s">
        <v>416</v>
      </c>
      <c r="Q699" s="51" t="s">
        <v>534</v>
      </c>
      <c r="R699" s="51" t="s">
        <v>246</v>
      </c>
      <c r="S699" s="51" t="s">
        <v>909</v>
      </c>
      <c r="T699" s="20" t="s">
        <v>317</v>
      </c>
      <c r="U699" s="20" t="s">
        <v>318</v>
      </c>
      <c r="V699" s="20" t="s">
        <v>444</v>
      </c>
    </row>
    <row r="700" spans="1:22">
      <c r="A700" s="20" t="s">
        <v>500</v>
      </c>
      <c r="B700" s="20">
        <f>'Schattenhofer, SI Data'!A373</f>
        <v>62</v>
      </c>
      <c r="C700" s="20">
        <f>'Schattenhofer, SI Data'!E373</f>
        <v>40</v>
      </c>
      <c r="I700" s="51">
        <f>'Schattenhofer, SI Data'!F373</f>
        <v>1300000</v>
      </c>
      <c r="J700" s="51">
        <f>'Schattenhofer, SI Data'!H373</f>
        <v>1032200</v>
      </c>
      <c r="K700" s="51">
        <f>'Schattenhofer, SI Data'!M373</f>
        <v>7800</v>
      </c>
      <c r="L700" s="51">
        <f>J700+K700</f>
        <v>1040000</v>
      </c>
      <c r="M700" s="63">
        <f>L700/I700</f>
        <v>0.8</v>
      </c>
      <c r="N700" s="63">
        <f>K700/L700</f>
        <v>7.4999999999999997E-3</v>
      </c>
      <c r="O700" s="63" t="s">
        <v>396</v>
      </c>
      <c r="P700" s="51" t="s">
        <v>416</v>
      </c>
      <c r="Q700" s="51" t="s">
        <v>534</v>
      </c>
      <c r="R700" s="51" t="s">
        <v>246</v>
      </c>
      <c r="S700" s="51" t="s">
        <v>909</v>
      </c>
      <c r="T700" s="20" t="s">
        <v>317</v>
      </c>
      <c r="U700" s="20" t="s">
        <v>318</v>
      </c>
      <c r="V700" s="20" t="s">
        <v>444</v>
      </c>
    </row>
    <row r="701" spans="1:22">
      <c r="A701" s="20" t="s">
        <v>500</v>
      </c>
      <c r="B701" s="20">
        <f>'Schattenhofer, SI Data'!A392</f>
        <v>65</v>
      </c>
      <c r="C701" s="20">
        <f>'Schattenhofer, SI Data'!E392</f>
        <v>40</v>
      </c>
      <c r="I701" s="51">
        <f>'Schattenhofer, SI Data'!F392</f>
        <v>900000</v>
      </c>
      <c r="J701" s="51">
        <f>'Schattenhofer, SI Data'!H392</f>
        <v>788400</v>
      </c>
      <c r="K701" s="51">
        <f>'Schattenhofer, SI Data'!M392</f>
        <v>27900</v>
      </c>
      <c r="L701" s="51">
        <f>J701+K701</f>
        <v>816300</v>
      </c>
      <c r="M701" s="63">
        <f>L701/I701</f>
        <v>0.90700000000000003</v>
      </c>
      <c r="N701" s="63">
        <f>K701/L701</f>
        <v>3.4178610804851156E-2</v>
      </c>
      <c r="O701" s="63" t="s">
        <v>396</v>
      </c>
      <c r="P701" s="51" t="s">
        <v>416</v>
      </c>
      <c r="Q701" s="51" t="s">
        <v>534</v>
      </c>
      <c r="R701" s="51" t="s">
        <v>246</v>
      </c>
      <c r="S701" s="51" t="s">
        <v>909</v>
      </c>
      <c r="T701" s="20" t="s">
        <v>317</v>
      </c>
      <c r="U701" s="20" t="s">
        <v>318</v>
      </c>
      <c r="V701" s="20" t="s">
        <v>444</v>
      </c>
    </row>
    <row r="702" spans="1:22">
      <c r="A702" s="20" t="s">
        <v>500</v>
      </c>
      <c r="B702" s="20">
        <f>'Schattenhofer, SI Data'!A25</f>
        <v>4</v>
      </c>
      <c r="C702" s="20">
        <f>'Schattenhofer, SI Data'!E25</f>
        <v>42</v>
      </c>
      <c r="I702" s="51">
        <f>'Schattenhofer, SI Data'!F25</f>
        <v>860000</v>
      </c>
      <c r="J702" s="51">
        <f>'Schattenhofer, SI Data'!H25</f>
        <v>490200</v>
      </c>
      <c r="K702" s="51">
        <f>'Schattenhofer, SI Data'!M25</f>
        <v>7740</v>
      </c>
      <c r="L702" s="51">
        <f>J702+K702</f>
        <v>497940</v>
      </c>
      <c r="M702" s="63">
        <f>L702/I702</f>
        <v>0.57899999999999996</v>
      </c>
      <c r="N702" s="63">
        <f>K702/L702</f>
        <v>1.5544041450777202E-2</v>
      </c>
      <c r="O702" s="63" t="s">
        <v>396</v>
      </c>
      <c r="P702" s="51" t="s">
        <v>416</v>
      </c>
      <c r="Q702" s="51" t="s">
        <v>534</v>
      </c>
      <c r="R702" s="51" t="s">
        <v>246</v>
      </c>
      <c r="S702" s="51" t="s">
        <v>909</v>
      </c>
      <c r="T702" s="20" t="s">
        <v>317</v>
      </c>
      <c r="U702" s="20" t="s">
        <v>318</v>
      </c>
      <c r="V702" s="20" t="s">
        <v>444</v>
      </c>
    </row>
    <row r="703" spans="1:22">
      <c r="A703" s="20" t="s">
        <v>500</v>
      </c>
      <c r="B703" s="20">
        <f>'Schattenhofer, SI Data'!A380</f>
        <v>63</v>
      </c>
      <c r="C703" s="20">
        <f>'Schattenhofer, SI Data'!E380</f>
        <v>42</v>
      </c>
      <c r="I703" s="51">
        <f>'Schattenhofer, SI Data'!F380</f>
        <v>1500000</v>
      </c>
      <c r="J703" s="51">
        <f>'Schattenhofer, SI Data'!H380</f>
        <v>1066499.9999999998</v>
      </c>
      <c r="K703" s="51">
        <f>'Schattenhofer, SI Data'!M380</f>
        <v>12000</v>
      </c>
      <c r="L703" s="51">
        <f>J703+K703</f>
        <v>1078499.9999999998</v>
      </c>
      <c r="M703" s="63">
        <f>L703/I703</f>
        <v>0.71899999999999986</v>
      </c>
      <c r="N703" s="63">
        <f>K703/L703</f>
        <v>1.1126564673157166E-2</v>
      </c>
      <c r="O703" s="63" t="s">
        <v>396</v>
      </c>
      <c r="P703" s="51" t="s">
        <v>416</v>
      </c>
      <c r="Q703" s="51" t="s">
        <v>534</v>
      </c>
      <c r="R703" s="51" t="s">
        <v>246</v>
      </c>
      <c r="S703" s="51" t="s">
        <v>909</v>
      </c>
      <c r="T703" s="20" t="s">
        <v>317</v>
      </c>
      <c r="U703" s="20" t="s">
        <v>318</v>
      </c>
      <c r="V703" s="20" t="s">
        <v>444</v>
      </c>
    </row>
    <row r="704" spans="1:22">
      <c r="A704" s="20" t="s">
        <v>500</v>
      </c>
      <c r="B704" s="20">
        <f>'Schattenhofer, SI Data'!A182</f>
        <v>30</v>
      </c>
      <c r="C704" s="20">
        <f>'Schattenhofer, SI Data'!E182</f>
        <v>45</v>
      </c>
      <c r="I704" s="51">
        <f>'Schattenhofer, SI Data'!F182</f>
        <v>1300000</v>
      </c>
      <c r="J704" s="51">
        <f>'Schattenhofer, SI Data'!H182</f>
        <v>885300</v>
      </c>
      <c r="K704" s="51">
        <f>'Schattenhofer, SI Data'!M182</f>
        <v>3900</v>
      </c>
      <c r="L704" s="51">
        <f>J704+K704</f>
        <v>889200</v>
      </c>
      <c r="M704" s="63">
        <f>L704/I704</f>
        <v>0.68400000000000005</v>
      </c>
      <c r="N704" s="63">
        <f>K704/L704</f>
        <v>4.3859649122807015E-3</v>
      </c>
      <c r="O704" s="63" t="s">
        <v>396</v>
      </c>
      <c r="P704" s="51" t="s">
        <v>416</v>
      </c>
      <c r="Q704" s="51" t="s">
        <v>534</v>
      </c>
      <c r="R704" s="51" t="s">
        <v>246</v>
      </c>
      <c r="S704" s="51" t="s">
        <v>909</v>
      </c>
      <c r="T704" s="20" t="s">
        <v>317</v>
      </c>
      <c r="U704" s="20" t="s">
        <v>318</v>
      </c>
      <c r="V704" s="20" t="s">
        <v>444</v>
      </c>
    </row>
    <row r="705" spans="1:22">
      <c r="A705" s="20" t="s">
        <v>500</v>
      </c>
      <c r="B705" s="20">
        <f>'Schattenhofer, SI Data'!A202</f>
        <v>33</v>
      </c>
      <c r="C705" s="20">
        <f>'Schattenhofer, SI Data'!E202</f>
        <v>45</v>
      </c>
      <c r="I705" s="51">
        <f>'Schattenhofer, SI Data'!F202</f>
        <v>1200000</v>
      </c>
      <c r="J705" s="51">
        <f>'Schattenhofer, SI Data'!H202</f>
        <v>958800</v>
      </c>
      <c r="K705" s="51">
        <f>'Schattenhofer, SI Data'!M202</f>
        <v>4800</v>
      </c>
      <c r="L705" s="51">
        <f>J705+K705</f>
        <v>963600</v>
      </c>
      <c r="M705" s="63">
        <f>L705/I705</f>
        <v>0.80300000000000005</v>
      </c>
      <c r="N705" s="63">
        <f>K705/L705</f>
        <v>4.9813200498132005E-3</v>
      </c>
      <c r="O705" s="63" t="s">
        <v>396</v>
      </c>
      <c r="P705" s="51" t="s">
        <v>416</v>
      </c>
      <c r="Q705" s="51" t="s">
        <v>534</v>
      </c>
      <c r="R705" s="51" t="s">
        <v>246</v>
      </c>
      <c r="S705" s="51" t="s">
        <v>909</v>
      </c>
      <c r="T705" s="20" t="s">
        <v>317</v>
      </c>
      <c r="U705" s="20" t="s">
        <v>318</v>
      </c>
      <c r="V705" s="20" t="s">
        <v>444</v>
      </c>
    </row>
    <row r="706" spans="1:22">
      <c r="A706" s="20" t="s">
        <v>500</v>
      </c>
      <c r="B706" s="20">
        <f>'Schattenhofer, SI Data'!A208</f>
        <v>34</v>
      </c>
      <c r="C706" s="20">
        <f>'Schattenhofer, SI Data'!E208</f>
        <v>45</v>
      </c>
      <c r="I706" s="51">
        <f>'Schattenhofer, SI Data'!F208</f>
        <v>1100000</v>
      </c>
      <c r="J706" s="51">
        <f>'Schattenhofer, SI Data'!H208</f>
        <v>793100</v>
      </c>
      <c r="K706" s="51">
        <f>'Schattenhofer, SI Data'!M208</f>
        <v>73700</v>
      </c>
      <c r="L706" s="51">
        <f>J706+K706</f>
        <v>866800</v>
      </c>
      <c r="M706" s="63">
        <f>L706/I706</f>
        <v>0.78800000000000003</v>
      </c>
      <c r="N706" s="63">
        <f>K706/L706</f>
        <v>8.5025380710659904E-2</v>
      </c>
      <c r="O706" s="63" t="s">
        <v>396</v>
      </c>
      <c r="P706" s="51" t="s">
        <v>416</v>
      </c>
      <c r="Q706" s="51" t="s">
        <v>534</v>
      </c>
      <c r="R706" s="51" t="s">
        <v>246</v>
      </c>
      <c r="S706" s="51" t="s">
        <v>909</v>
      </c>
      <c r="T706" s="20" t="s">
        <v>317</v>
      </c>
      <c r="U706" s="20" t="s">
        <v>318</v>
      </c>
      <c r="V706" s="20" t="s">
        <v>444</v>
      </c>
    </row>
    <row r="707" spans="1:22">
      <c r="A707" s="20" t="s">
        <v>500</v>
      </c>
      <c r="B707" s="20">
        <f>'Schattenhofer, SI Data'!A367</f>
        <v>61</v>
      </c>
      <c r="C707" s="20">
        <f>'Schattenhofer, SI Data'!E367</f>
        <v>47</v>
      </c>
      <c r="I707" s="51">
        <f>'Schattenhofer, SI Data'!F367</f>
        <v>1100000</v>
      </c>
      <c r="J707" s="51">
        <f>'Schattenhofer, SI Data'!H367</f>
        <v>845900</v>
      </c>
      <c r="K707" s="51">
        <f>'Schattenhofer, SI Data'!M367</f>
        <v>13200</v>
      </c>
      <c r="L707" s="51">
        <f>J707+K707</f>
        <v>859100</v>
      </c>
      <c r="M707" s="63">
        <f>L707/I707</f>
        <v>0.78100000000000003</v>
      </c>
      <c r="N707" s="63">
        <f>K707/L707</f>
        <v>1.5364916773367477E-2</v>
      </c>
      <c r="O707" s="63" t="s">
        <v>396</v>
      </c>
      <c r="P707" s="51" t="s">
        <v>416</v>
      </c>
      <c r="Q707" s="51" t="s">
        <v>534</v>
      </c>
      <c r="R707" s="51" t="s">
        <v>246</v>
      </c>
      <c r="S707" s="51" t="s">
        <v>909</v>
      </c>
      <c r="T707" s="20" t="s">
        <v>317</v>
      </c>
      <c r="U707" s="20" t="s">
        <v>318</v>
      </c>
      <c r="V707" s="20" t="s">
        <v>444</v>
      </c>
    </row>
    <row r="708" spans="1:22">
      <c r="A708" s="20" t="s">
        <v>500</v>
      </c>
      <c r="B708" s="20">
        <f>'Schattenhofer, SI Data'!A381</f>
        <v>63</v>
      </c>
      <c r="C708" s="20">
        <f>'Schattenhofer, SI Data'!E381</f>
        <v>47</v>
      </c>
      <c r="I708" s="51">
        <f>'Schattenhofer, SI Data'!F381</f>
        <v>1100000</v>
      </c>
      <c r="J708" s="51">
        <f>'Schattenhofer, SI Data'!H381</f>
        <v>811800</v>
      </c>
      <c r="K708" s="51">
        <f>'Schattenhofer, SI Data'!M381</f>
        <v>13200</v>
      </c>
      <c r="L708" s="51">
        <f>J708+K708</f>
        <v>825000</v>
      </c>
      <c r="M708" s="63">
        <f>L708/I708</f>
        <v>0.75</v>
      </c>
      <c r="N708" s="63">
        <f>K708/L708</f>
        <v>1.6E-2</v>
      </c>
      <c r="O708" s="63" t="s">
        <v>396</v>
      </c>
      <c r="P708" s="51" t="s">
        <v>416</v>
      </c>
      <c r="Q708" s="51" t="s">
        <v>534</v>
      </c>
      <c r="R708" s="51" t="s">
        <v>246</v>
      </c>
      <c r="S708" s="51" t="s">
        <v>909</v>
      </c>
      <c r="T708" s="20" t="s">
        <v>317</v>
      </c>
      <c r="U708" s="20" t="s">
        <v>318</v>
      </c>
      <c r="V708" s="20" t="s">
        <v>444</v>
      </c>
    </row>
    <row r="709" spans="1:22">
      <c r="A709" s="20" t="s">
        <v>500</v>
      </c>
      <c r="B709" s="20">
        <f>'Schattenhofer, SI Data'!A175</f>
        <v>29</v>
      </c>
      <c r="C709" s="20">
        <f>'Schattenhofer, SI Data'!E175</f>
        <v>48</v>
      </c>
      <c r="I709" s="51">
        <f>'Schattenhofer, SI Data'!F175</f>
        <v>1200000</v>
      </c>
      <c r="J709" s="51">
        <f>'Schattenhofer, SI Data'!H175</f>
        <v>764400</v>
      </c>
      <c r="K709" s="51">
        <f>'Schattenhofer, SI Data'!M175</f>
        <v>9600</v>
      </c>
      <c r="L709" s="51">
        <f>J709+K709</f>
        <v>774000</v>
      </c>
      <c r="M709" s="63">
        <f>L709/I709</f>
        <v>0.64500000000000002</v>
      </c>
      <c r="N709" s="63">
        <f>K709/L709</f>
        <v>1.2403100775193798E-2</v>
      </c>
      <c r="O709" s="63" t="s">
        <v>396</v>
      </c>
      <c r="P709" s="51" t="s">
        <v>416</v>
      </c>
      <c r="Q709" s="51" t="s">
        <v>534</v>
      </c>
      <c r="R709" s="51" t="s">
        <v>246</v>
      </c>
      <c r="S709" s="51" t="s">
        <v>909</v>
      </c>
      <c r="T709" s="20" t="s">
        <v>317</v>
      </c>
      <c r="U709" s="20" t="s">
        <v>318</v>
      </c>
      <c r="V709" s="20" t="s">
        <v>444</v>
      </c>
    </row>
    <row r="710" spans="1:22">
      <c r="A710" s="20" t="s">
        <v>500</v>
      </c>
      <c r="B710" s="20">
        <f>'Schattenhofer, SI Data'!A348</f>
        <v>58</v>
      </c>
      <c r="C710" s="20">
        <f>'Schattenhofer, SI Data'!E348</f>
        <v>49</v>
      </c>
      <c r="I710" s="51">
        <f>'Schattenhofer, SI Data'!F348</f>
        <v>1200000</v>
      </c>
      <c r="J710" s="51">
        <f>'Schattenhofer, SI Data'!H348</f>
        <v>810000</v>
      </c>
      <c r="K710" s="51">
        <f>'Schattenhofer, SI Data'!M348</f>
        <v>7200</v>
      </c>
      <c r="L710" s="51">
        <f>J710+K710</f>
        <v>817200</v>
      </c>
      <c r="M710" s="63">
        <f>L710/I710</f>
        <v>0.68100000000000005</v>
      </c>
      <c r="N710" s="63">
        <f>K710/L710</f>
        <v>8.8105726872246704E-3</v>
      </c>
      <c r="O710" s="63" t="s">
        <v>396</v>
      </c>
      <c r="P710" s="51" t="s">
        <v>416</v>
      </c>
      <c r="Q710" s="51" t="s">
        <v>534</v>
      </c>
      <c r="R710" s="51" t="s">
        <v>246</v>
      </c>
      <c r="S710" s="51" t="s">
        <v>909</v>
      </c>
      <c r="T710" s="20" t="s">
        <v>317</v>
      </c>
      <c r="U710" s="20" t="s">
        <v>318</v>
      </c>
      <c r="V710" s="20" t="s">
        <v>444</v>
      </c>
    </row>
    <row r="711" spans="1:22">
      <c r="A711" s="20" t="s">
        <v>316</v>
      </c>
      <c r="B711" s="20">
        <f>'Schattenhofer, SI Data'!A8</f>
        <v>1</v>
      </c>
      <c r="C711" s="20">
        <f>'Schattenhofer, SI Data'!E8</f>
        <v>50</v>
      </c>
      <c r="I711" s="51">
        <f>'Schattenhofer, SI Data'!F8</f>
        <v>1400000</v>
      </c>
      <c r="J711" s="51">
        <f>'Schattenhofer, SI Data'!H8</f>
        <v>1040200</v>
      </c>
      <c r="K711" s="51">
        <f>'Schattenhofer, SI Data'!M8</f>
        <v>42000</v>
      </c>
      <c r="L711" s="51">
        <f>J711+K711</f>
        <v>1082200</v>
      </c>
      <c r="M711" s="63">
        <f>L711/I711</f>
        <v>0.77300000000000002</v>
      </c>
      <c r="N711" s="63">
        <f>K711/L711</f>
        <v>3.8809831824062092E-2</v>
      </c>
      <c r="O711" s="63" t="s">
        <v>396</v>
      </c>
      <c r="P711" s="51" t="s">
        <v>416</v>
      </c>
      <c r="Q711" s="51" t="s">
        <v>534</v>
      </c>
      <c r="R711" s="51" t="s">
        <v>246</v>
      </c>
      <c r="S711" s="51" t="s">
        <v>909</v>
      </c>
      <c r="T711" s="20" t="s">
        <v>317</v>
      </c>
      <c r="U711" s="20" t="s">
        <v>318</v>
      </c>
      <c r="V711" s="20" t="s">
        <v>444</v>
      </c>
    </row>
    <row r="712" spans="1:22">
      <c r="A712" s="20" t="s">
        <v>500</v>
      </c>
      <c r="B712" s="20">
        <f>'Schattenhofer, SI Data'!A14</f>
        <v>2</v>
      </c>
      <c r="C712" s="20">
        <f>'Schattenhofer, SI Data'!E14</f>
        <v>50</v>
      </c>
      <c r="I712" s="51">
        <f>'Schattenhofer, SI Data'!F14</f>
        <v>540000</v>
      </c>
      <c r="J712" s="51">
        <f>'Schattenhofer, SI Data'!H14</f>
        <v>278100</v>
      </c>
      <c r="K712" s="51">
        <f>'Schattenhofer, SI Data'!M14</f>
        <v>93960</v>
      </c>
      <c r="L712" s="51">
        <f>J712+K712</f>
        <v>372060</v>
      </c>
      <c r="M712" s="63">
        <f>L712/I712</f>
        <v>0.68899999999999995</v>
      </c>
      <c r="N712" s="63">
        <f>K712/L712</f>
        <v>0.2525399129172714</v>
      </c>
      <c r="O712" s="63" t="s">
        <v>396</v>
      </c>
      <c r="P712" s="51" t="s">
        <v>416</v>
      </c>
      <c r="Q712" s="51" t="s">
        <v>534</v>
      </c>
      <c r="R712" s="51" t="s">
        <v>246</v>
      </c>
      <c r="S712" s="51" t="s">
        <v>909</v>
      </c>
      <c r="T712" s="20" t="s">
        <v>317</v>
      </c>
      <c r="U712" s="20" t="s">
        <v>318</v>
      </c>
      <c r="V712" s="20" t="s">
        <v>444</v>
      </c>
    </row>
    <row r="713" spans="1:22">
      <c r="A713" s="20" t="s">
        <v>500</v>
      </c>
      <c r="B713" s="20">
        <f>'Schattenhofer, SI Data'!A31</f>
        <v>5</v>
      </c>
      <c r="C713" s="20">
        <f>'Schattenhofer, SI Data'!E31</f>
        <v>50</v>
      </c>
      <c r="I713" s="51">
        <f>'Schattenhofer, SI Data'!F31</f>
        <v>840000</v>
      </c>
      <c r="J713" s="51">
        <f>'Schattenhofer, SI Data'!H31</f>
        <v>507360</v>
      </c>
      <c r="K713" s="51">
        <f>'Schattenhofer, SI Data'!M31</f>
        <v>13440</v>
      </c>
      <c r="L713" s="51">
        <f>J713+K713</f>
        <v>520800</v>
      </c>
      <c r="M713" s="63">
        <f>L713/I713</f>
        <v>0.62</v>
      </c>
      <c r="N713" s="63">
        <f>K713/L713</f>
        <v>2.5806451612903226E-2</v>
      </c>
      <c r="O713" s="63" t="s">
        <v>396</v>
      </c>
      <c r="P713" s="51" t="s">
        <v>416</v>
      </c>
      <c r="Q713" s="51" t="s">
        <v>534</v>
      </c>
      <c r="R713" s="51" t="s">
        <v>246</v>
      </c>
      <c r="S713" s="51" t="s">
        <v>909</v>
      </c>
      <c r="T713" s="20" t="s">
        <v>317</v>
      </c>
      <c r="U713" s="20" t="s">
        <v>318</v>
      </c>
      <c r="V713" s="20" t="s">
        <v>444</v>
      </c>
    </row>
    <row r="714" spans="1:22">
      <c r="A714" s="20" t="s">
        <v>500</v>
      </c>
      <c r="B714" s="20">
        <f>'Schattenhofer, SI Data'!A162</f>
        <v>27</v>
      </c>
      <c r="C714" s="20">
        <f>'Schattenhofer, SI Data'!E162</f>
        <v>50</v>
      </c>
      <c r="I714" s="51">
        <f>'Schattenhofer, SI Data'!F162</f>
        <v>980000</v>
      </c>
      <c r="J714" s="51">
        <f>'Schattenhofer, SI Data'!H162</f>
        <v>736960</v>
      </c>
      <c r="K714" s="51">
        <f>'Schattenhofer, SI Data'!M162</f>
        <v>3920</v>
      </c>
      <c r="L714" s="51">
        <f>J714+K714</f>
        <v>740880</v>
      </c>
      <c r="M714" s="63">
        <f>L714/I714</f>
        <v>0.75600000000000001</v>
      </c>
      <c r="N714" s="63">
        <f>K714/L714</f>
        <v>5.2910052910052907E-3</v>
      </c>
      <c r="O714" s="63" t="s">
        <v>396</v>
      </c>
      <c r="P714" s="51" t="s">
        <v>416</v>
      </c>
      <c r="Q714" s="51" t="s">
        <v>534</v>
      </c>
      <c r="R714" s="51" t="s">
        <v>246</v>
      </c>
      <c r="S714" s="51" t="s">
        <v>909</v>
      </c>
      <c r="T714" s="20" t="s">
        <v>317</v>
      </c>
      <c r="U714" s="20" t="s">
        <v>318</v>
      </c>
      <c r="V714" s="20" t="s">
        <v>444</v>
      </c>
    </row>
    <row r="715" spans="1:22">
      <c r="A715" s="20" t="s">
        <v>500</v>
      </c>
      <c r="B715" s="20">
        <f>'Schattenhofer, SI Data'!A209</f>
        <v>34</v>
      </c>
      <c r="C715" s="20">
        <f>'Schattenhofer, SI Data'!E209</f>
        <v>50</v>
      </c>
      <c r="I715" s="51">
        <f>'Schattenhofer, SI Data'!F209</f>
        <v>1300000</v>
      </c>
      <c r="J715" s="51">
        <f>'Schattenhofer, SI Data'!H209</f>
        <v>928200</v>
      </c>
      <c r="K715" s="51">
        <f>'Schattenhofer, SI Data'!M209</f>
        <v>27300</v>
      </c>
      <c r="L715" s="51">
        <f>J715+K715</f>
        <v>955500</v>
      </c>
      <c r="M715" s="63">
        <f>L715/I715</f>
        <v>0.73499999999999999</v>
      </c>
      <c r="N715" s="63">
        <f>K715/L715</f>
        <v>2.8571428571428571E-2</v>
      </c>
      <c r="O715" s="63" t="s">
        <v>396</v>
      </c>
      <c r="P715" s="51" t="s">
        <v>416</v>
      </c>
      <c r="Q715" s="51" t="s">
        <v>534</v>
      </c>
      <c r="R715" s="51" t="s">
        <v>246</v>
      </c>
      <c r="S715" s="51" t="s">
        <v>909</v>
      </c>
      <c r="T715" s="20" t="s">
        <v>317</v>
      </c>
      <c r="U715" s="20" t="s">
        <v>318</v>
      </c>
      <c r="V715" s="20" t="s">
        <v>444</v>
      </c>
    </row>
    <row r="716" spans="1:22">
      <c r="A716" s="20" t="s">
        <v>500</v>
      </c>
      <c r="B716" s="20">
        <f>'Schattenhofer, SI Data'!A309</f>
        <v>51</v>
      </c>
      <c r="C716" s="20">
        <f>'Schattenhofer, SI Data'!E309</f>
        <v>50</v>
      </c>
      <c r="I716" s="51">
        <f>'Schattenhofer, SI Data'!F309</f>
        <v>1400000</v>
      </c>
      <c r="J716" s="51">
        <f>'Schattenhofer, SI Data'!H309</f>
        <v>1030399.9999999999</v>
      </c>
      <c r="K716" s="51">
        <f>'Schattenhofer, SI Data'!M309</f>
        <v>16800</v>
      </c>
      <c r="L716" s="51">
        <f>J716+K716</f>
        <v>1047199.9999999999</v>
      </c>
      <c r="M716" s="63">
        <f>L716/I716</f>
        <v>0.74799999999999989</v>
      </c>
      <c r="N716" s="63">
        <f>K716/L716</f>
        <v>1.6042780748663103E-2</v>
      </c>
      <c r="O716" s="63" t="s">
        <v>396</v>
      </c>
      <c r="P716" s="51" t="s">
        <v>416</v>
      </c>
      <c r="Q716" s="51" t="s">
        <v>534</v>
      </c>
      <c r="R716" s="51" t="s">
        <v>246</v>
      </c>
      <c r="S716" s="51" t="s">
        <v>909</v>
      </c>
      <c r="T716" s="20" t="s">
        <v>317</v>
      </c>
      <c r="U716" s="20" t="s">
        <v>318</v>
      </c>
      <c r="V716" s="20" t="s">
        <v>444</v>
      </c>
    </row>
    <row r="717" spans="1:22">
      <c r="A717" s="20" t="s">
        <v>500</v>
      </c>
      <c r="B717" s="20">
        <f>'Schattenhofer, SI Data'!A374</f>
        <v>62</v>
      </c>
      <c r="C717" s="20">
        <f>'Schattenhofer, SI Data'!E374</f>
        <v>50</v>
      </c>
      <c r="I717" s="51">
        <f>'Schattenhofer, SI Data'!F374</f>
        <v>1300000</v>
      </c>
      <c r="J717" s="51">
        <f>'Schattenhofer, SI Data'!H374</f>
        <v>980200</v>
      </c>
      <c r="K717" s="51">
        <f>'Schattenhofer, SI Data'!M374</f>
        <v>7800</v>
      </c>
      <c r="L717" s="51">
        <f>J717+K717</f>
        <v>988000</v>
      </c>
      <c r="M717" s="63">
        <f>L717/I717</f>
        <v>0.76</v>
      </c>
      <c r="N717" s="63">
        <f>K717/L717</f>
        <v>7.8947368421052634E-3</v>
      </c>
      <c r="O717" s="63" t="s">
        <v>396</v>
      </c>
      <c r="P717" s="51" t="s">
        <v>416</v>
      </c>
      <c r="Q717" s="51" t="s">
        <v>534</v>
      </c>
      <c r="R717" s="51" t="s">
        <v>246</v>
      </c>
      <c r="S717" s="51" t="s">
        <v>909</v>
      </c>
      <c r="T717" s="20" t="s">
        <v>317</v>
      </c>
      <c r="U717" s="20" t="s">
        <v>318</v>
      </c>
      <c r="V717" s="20" t="s">
        <v>444</v>
      </c>
    </row>
    <row r="718" spans="1:22">
      <c r="A718" s="20" t="s">
        <v>500</v>
      </c>
      <c r="B718" s="20">
        <f>'Schattenhofer, SI Data'!A387</f>
        <v>64</v>
      </c>
      <c r="C718" s="20">
        <f>'Schattenhofer, SI Data'!E387</f>
        <v>50</v>
      </c>
      <c r="I718" s="51">
        <f>'Schattenhofer, SI Data'!F387</f>
        <v>990000</v>
      </c>
      <c r="J718" s="51">
        <f>'Schattenhofer, SI Data'!H387</f>
        <v>835560</v>
      </c>
      <c r="K718" s="51">
        <f>'Schattenhofer, SI Data'!M387</f>
        <v>18810</v>
      </c>
      <c r="L718" s="51">
        <f>J718+K718</f>
        <v>854370</v>
      </c>
      <c r="M718" s="63">
        <f>L718/I718</f>
        <v>0.86299999999999999</v>
      </c>
      <c r="N718" s="63">
        <f>K718/L718</f>
        <v>2.20162224797219E-2</v>
      </c>
      <c r="O718" s="63" t="s">
        <v>396</v>
      </c>
      <c r="P718" s="51" t="s">
        <v>416</v>
      </c>
      <c r="Q718" s="51" t="s">
        <v>534</v>
      </c>
      <c r="R718" s="51" t="s">
        <v>246</v>
      </c>
      <c r="S718" s="51" t="s">
        <v>909</v>
      </c>
      <c r="T718" s="20" t="s">
        <v>317</v>
      </c>
      <c r="U718" s="20" t="s">
        <v>318</v>
      </c>
      <c r="V718" s="20" t="s">
        <v>444</v>
      </c>
    </row>
    <row r="719" spans="1:22">
      <c r="A719" s="20" t="s">
        <v>500</v>
      </c>
      <c r="B719" s="20">
        <f>'Schattenhofer, SI Data'!A203</f>
        <v>33</v>
      </c>
      <c r="C719" s="20">
        <f>'Schattenhofer, SI Data'!E203</f>
        <v>51</v>
      </c>
      <c r="I719" s="51">
        <f>'Schattenhofer, SI Data'!F203</f>
        <v>1200000</v>
      </c>
      <c r="J719" s="51">
        <f>'Schattenhofer, SI Data'!H203</f>
        <v>955200</v>
      </c>
      <c r="K719" s="51">
        <f>'Schattenhofer, SI Data'!M203</f>
        <v>14400</v>
      </c>
      <c r="L719" s="51">
        <f>J719+K719</f>
        <v>969600</v>
      </c>
      <c r="M719" s="63">
        <f>L719/I719</f>
        <v>0.80800000000000005</v>
      </c>
      <c r="N719" s="63">
        <f>K719/L719</f>
        <v>1.4851485148514851E-2</v>
      </c>
      <c r="O719" s="63" t="s">
        <v>396</v>
      </c>
      <c r="P719" s="51" t="s">
        <v>416</v>
      </c>
      <c r="Q719" s="51" t="s">
        <v>534</v>
      </c>
      <c r="R719" s="51" t="s">
        <v>246</v>
      </c>
      <c r="S719" s="51" t="s">
        <v>909</v>
      </c>
      <c r="T719" s="20" t="s">
        <v>317</v>
      </c>
      <c r="U719" s="20" t="s">
        <v>318</v>
      </c>
      <c r="V719" s="20" t="s">
        <v>444</v>
      </c>
    </row>
    <row r="720" spans="1:22">
      <c r="A720" s="20" t="s">
        <v>500</v>
      </c>
      <c r="B720" s="20">
        <f>'Schattenhofer, SI Data'!A368</f>
        <v>61</v>
      </c>
      <c r="C720" s="20">
        <f>'Schattenhofer, SI Data'!E368</f>
        <v>52</v>
      </c>
      <c r="I720" s="51">
        <f>'Schattenhofer, SI Data'!F368</f>
        <v>1100000</v>
      </c>
      <c r="J720" s="51">
        <f>'Schattenhofer, SI Data'!H368</f>
        <v>832700</v>
      </c>
      <c r="K720" s="51">
        <f>'Schattenhofer, SI Data'!M368</f>
        <v>17600</v>
      </c>
      <c r="L720" s="51">
        <f>J720+K720</f>
        <v>850300</v>
      </c>
      <c r="M720" s="63">
        <f>L720/I720</f>
        <v>0.77300000000000002</v>
      </c>
      <c r="N720" s="63">
        <f>K720/L720</f>
        <v>2.0698576972833119E-2</v>
      </c>
      <c r="O720" s="63" t="s">
        <v>396</v>
      </c>
      <c r="P720" s="51" t="s">
        <v>416</v>
      </c>
      <c r="Q720" s="51" t="s">
        <v>534</v>
      </c>
      <c r="R720" s="51" t="s">
        <v>246</v>
      </c>
      <c r="S720" s="51" t="s">
        <v>909</v>
      </c>
      <c r="T720" s="20" t="s">
        <v>317</v>
      </c>
      <c r="U720" s="20" t="s">
        <v>318</v>
      </c>
      <c r="V720" s="20" t="s">
        <v>444</v>
      </c>
    </row>
    <row r="721" spans="1:22">
      <c r="A721" s="20" t="s">
        <v>500</v>
      </c>
      <c r="B721" s="20">
        <f>'Schattenhofer, SI Data'!A168</f>
        <v>28</v>
      </c>
      <c r="C721" s="20">
        <f>'Schattenhofer, SI Data'!E168</f>
        <v>55</v>
      </c>
      <c r="I721" s="51">
        <f>'Schattenhofer, SI Data'!F168</f>
        <v>1600000</v>
      </c>
      <c r="J721" s="51">
        <f>'Schattenhofer, SI Data'!H168</f>
        <v>1121599.9999999998</v>
      </c>
      <c r="K721" s="51">
        <f>'Schattenhofer, SI Data'!M168</f>
        <v>14400</v>
      </c>
      <c r="L721" s="51">
        <f>J721+K721</f>
        <v>1135999.9999999998</v>
      </c>
      <c r="M721" s="63">
        <f>L721/I721</f>
        <v>0.70999999999999985</v>
      </c>
      <c r="N721" s="63">
        <f>K721/L721</f>
        <v>1.2676056338028171E-2</v>
      </c>
      <c r="O721" s="63" t="s">
        <v>396</v>
      </c>
      <c r="P721" s="51" t="s">
        <v>416</v>
      </c>
      <c r="Q721" s="51" t="s">
        <v>534</v>
      </c>
      <c r="R721" s="51" t="s">
        <v>246</v>
      </c>
      <c r="S721" s="51" t="s">
        <v>909</v>
      </c>
      <c r="T721" s="20" t="s">
        <v>317</v>
      </c>
      <c r="U721" s="20" t="s">
        <v>318</v>
      </c>
      <c r="V721" s="20" t="s">
        <v>444</v>
      </c>
    </row>
    <row r="722" spans="1:22">
      <c r="A722" s="20" t="s">
        <v>500</v>
      </c>
      <c r="B722" s="20">
        <f>'Schattenhofer, SI Data'!A210</f>
        <v>34</v>
      </c>
      <c r="C722" s="20">
        <f>'Schattenhofer, SI Data'!E210</f>
        <v>55</v>
      </c>
      <c r="I722" s="51">
        <f>'Schattenhofer, SI Data'!F210</f>
        <v>930000</v>
      </c>
      <c r="J722" s="51">
        <f>'Schattenhofer, SI Data'!H210</f>
        <v>646350</v>
      </c>
      <c r="K722" s="51">
        <f>'Schattenhofer, SI Data'!M210</f>
        <v>58590</v>
      </c>
      <c r="L722" s="51">
        <f>J722+K722</f>
        <v>704940</v>
      </c>
      <c r="M722" s="63">
        <f>L722/I722</f>
        <v>0.75800000000000001</v>
      </c>
      <c r="N722" s="63">
        <f>K722/L722</f>
        <v>8.3113456464379953E-2</v>
      </c>
      <c r="O722" s="63" t="s">
        <v>396</v>
      </c>
      <c r="P722" s="51" t="s">
        <v>416</v>
      </c>
      <c r="Q722" s="51" t="s">
        <v>534</v>
      </c>
      <c r="R722" s="51" t="s">
        <v>246</v>
      </c>
      <c r="S722" s="51" t="s">
        <v>909</v>
      </c>
      <c r="T722" s="20" t="s">
        <v>317</v>
      </c>
      <c r="U722" s="20" t="s">
        <v>318</v>
      </c>
      <c r="V722" s="20" t="s">
        <v>444</v>
      </c>
    </row>
    <row r="723" spans="1:22">
      <c r="A723" s="20" t="s">
        <v>500</v>
      </c>
      <c r="B723" s="20">
        <f>'Schattenhofer, SI Data'!A214</f>
        <v>35</v>
      </c>
      <c r="C723" s="20">
        <f>'Schattenhofer, SI Data'!E214</f>
        <v>55</v>
      </c>
      <c r="I723" s="51">
        <f>'Schattenhofer, SI Data'!F214</f>
        <v>890000</v>
      </c>
      <c r="J723" s="51">
        <f>'Schattenhofer, SI Data'!H214</f>
        <v>735140</v>
      </c>
      <c r="K723" s="51">
        <f>'Schattenhofer, SI Data'!M214</f>
        <v>2670</v>
      </c>
      <c r="L723" s="51">
        <f>J723+K723</f>
        <v>737810</v>
      </c>
      <c r="M723" s="63">
        <f>L723/I723</f>
        <v>0.82899999999999996</v>
      </c>
      <c r="N723" s="63">
        <f>K723/L723</f>
        <v>3.6188178528347406E-3</v>
      </c>
      <c r="O723" s="63" t="s">
        <v>396</v>
      </c>
      <c r="P723" s="51" t="s">
        <v>416</v>
      </c>
      <c r="Q723" s="51" t="s">
        <v>534</v>
      </c>
      <c r="R723" s="51" t="s">
        <v>246</v>
      </c>
      <c r="S723" s="51" t="s">
        <v>909</v>
      </c>
      <c r="T723" s="20" t="s">
        <v>317</v>
      </c>
      <c r="U723" s="20" t="s">
        <v>318</v>
      </c>
      <c r="V723" s="20" t="s">
        <v>444</v>
      </c>
    </row>
    <row r="724" spans="1:22">
      <c r="A724" s="20" t="s">
        <v>500</v>
      </c>
      <c r="B724" s="20">
        <f>'Schattenhofer, SI Data'!A341</f>
        <v>57</v>
      </c>
      <c r="C724" s="20">
        <f>'Schattenhofer, SI Data'!E341</f>
        <v>55</v>
      </c>
      <c r="I724" s="51">
        <f>'Schattenhofer, SI Data'!F341</f>
        <v>1500000</v>
      </c>
      <c r="J724" s="51">
        <f>'Schattenhofer, SI Data'!H341</f>
        <v>1102500</v>
      </c>
      <c r="K724" s="51">
        <f>'Schattenhofer, SI Data'!M341</f>
        <v>25500</v>
      </c>
      <c r="L724" s="51">
        <f>J724+K724</f>
        <v>1128000</v>
      </c>
      <c r="M724" s="63">
        <f>L724/I724</f>
        <v>0.752</v>
      </c>
      <c r="N724" s="63">
        <f>K724/L724</f>
        <v>2.2606382978723406E-2</v>
      </c>
      <c r="O724" s="63" t="s">
        <v>396</v>
      </c>
      <c r="P724" s="51" t="s">
        <v>416</v>
      </c>
      <c r="Q724" s="51" t="s">
        <v>534</v>
      </c>
      <c r="R724" s="51" t="s">
        <v>246</v>
      </c>
      <c r="S724" s="51" t="s">
        <v>909</v>
      </c>
      <c r="T724" s="20" t="s">
        <v>317</v>
      </c>
      <c r="U724" s="20" t="s">
        <v>318</v>
      </c>
      <c r="V724" s="20" t="s">
        <v>444</v>
      </c>
    </row>
    <row r="725" spans="1:22">
      <c r="A725" s="20" t="s">
        <v>500</v>
      </c>
      <c r="B725" s="20">
        <f>'Schattenhofer, SI Data'!A393</f>
        <v>65</v>
      </c>
      <c r="C725" s="20">
        <f>'Schattenhofer, SI Data'!E393</f>
        <v>55</v>
      </c>
      <c r="I725" s="51">
        <f>'Schattenhofer, SI Data'!F393</f>
        <v>810000</v>
      </c>
      <c r="J725" s="51">
        <f>'Schattenhofer, SI Data'!H393</f>
        <v>662580</v>
      </c>
      <c r="K725" s="51">
        <f>'Schattenhofer, SI Data'!M393</f>
        <v>14580</v>
      </c>
      <c r="L725" s="51">
        <f>J725+K725</f>
        <v>677160</v>
      </c>
      <c r="M725" s="63">
        <f>L725/I725</f>
        <v>0.83599999999999997</v>
      </c>
      <c r="N725" s="63">
        <f>K725/L725</f>
        <v>2.1531100478468901E-2</v>
      </c>
      <c r="O725" s="63" t="s">
        <v>396</v>
      </c>
      <c r="P725" s="51" t="s">
        <v>416</v>
      </c>
      <c r="Q725" s="51" t="s">
        <v>534</v>
      </c>
      <c r="R725" s="51" t="s">
        <v>246</v>
      </c>
      <c r="S725" s="51" t="s">
        <v>909</v>
      </c>
      <c r="T725" s="20" t="s">
        <v>317</v>
      </c>
      <c r="U725" s="20" t="s">
        <v>318</v>
      </c>
      <c r="V725" s="20" t="s">
        <v>444</v>
      </c>
    </row>
    <row r="726" spans="1:22">
      <c r="A726" s="20" t="s">
        <v>500</v>
      </c>
      <c r="B726" s="20">
        <f>'Schattenhofer, SI Data'!A104</f>
        <v>18</v>
      </c>
      <c r="C726" s="20">
        <f>'Schattenhofer, SI Data'!E104</f>
        <v>57</v>
      </c>
      <c r="I726" s="51">
        <f>'Schattenhofer, SI Data'!F104</f>
        <v>730000</v>
      </c>
      <c r="J726" s="51">
        <f>'Schattenhofer, SI Data'!H104</f>
        <v>544579.99999999988</v>
      </c>
      <c r="K726" s="51">
        <f>'Schattenhofer, SI Data'!M104</f>
        <v>730</v>
      </c>
      <c r="L726" s="51">
        <f>J726+K726</f>
        <v>545309.99999999988</v>
      </c>
      <c r="M726" s="63">
        <f>L726/I726</f>
        <v>0.74699999999999989</v>
      </c>
      <c r="N726" s="63">
        <f>K726/L726</f>
        <v>1.3386880856760379E-3</v>
      </c>
      <c r="O726" s="63" t="s">
        <v>396</v>
      </c>
      <c r="P726" s="51" t="s">
        <v>416</v>
      </c>
      <c r="Q726" s="51" t="s">
        <v>534</v>
      </c>
      <c r="R726" s="51" t="s">
        <v>246</v>
      </c>
      <c r="S726" s="51" t="s">
        <v>909</v>
      </c>
      <c r="T726" s="20" t="s">
        <v>317</v>
      </c>
      <c r="U726" s="20" t="s">
        <v>318</v>
      </c>
      <c r="V726" s="20" t="s">
        <v>444</v>
      </c>
    </row>
    <row r="727" spans="1:22">
      <c r="A727" s="20" t="s">
        <v>500</v>
      </c>
      <c r="B727" s="20">
        <f>'Schattenhofer, SI Data'!A369</f>
        <v>61</v>
      </c>
      <c r="C727" s="20">
        <f>'Schattenhofer, SI Data'!E369</f>
        <v>57</v>
      </c>
      <c r="I727" s="51">
        <f>'Schattenhofer, SI Data'!F369</f>
        <v>700000</v>
      </c>
      <c r="J727" s="51">
        <f>'Schattenhofer, SI Data'!H369</f>
        <v>498400</v>
      </c>
      <c r="K727" s="51">
        <f>'Schattenhofer, SI Data'!M369</f>
        <v>70000</v>
      </c>
      <c r="L727" s="51">
        <f>J727+K727</f>
        <v>568400</v>
      </c>
      <c r="M727" s="63">
        <f>L727/I727</f>
        <v>0.81200000000000006</v>
      </c>
      <c r="N727" s="63">
        <f>K727/L727</f>
        <v>0.12315270935960591</v>
      </c>
      <c r="O727" s="63" t="s">
        <v>396</v>
      </c>
      <c r="P727" s="51" t="s">
        <v>416</v>
      </c>
      <c r="Q727" s="51" t="s">
        <v>534</v>
      </c>
      <c r="R727" s="51" t="s">
        <v>246</v>
      </c>
      <c r="S727" s="51" t="s">
        <v>909</v>
      </c>
      <c r="T727" s="20" t="s">
        <v>317</v>
      </c>
      <c r="U727" s="20" t="s">
        <v>318</v>
      </c>
      <c r="V727" s="20" t="s">
        <v>444</v>
      </c>
    </row>
    <row r="728" spans="1:22">
      <c r="A728" s="20" t="s">
        <v>500</v>
      </c>
      <c r="B728" s="20">
        <f>'Schattenhofer, SI Data'!A303</f>
        <v>50</v>
      </c>
      <c r="C728" s="20">
        <f>'Schattenhofer, SI Data'!E303</f>
        <v>60</v>
      </c>
      <c r="I728" s="51">
        <f>'Schattenhofer, SI Data'!F303</f>
        <v>1200000</v>
      </c>
      <c r="J728" s="51">
        <f>'Schattenhofer, SI Data'!H303</f>
        <v>877200</v>
      </c>
      <c r="K728" s="51">
        <f>'Schattenhofer, SI Data'!M303</f>
        <v>8400</v>
      </c>
      <c r="L728" s="51">
        <f>J728+K728</f>
        <v>885600</v>
      </c>
      <c r="M728" s="63">
        <f>L728/I728</f>
        <v>0.73799999999999999</v>
      </c>
      <c r="N728" s="63">
        <f>K728/L728</f>
        <v>9.485094850948509E-3</v>
      </c>
      <c r="O728" s="63" t="s">
        <v>396</v>
      </c>
      <c r="P728" s="51" t="s">
        <v>416</v>
      </c>
      <c r="Q728" s="51" t="s">
        <v>534</v>
      </c>
      <c r="R728" s="51" t="s">
        <v>246</v>
      </c>
      <c r="S728" s="51" t="s">
        <v>909</v>
      </c>
      <c r="T728" s="20" t="s">
        <v>317</v>
      </c>
      <c r="U728" s="20" t="s">
        <v>318</v>
      </c>
      <c r="V728" s="20" t="s">
        <v>444</v>
      </c>
    </row>
    <row r="729" spans="1:22">
      <c r="A729" s="20" t="s">
        <v>500</v>
      </c>
      <c r="B729" s="20">
        <f>'Schattenhofer, SI Data'!A335</f>
        <v>55</v>
      </c>
      <c r="C729" s="20">
        <f>'Schattenhofer, SI Data'!E335</f>
        <v>60</v>
      </c>
      <c r="I729" s="51">
        <f>'Schattenhofer, SI Data'!F335</f>
        <v>1300000</v>
      </c>
      <c r="J729" s="51">
        <f>'Schattenhofer, SI Data'!H335</f>
        <v>1051700</v>
      </c>
      <c r="K729" s="51">
        <f>'Schattenhofer, SI Data'!M335</f>
        <v>7800</v>
      </c>
      <c r="L729" s="51">
        <f>J729+K729</f>
        <v>1059500</v>
      </c>
      <c r="M729" s="63">
        <f>L729/I729</f>
        <v>0.81499999999999995</v>
      </c>
      <c r="N729" s="63">
        <f>K729/L729</f>
        <v>7.3619631901840491E-3</v>
      </c>
      <c r="O729" s="63" t="s">
        <v>396</v>
      </c>
      <c r="P729" s="51" t="s">
        <v>416</v>
      </c>
      <c r="Q729" s="51" t="s">
        <v>534</v>
      </c>
      <c r="R729" s="51" t="s">
        <v>246</v>
      </c>
      <c r="S729" s="51" t="s">
        <v>909</v>
      </c>
      <c r="T729" s="20" t="s">
        <v>317</v>
      </c>
      <c r="U729" s="20" t="s">
        <v>318</v>
      </c>
      <c r="V729" s="20" t="s">
        <v>444</v>
      </c>
    </row>
    <row r="730" spans="1:22">
      <c r="A730" s="20" t="s">
        <v>500</v>
      </c>
      <c r="B730" s="20">
        <f>'Schattenhofer, SI Data'!A353</f>
        <v>59</v>
      </c>
      <c r="C730" s="20">
        <f>'Schattenhofer, SI Data'!E353</f>
        <v>60</v>
      </c>
      <c r="I730" s="51">
        <f>'Schattenhofer, SI Data'!F353</f>
        <v>1500000</v>
      </c>
      <c r="J730" s="51">
        <f>'Schattenhofer, SI Data'!H353</f>
        <v>1197000</v>
      </c>
      <c r="K730" s="51">
        <f>'Schattenhofer, SI Data'!M353</f>
        <v>16500</v>
      </c>
      <c r="L730" s="51">
        <f>J730+K730</f>
        <v>1213500</v>
      </c>
      <c r="M730" s="63">
        <f>L730/I730</f>
        <v>0.80900000000000005</v>
      </c>
      <c r="N730" s="63">
        <f>K730/L730</f>
        <v>1.3597033374536464E-2</v>
      </c>
      <c r="O730" s="63" t="s">
        <v>396</v>
      </c>
      <c r="P730" s="51" t="s">
        <v>416</v>
      </c>
      <c r="Q730" s="51" t="s">
        <v>534</v>
      </c>
      <c r="R730" s="51" t="s">
        <v>246</v>
      </c>
      <c r="S730" s="51" t="s">
        <v>909</v>
      </c>
      <c r="T730" s="20" t="s">
        <v>317</v>
      </c>
      <c r="U730" s="20" t="s">
        <v>318</v>
      </c>
      <c r="V730" s="20" t="s">
        <v>444</v>
      </c>
    </row>
    <row r="731" spans="1:22">
      <c r="A731" s="20" t="s">
        <v>500</v>
      </c>
      <c r="B731" s="20">
        <f>'Schattenhofer, SI Data'!A342</f>
        <v>57</v>
      </c>
      <c r="C731" s="20">
        <f>'Schattenhofer, SI Data'!E342</f>
        <v>62</v>
      </c>
      <c r="I731" s="51">
        <f>'Schattenhofer, SI Data'!F342</f>
        <v>1200000</v>
      </c>
      <c r="J731" s="51">
        <f>'Schattenhofer, SI Data'!H342</f>
        <v>782400</v>
      </c>
      <c r="K731" s="51">
        <f>'Schattenhofer, SI Data'!M342</f>
        <v>64800</v>
      </c>
      <c r="L731" s="51">
        <f>J731+K731</f>
        <v>847200</v>
      </c>
      <c r="M731" s="63">
        <f>L731/I731</f>
        <v>0.70599999999999996</v>
      </c>
      <c r="N731" s="63">
        <f>K731/L731</f>
        <v>7.6487252124645896E-2</v>
      </c>
      <c r="O731" s="63" t="s">
        <v>396</v>
      </c>
      <c r="P731" s="51" t="s">
        <v>416</v>
      </c>
      <c r="Q731" s="51" t="s">
        <v>534</v>
      </c>
      <c r="R731" s="51" t="s">
        <v>246</v>
      </c>
      <c r="S731" s="51" t="s">
        <v>909</v>
      </c>
      <c r="T731" s="20" t="s">
        <v>317</v>
      </c>
      <c r="U731" s="20" t="s">
        <v>318</v>
      </c>
      <c r="V731" s="20" t="s">
        <v>444</v>
      </c>
    </row>
    <row r="732" spans="1:22">
      <c r="A732" s="20" t="s">
        <v>500</v>
      </c>
      <c r="B732" s="20">
        <f>'Schattenhofer, SI Data'!A19</f>
        <v>3</v>
      </c>
      <c r="C732" s="20">
        <f>'Schattenhofer, SI Data'!E19</f>
        <v>65</v>
      </c>
      <c r="I732" s="51">
        <f>'Schattenhofer, SI Data'!F19</f>
        <v>910000</v>
      </c>
      <c r="J732" s="51">
        <f>'Schattenhofer, SI Data'!H19</f>
        <v>511420</v>
      </c>
      <c r="K732" s="51">
        <f>'Schattenhofer, SI Data'!M19</f>
        <v>20020</v>
      </c>
      <c r="L732" s="51">
        <f>J732+K732</f>
        <v>531440</v>
      </c>
      <c r="M732" s="63">
        <f>L732/I732</f>
        <v>0.58399999999999996</v>
      </c>
      <c r="N732" s="63">
        <f>K732/L732</f>
        <v>3.7671232876712327E-2</v>
      </c>
      <c r="O732" s="63" t="s">
        <v>396</v>
      </c>
      <c r="P732" s="51" t="s">
        <v>416</v>
      </c>
      <c r="Q732" s="51" t="s">
        <v>534</v>
      </c>
      <c r="R732" s="51" t="s">
        <v>246</v>
      </c>
      <c r="S732" s="51" t="s">
        <v>909</v>
      </c>
      <c r="T732" s="20" t="s">
        <v>317</v>
      </c>
      <c r="U732" s="20" t="s">
        <v>318</v>
      </c>
      <c r="V732" s="20" t="s">
        <v>444</v>
      </c>
    </row>
    <row r="733" spans="1:22">
      <c r="A733" s="20" t="s">
        <v>500</v>
      </c>
      <c r="B733" s="20">
        <f>'Schattenhofer, SI Data'!A176</f>
        <v>29</v>
      </c>
      <c r="C733" s="20">
        <f>'Schattenhofer, SI Data'!E176</f>
        <v>65</v>
      </c>
      <c r="I733" s="51">
        <f>'Schattenhofer, SI Data'!F176</f>
        <v>960000</v>
      </c>
      <c r="J733" s="51">
        <f>'Schattenhofer, SI Data'!H176</f>
        <v>598080</v>
      </c>
      <c r="K733" s="51">
        <f>'Schattenhofer, SI Data'!M176</f>
        <v>24000</v>
      </c>
      <c r="L733" s="51">
        <f>J733+K733</f>
        <v>622080</v>
      </c>
      <c r="M733" s="63">
        <f>L733/I733</f>
        <v>0.64800000000000002</v>
      </c>
      <c r="N733" s="63">
        <f>K733/L733</f>
        <v>3.8580246913580245E-2</v>
      </c>
      <c r="O733" s="63" t="s">
        <v>396</v>
      </c>
      <c r="P733" s="51" t="s">
        <v>416</v>
      </c>
      <c r="Q733" s="51" t="s">
        <v>534</v>
      </c>
      <c r="R733" s="51" t="s">
        <v>246</v>
      </c>
      <c r="S733" s="51" t="s">
        <v>909</v>
      </c>
      <c r="T733" s="20" t="s">
        <v>317</v>
      </c>
      <c r="U733" s="20" t="s">
        <v>318</v>
      </c>
      <c r="V733" s="20" t="s">
        <v>444</v>
      </c>
    </row>
    <row r="734" spans="1:22">
      <c r="A734" s="20" t="s">
        <v>500</v>
      </c>
      <c r="B734" s="20">
        <f>'Schattenhofer, SI Data'!A183</f>
        <v>30</v>
      </c>
      <c r="C734" s="20">
        <f>'Schattenhofer, SI Data'!E183</f>
        <v>65</v>
      </c>
      <c r="I734" s="51">
        <f>'Schattenhofer, SI Data'!F183</f>
        <v>1200000</v>
      </c>
      <c r="J734" s="51">
        <f>'Schattenhofer, SI Data'!H183</f>
        <v>860400</v>
      </c>
      <c r="K734" s="51">
        <f>'Schattenhofer, SI Data'!M183</f>
        <v>8400</v>
      </c>
      <c r="L734" s="51">
        <f>J734+K734</f>
        <v>868800</v>
      </c>
      <c r="M734" s="63">
        <f>L734/I734</f>
        <v>0.72399999999999998</v>
      </c>
      <c r="N734" s="63">
        <f>K734/L734</f>
        <v>9.6685082872928173E-3</v>
      </c>
      <c r="O734" s="63" t="s">
        <v>396</v>
      </c>
      <c r="P734" s="51" t="s">
        <v>416</v>
      </c>
      <c r="Q734" s="51" t="s">
        <v>534</v>
      </c>
      <c r="R734" s="51" t="s">
        <v>246</v>
      </c>
      <c r="S734" s="51" t="s">
        <v>909</v>
      </c>
      <c r="T734" s="20" t="s">
        <v>317</v>
      </c>
      <c r="U734" s="20" t="s">
        <v>318</v>
      </c>
      <c r="V734" s="20" t="s">
        <v>444</v>
      </c>
    </row>
    <row r="735" spans="1:22">
      <c r="A735" s="20" t="s">
        <v>500</v>
      </c>
      <c r="B735" s="20">
        <f>'Schattenhofer, SI Data'!A188</f>
        <v>31</v>
      </c>
      <c r="C735" s="20">
        <f>'Schattenhofer, SI Data'!E188</f>
        <v>65</v>
      </c>
      <c r="I735" s="51">
        <f>'Schattenhofer, SI Data'!F188</f>
        <v>1700000</v>
      </c>
      <c r="J735" s="51">
        <f>'Schattenhofer, SI Data'!H188</f>
        <v>1251199.9999999998</v>
      </c>
      <c r="K735" s="51">
        <f>'Schattenhofer, SI Data'!M188</f>
        <v>20400</v>
      </c>
      <c r="L735" s="51">
        <f>J735+K735</f>
        <v>1271599.9999999998</v>
      </c>
      <c r="M735" s="63">
        <f>L735/I735</f>
        <v>0.74799999999999989</v>
      </c>
      <c r="N735" s="63">
        <f>K735/L735</f>
        <v>1.6042780748663103E-2</v>
      </c>
      <c r="O735" s="63" t="s">
        <v>396</v>
      </c>
      <c r="P735" s="51" t="s">
        <v>416</v>
      </c>
      <c r="Q735" s="51" t="s">
        <v>534</v>
      </c>
      <c r="R735" s="51" t="s">
        <v>246</v>
      </c>
      <c r="S735" s="51" t="s">
        <v>909</v>
      </c>
      <c r="T735" s="20" t="s">
        <v>317</v>
      </c>
      <c r="U735" s="20" t="s">
        <v>318</v>
      </c>
      <c r="V735" s="20" t="s">
        <v>444</v>
      </c>
    </row>
    <row r="736" spans="1:22">
      <c r="A736" s="20" t="s">
        <v>500</v>
      </c>
      <c r="B736" s="20">
        <f>'Schattenhofer, SI Data'!A194</f>
        <v>32</v>
      </c>
      <c r="C736" s="20">
        <f>'Schattenhofer, SI Data'!E194</f>
        <v>65</v>
      </c>
      <c r="I736" s="51">
        <f>'Schattenhofer, SI Data'!F194</f>
        <v>910000</v>
      </c>
      <c r="J736" s="51">
        <f>'Schattenhofer, SI Data'!H194</f>
        <v>617890.00000000012</v>
      </c>
      <c r="K736" s="51">
        <f>'Schattenhofer, SI Data'!M194</f>
        <v>1820</v>
      </c>
      <c r="L736" s="51">
        <f>J736+K736</f>
        <v>619710.00000000012</v>
      </c>
      <c r="M736" s="63">
        <f>L736/I736</f>
        <v>0.68100000000000016</v>
      </c>
      <c r="N736" s="63">
        <f>K736/L736</f>
        <v>2.9368575624082226E-3</v>
      </c>
      <c r="O736" s="63" t="s">
        <v>396</v>
      </c>
      <c r="P736" s="51" t="s">
        <v>416</v>
      </c>
      <c r="Q736" s="51" t="s">
        <v>534</v>
      </c>
      <c r="R736" s="51" t="s">
        <v>246</v>
      </c>
      <c r="S736" s="51" t="s">
        <v>909</v>
      </c>
      <c r="T736" s="20" t="s">
        <v>317</v>
      </c>
      <c r="U736" s="20" t="s">
        <v>318</v>
      </c>
      <c r="V736" s="20" t="s">
        <v>444</v>
      </c>
    </row>
    <row r="737" spans="1:22">
      <c r="A737" s="20" t="s">
        <v>500</v>
      </c>
      <c r="B737" s="20">
        <f>'Schattenhofer, SI Data'!A310</f>
        <v>51</v>
      </c>
      <c r="C737" s="20">
        <f>'Schattenhofer, SI Data'!E310</f>
        <v>65</v>
      </c>
      <c r="I737" s="51">
        <f>'Schattenhofer, SI Data'!F310</f>
        <v>1200000</v>
      </c>
      <c r="J737" s="51">
        <f>'Schattenhofer, SI Data'!H310</f>
        <v>883200</v>
      </c>
      <c r="K737" s="51">
        <f>'Schattenhofer, SI Data'!M310</f>
        <v>73200</v>
      </c>
      <c r="L737" s="51">
        <f>J737+K737</f>
        <v>956400</v>
      </c>
      <c r="M737" s="63">
        <f>L737/I737</f>
        <v>0.79700000000000004</v>
      </c>
      <c r="N737" s="63">
        <f>K737/L737</f>
        <v>7.6537013801756593E-2</v>
      </c>
      <c r="O737" s="63" t="s">
        <v>396</v>
      </c>
      <c r="P737" s="51" t="s">
        <v>416</v>
      </c>
      <c r="Q737" s="51" t="s">
        <v>534</v>
      </c>
      <c r="R737" s="51" t="s">
        <v>246</v>
      </c>
      <c r="S737" s="51" t="s">
        <v>909</v>
      </c>
      <c r="T737" s="20" t="s">
        <v>317</v>
      </c>
      <c r="U737" s="20" t="s">
        <v>318</v>
      </c>
      <c r="V737" s="20" t="s">
        <v>444</v>
      </c>
    </row>
    <row r="738" spans="1:22">
      <c r="A738" s="20" t="s">
        <v>500</v>
      </c>
      <c r="B738" s="20">
        <f>'Schattenhofer, SI Data'!A329</f>
        <v>54</v>
      </c>
      <c r="C738" s="20">
        <f>'Schattenhofer, SI Data'!E329</f>
        <v>65</v>
      </c>
      <c r="I738" s="51">
        <f>'Schattenhofer, SI Data'!F329</f>
        <v>1200000</v>
      </c>
      <c r="J738" s="51">
        <f>'Schattenhofer, SI Data'!H329</f>
        <v>980400</v>
      </c>
      <c r="K738" s="51">
        <f>'Schattenhofer, SI Data'!M329</f>
        <v>7200</v>
      </c>
      <c r="L738" s="51">
        <f>J738+K738</f>
        <v>987600</v>
      </c>
      <c r="M738" s="63">
        <f>L738/I738</f>
        <v>0.82299999999999995</v>
      </c>
      <c r="N738" s="63">
        <f>K738/L738</f>
        <v>7.2904009720534627E-3</v>
      </c>
      <c r="O738" s="63" t="s">
        <v>396</v>
      </c>
      <c r="P738" s="51" t="s">
        <v>416</v>
      </c>
      <c r="Q738" s="51" t="s">
        <v>534</v>
      </c>
      <c r="R738" s="51" t="s">
        <v>246</v>
      </c>
      <c r="S738" s="51" t="s">
        <v>909</v>
      </c>
      <c r="T738" s="20" t="s">
        <v>317</v>
      </c>
      <c r="U738" s="20" t="s">
        <v>318</v>
      </c>
      <c r="V738" s="20" t="s">
        <v>444</v>
      </c>
    </row>
    <row r="739" spans="1:22">
      <c r="A739" s="20" t="s">
        <v>500</v>
      </c>
      <c r="B739" s="20">
        <f>'Schattenhofer, SI Data'!A349</f>
        <v>58</v>
      </c>
      <c r="C739" s="20">
        <f>'Schattenhofer, SI Data'!E349</f>
        <v>65</v>
      </c>
      <c r="I739" s="51">
        <f>'Schattenhofer, SI Data'!F349</f>
        <v>1100000</v>
      </c>
      <c r="J739" s="51">
        <f>'Schattenhofer, SI Data'!H349</f>
        <v>612700</v>
      </c>
      <c r="K739" s="51">
        <f>'Schattenhofer, SI Data'!M349</f>
        <v>16500</v>
      </c>
      <c r="L739" s="51">
        <f>J739+K739</f>
        <v>629200</v>
      </c>
      <c r="M739" s="63">
        <f>L739/I739</f>
        <v>0.57199999999999995</v>
      </c>
      <c r="N739" s="63">
        <f>K739/L739</f>
        <v>2.6223776223776224E-2</v>
      </c>
      <c r="O739" s="63" t="s">
        <v>396</v>
      </c>
      <c r="P739" s="51" t="s">
        <v>416</v>
      </c>
      <c r="Q739" s="51" t="s">
        <v>534</v>
      </c>
      <c r="R739" s="51" t="s">
        <v>246</v>
      </c>
      <c r="S739" s="51" t="s">
        <v>909</v>
      </c>
      <c r="T739" s="20" t="s">
        <v>317</v>
      </c>
      <c r="U739" s="20" t="s">
        <v>318</v>
      </c>
      <c r="V739" s="20" t="s">
        <v>444</v>
      </c>
    </row>
    <row r="740" spans="1:22">
      <c r="A740" s="20" t="s">
        <v>500</v>
      </c>
      <c r="B740" s="20">
        <f>'Schattenhofer, SI Data'!A359</f>
        <v>60</v>
      </c>
      <c r="C740" s="20">
        <f>'Schattenhofer, SI Data'!E359</f>
        <v>65</v>
      </c>
      <c r="I740" s="51">
        <f>'Schattenhofer, SI Data'!F359</f>
        <v>1700000</v>
      </c>
      <c r="J740" s="51">
        <f>'Schattenhofer, SI Data'!H359</f>
        <v>1042100</v>
      </c>
      <c r="K740" s="51">
        <f>'Schattenhofer, SI Data'!M359</f>
        <v>5100</v>
      </c>
      <c r="L740" s="51">
        <f>J740+K740</f>
        <v>1047200</v>
      </c>
      <c r="M740" s="63">
        <f>L740/I740</f>
        <v>0.61599999999999999</v>
      </c>
      <c r="N740" s="63">
        <f>K740/L740</f>
        <v>4.87012987012987E-3</v>
      </c>
      <c r="O740" s="63" t="s">
        <v>396</v>
      </c>
      <c r="P740" s="51" t="s">
        <v>416</v>
      </c>
      <c r="Q740" s="51" t="s">
        <v>534</v>
      </c>
      <c r="R740" s="51" t="s">
        <v>246</v>
      </c>
      <c r="S740" s="51" t="s">
        <v>909</v>
      </c>
      <c r="T740" s="20" t="s">
        <v>317</v>
      </c>
      <c r="U740" s="20" t="s">
        <v>318</v>
      </c>
      <c r="V740" s="20" t="s">
        <v>444</v>
      </c>
    </row>
    <row r="741" spans="1:22">
      <c r="A741" s="20" t="s">
        <v>500</v>
      </c>
      <c r="B741" s="20">
        <f>'Schattenhofer, SI Data'!A375</f>
        <v>62</v>
      </c>
      <c r="C741" s="20">
        <f>'Schattenhofer, SI Data'!E375</f>
        <v>65</v>
      </c>
      <c r="I741" s="51">
        <f>'Schattenhofer, SI Data'!F375</f>
        <v>680000</v>
      </c>
      <c r="J741" s="51">
        <f>'Schattenhofer, SI Data'!H375</f>
        <v>403920</v>
      </c>
      <c r="K741" s="51">
        <f>'Schattenhofer, SI Data'!M375</f>
        <v>87720</v>
      </c>
      <c r="L741" s="51">
        <f>J741+K741</f>
        <v>491640</v>
      </c>
      <c r="M741" s="63">
        <f>L741/I741</f>
        <v>0.72299999999999998</v>
      </c>
      <c r="N741" s="63">
        <f>K741/L741</f>
        <v>0.17842323651452283</v>
      </c>
      <c r="O741" s="63" t="s">
        <v>396</v>
      </c>
      <c r="P741" s="51" t="s">
        <v>416</v>
      </c>
      <c r="Q741" s="51" t="s">
        <v>534</v>
      </c>
      <c r="R741" s="51" t="s">
        <v>246</v>
      </c>
      <c r="S741" s="51" t="s">
        <v>909</v>
      </c>
      <c r="T741" s="20" t="s">
        <v>317</v>
      </c>
      <c r="U741" s="20" t="s">
        <v>318</v>
      </c>
      <c r="V741" s="20" t="s">
        <v>444</v>
      </c>
    </row>
    <row r="742" spans="1:22">
      <c r="A742" s="20" t="s">
        <v>500</v>
      </c>
      <c r="B742" s="20">
        <f>'Schattenhofer, SI Data'!A336</f>
        <v>55</v>
      </c>
      <c r="C742" s="20">
        <f>'Schattenhofer, SI Data'!E336</f>
        <v>67</v>
      </c>
      <c r="I742" s="51">
        <f>'Schattenhofer, SI Data'!F336</f>
        <v>740000</v>
      </c>
      <c r="J742" s="51">
        <f>'Schattenhofer, SI Data'!H336</f>
        <v>473600</v>
      </c>
      <c r="K742" s="51">
        <f>'Schattenhofer, SI Data'!M336</f>
        <v>19980</v>
      </c>
      <c r="L742" s="51">
        <f>J742+K742</f>
        <v>493580</v>
      </c>
      <c r="M742" s="63">
        <f>L742/I742</f>
        <v>0.66700000000000004</v>
      </c>
      <c r="N742" s="63">
        <f>K742/L742</f>
        <v>4.0479760119940027E-2</v>
      </c>
      <c r="O742" s="63" t="s">
        <v>396</v>
      </c>
      <c r="P742" s="51" t="s">
        <v>416</v>
      </c>
      <c r="Q742" s="51" t="s">
        <v>534</v>
      </c>
      <c r="R742" s="51" t="s">
        <v>246</v>
      </c>
      <c r="S742" s="51" t="s">
        <v>909</v>
      </c>
      <c r="T742" s="20" t="s">
        <v>317</v>
      </c>
      <c r="U742" s="20" t="s">
        <v>318</v>
      </c>
      <c r="V742" s="20" t="s">
        <v>444</v>
      </c>
    </row>
    <row r="743" spans="1:22">
      <c r="A743" s="20" t="s">
        <v>500</v>
      </c>
      <c r="B743" s="20">
        <f>'Schattenhofer, SI Data'!A169</f>
        <v>28</v>
      </c>
      <c r="C743" s="20">
        <f>'Schattenhofer, SI Data'!E169</f>
        <v>68</v>
      </c>
      <c r="I743" s="51">
        <f>'Schattenhofer, SI Data'!F169</f>
        <v>1700000</v>
      </c>
      <c r="J743" s="51">
        <f>'Schattenhofer, SI Data'!H169</f>
        <v>1166199.9999999998</v>
      </c>
      <c r="K743" s="51">
        <f>'Schattenhofer, SI Data'!M169</f>
        <v>3400</v>
      </c>
      <c r="L743" s="51">
        <f>J743+K743</f>
        <v>1169599.9999999998</v>
      </c>
      <c r="M743" s="63">
        <f>L743/I743</f>
        <v>0.68799999999999983</v>
      </c>
      <c r="N743" s="63">
        <f>K743/L743</f>
        <v>2.9069767441860469E-3</v>
      </c>
      <c r="O743" s="63" t="s">
        <v>396</v>
      </c>
      <c r="P743" s="51" t="s">
        <v>416</v>
      </c>
      <c r="Q743" s="51" t="s">
        <v>534</v>
      </c>
      <c r="R743" s="51" t="s">
        <v>246</v>
      </c>
      <c r="S743" s="51" t="s">
        <v>909</v>
      </c>
      <c r="T743" s="20" t="s">
        <v>317</v>
      </c>
      <c r="U743" s="20" t="s">
        <v>318</v>
      </c>
      <c r="V743" s="20" t="s">
        <v>444</v>
      </c>
    </row>
    <row r="744" spans="1:22">
      <c r="A744" s="20" t="s">
        <v>500</v>
      </c>
      <c r="B744" s="20">
        <f>'Schattenhofer, SI Data'!A215</f>
        <v>35</v>
      </c>
      <c r="C744" s="20">
        <f>'Schattenhofer, SI Data'!E215</f>
        <v>68</v>
      </c>
      <c r="I744" s="51">
        <f>'Schattenhofer, SI Data'!F215</f>
        <v>860000</v>
      </c>
      <c r="J744" s="51">
        <f>'Schattenhofer, SI Data'!H215</f>
        <v>610600</v>
      </c>
      <c r="K744" s="51">
        <f>'Schattenhofer, SI Data'!M215</f>
        <v>79979.999999999985</v>
      </c>
      <c r="L744" s="51">
        <f>J744+K744</f>
        <v>690580</v>
      </c>
      <c r="M744" s="63">
        <f>L744/I744</f>
        <v>0.80300000000000005</v>
      </c>
      <c r="N744" s="63">
        <f>K744/L744</f>
        <v>0.11581569115815689</v>
      </c>
      <c r="O744" s="63" t="s">
        <v>396</v>
      </c>
      <c r="P744" s="51" t="s">
        <v>416</v>
      </c>
      <c r="Q744" s="51" t="s">
        <v>534</v>
      </c>
      <c r="R744" s="51" t="s">
        <v>246</v>
      </c>
      <c r="S744" s="51" t="s">
        <v>909</v>
      </c>
      <c r="T744" s="20" t="s">
        <v>317</v>
      </c>
      <c r="U744" s="20" t="s">
        <v>318</v>
      </c>
      <c r="V744" s="20" t="s">
        <v>444</v>
      </c>
    </row>
    <row r="745" spans="1:22">
      <c r="A745" s="20" t="s">
        <v>500</v>
      </c>
      <c r="B745" s="20">
        <f>'Schattenhofer, SI Data'!A354</f>
        <v>59</v>
      </c>
      <c r="C745" s="20">
        <f>'Schattenhofer, SI Data'!E354</f>
        <v>68</v>
      </c>
      <c r="I745" s="51">
        <f>'Schattenhofer, SI Data'!F354</f>
        <v>1300000</v>
      </c>
      <c r="J745" s="51">
        <f>'Schattenhofer, SI Data'!H354</f>
        <v>852800</v>
      </c>
      <c r="K745" s="51">
        <f>'Schattenhofer, SI Data'!M354</f>
        <v>19500</v>
      </c>
      <c r="L745" s="51">
        <f>J745+K745</f>
        <v>872300</v>
      </c>
      <c r="M745" s="63">
        <f>L745/I745</f>
        <v>0.67100000000000004</v>
      </c>
      <c r="N745" s="63">
        <f>K745/L745</f>
        <v>2.2354694485842028E-2</v>
      </c>
      <c r="O745" s="63" t="s">
        <v>396</v>
      </c>
      <c r="P745" s="51" t="s">
        <v>416</v>
      </c>
      <c r="Q745" s="51" t="s">
        <v>534</v>
      </c>
      <c r="R745" s="51" t="s">
        <v>246</v>
      </c>
      <c r="S745" s="51" t="s">
        <v>909</v>
      </c>
      <c r="T745" s="20" t="s">
        <v>317</v>
      </c>
      <c r="U745" s="20" t="s">
        <v>318</v>
      </c>
      <c r="V745" s="20" t="s">
        <v>444</v>
      </c>
    </row>
    <row r="746" spans="1:22">
      <c r="A746" s="20" t="s">
        <v>500</v>
      </c>
      <c r="B746" s="20">
        <f>'Schattenhofer, SI Data'!A37</f>
        <v>6</v>
      </c>
      <c r="C746" s="20">
        <f>'Schattenhofer, SI Data'!E37</f>
        <v>70</v>
      </c>
      <c r="I746" s="51">
        <f>'Schattenhofer, SI Data'!F37</f>
        <v>690000</v>
      </c>
      <c r="J746" s="51">
        <f>'Schattenhofer, SI Data'!H37</f>
        <v>429870</v>
      </c>
      <c r="K746" s="51">
        <f>'Schattenhofer, SI Data'!M37</f>
        <v>8970</v>
      </c>
      <c r="L746" s="51">
        <f>J746+K746</f>
        <v>438840</v>
      </c>
      <c r="M746" s="63">
        <f>L746/I746</f>
        <v>0.63600000000000001</v>
      </c>
      <c r="N746" s="63">
        <f>K746/L746</f>
        <v>2.0440251572327043E-2</v>
      </c>
      <c r="O746" s="63" t="s">
        <v>396</v>
      </c>
      <c r="P746" s="51" t="s">
        <v>416</v>
      </c>
      <c r="Q746" s="51" t="s">
        <v>534</v>
      </c>
      <c r="R746" s="51" t="s">
        <v>246</v>
      </c>
      <c r="S746" s="51" t="s">
        <v>909</v>
      </c>
      <c r="T746" s="20" t="s">
        <v>317</v>
      </c>
      <c r="U746" s="20" t="s">
        <v>318</v>
      </c>
      <c r="V746" s="20" t="s">
        <v>444</v>
      </c>
    </row>
    <row r="747" spans="1:22">
      <c r="A747" s="20" t="s">
        <v>500</v>
      </c>
      <c r="B747" s="20">
        <f>'Schattenhofer, SI Data'!A204</f>
        <v>33</v>
      </c>
      <c r="C747" s="20">
        <f>'Schattenhofer, SI Data'!E204</f>
        <v>70</v>
      </c>
      <c r="I747" s="51">
        <f>'Schattenhofer, SI Data'!F204</f>
        <v>550000</v>
      </c>
      <c r="J747" s="51">
        <f>'Schattenhofer, SI Data'!H204</f>
        <v>372350</v>
      </c>
      <c r="K747" s="51">
        <f>'Schattenhofer, SI Data'!M204</f>
        <v>59950</v>
      </c>
      <c r="L747" s="51">
        <f>J747+K747</f>
        <v>432300</v>
      </c>
      <c r="M747" s="63">
        <f>L747/I747</f>
        <v>0.78600000000000003</v>
      </c>
      <c r="N747" s="63">
        <f>K747/L747</f>
        <v>0.138676844783715</v>
      </c>
      <c r="O747" s="63" t="s">
        <v>396</v>
      </c>
      <c r="P747" s="51" t="s">
        <v>416</v>
      </c>
      <c r="Q747" s="51" t="s">
        <v>534</v>
      </c>
      <c r="R747" s="51" t="s">
        <v>246</v>
      </c>
      <c r="S747" s="51" t="s">
        <v>909</v>
      </c>
      <c r="T747" s="20" t="s">
        <v>317</v>
      </c>
      <c r="U747" s="20" t="s">
        <v>318</v>
      </c>
      <c r="V747" s="20" t="s">
        <v>444</v>
      </c>
    </row>
    <row r="748" spans="1:22">
      <c r="A748" s="20" t="s">
        <v>500</v>
      </c>
      <c r="B748" s="20">
        <f>'Schattenhofer, SI Data'!A311</f>
        <v>51</v>
      </c>
      <c r="C748" s="20">
        <f>'Schattenhofer, SI Data'!E311</f>
        <v>70</v>
      </c>
      <c r="I748" s="51">
        <f>'Schattenhofer, SI Data'!F311</f>
        <v>1100000</v>
      </c>
      <c r="J748" s="51">
        <f>'Schattenhofer, SI Data'!H311</f>
        <v>699600</v>
      </c>
      <c r="K748" s="51">
        <f>'Schattenhofer, SI Data'!M311</f>
        <v>102300</v>
      </c>
      <c r="L748" s="51">
        <f>J748+K748</f>
        <v>801900</v>
      </c>
      <c r="M748" s="63">
        <f>L748/I748</f>
        <v>0.72899999999999998</v>
      </c>
      <c r="N748" s="63">
        <f>K748/L748</f>
        <v>0.12757201646090535</v>
      </c>
      <c r="O748" s="63" t="s">
        <v>396</v>
      </c>
      <c r="P748" s="51" t="s">
        <v>416</v>
      </c>
      <c r="Q748" s="51" t="s">
        <v>534</v>
      </c>
      <c r="R748" s="51" t="s">
        <v>246</v>
      </c>
      <c r="S748" s="51" t="s">
        <v>909</v>
      </c>
      <c r="T748" s="20" t="s">
        <v>317</v>
      </c>
      <c r="U748" s="20" t="s">
        <v>318</v>
      </c>
      <c r="V748" s="20" t="s">
        <v>444</v>
      </c>
    </row>
    <row r="749" spans="1:22">
      <c r="A749" s="20" t="s">
        <v>500</v>
      </c>
      <c r="B749" s="20">
        <f>'Schattenhofer, SI Data'!A343</f>
        <v>57</v>
      </c>
      <c r="C749" s="20">
        <f>'Schattenhofer, SI Data'!E343</f>
        <v>70</v>
      </c>
      <c r="I749" s="51">
        <f>'Schattenhofer, SI Data'!F343</f>
        <v>1100000</v>
      </c>
      <c r="J749" s="51">
        <f>'Schattenhofer, SI Data'!H343</f>
        <v>709500</v>
      </c>
      <c r="K749" s="51">
        <f>'Schattenhofer, SI Data'!M343</f>
        <v>89100</v>
      </c>
      <c r="L749" s="51">
        <f>J749+K749</f>
        <v>798600</v>
      </c>
      <c r="M749" s="63">
        <f>L749/I749</f>
        <v>0.72599999999999998</v>
      </c>
      <c r="N749" s="63">
        <f>K749/L749</f>
        <v>0.1115702479338843</v>
      </c>
      <c r="O749" s="63" t="s">
        <v>396</v>
      </c>
      <c r="P749" s="51" t="s">
        <v>416</v>
      </c>
      <c r="Q749" s="51" t="s">
        <v>534</v>
      </c>
      <c r="R749" s="51" t="s">
        <v>246</v>
      </c>
      <c r="S749" s="51" t="s">
        <v>909</v>
      </c>
      <c r="T749" s="20" t="s">
        <v>317</v>
      </c>
      <c r="U749" s="20" t="s">
        <v>318</v>
      </c>
      <c r="V749" s="20" t="s">
        <v>444</v>
      </c>
    </row>
    <row r="750" spans="1:22">
      <c r="A750" s="20" t="s">
        <v>500</v>
      </c>
      <c r="B750" s="20">
        <f>'Schattenhofer, SI Data'!A304</f>
        <v>50</v>
      </c>
      <c r="C750" s="20">
        <f>'Schattenhofer, SI Data'!E304</f>
        <v>74</v>
      </c>
      <c r="I750" s="51">
        <f>'Schattenhofer, SI Data'!F304</f>
        <v>1300000</v>
      </c>
      <c r="J750" s="51">
        <f>'Schattenhofer, SI Data'!H304</f>
        <v>971100</v>
      </c>
      <c r="K750" s="51">
        <f>'Schattenhofer, SI Data'!M304</f>
        <v>14300</v>
      </c>
      <c r="L750" s="51">
        <f>J750+K750</f>
        <v>985400</v>
      </c>
      <c r="M750" s="63">
        <f>L750/I750</f>
        <v>0.75800000000000001</v>
      </c>
      <c r="N750" s="63">
        <f>K750/L750</f>
        <v>1.4511873350923483E-2</v>
      </c>
      <c r="O750" s="63" t="s">
        <v>396</v>
      </c>
      <c r="P750" s="51" t="s">
        <v>416</v>
      </c>
      <c r="Q750" s="51" t="s">
        <v>534</v>
      </c>
      <c r="R750" s="51" t="s">
        <v>246</v>
      </c>
      <c r="S750" s="51" t="s">
        <v>909</v>
      </c>
      <c r="T750" s="20" t="s">
        <v>317</v>
      </c>
      <c r="U750" s="20" t="s">
        <v>318</v>
      </c>
      <c r="V750" s="20" t="s">
        <v>444</v>
      </c>
    </row>
    <row r="751" spans="1:22">
      <c r="A751" s="20" t="s">
        <v>500</v>
      </c>
      <c r="B751" s="20">
        <f>'Schattenhofer, SI Data'!A163</f>
        <v>27</v>
      </c>
      <c r="C751" s="20">
        <f>'Schattenhofer, SI Data'!E163</f>
        <v>75</v>
      </c>
      <c r="I751" s="51">
        <f>'Schattenhofer, SI Data'!F163</f>
        <v>920000</v>
      </c>
      <c r="J751" s="51">
        <f>'Schattenhofer, SI Data'!H163</f>
        <v>655040</v>
      </c>
      <c r="K751" s="51">
        <f>'Schattenhofer, SI Data'!M163</f>
        <v>48760</v>
      </c>
      <c r="L751" s="51">
        <f>J751+K751</f>
        <v>703800</v>
      </c>
      <c r="M751" s="63">
        <f>L751/I751</f>
        <v>0.76500000000000001</v>
      </c>
      <c r="N751" s="63">
        <f>K751/L751</f>
        <v>6.9281045751633991E-2</v>
      </c>
      <c r="O751" s="63" t="s">
        <v>396</v>
      </c>
      <c r="P751" s="51" t="s">
        <v>416</v>
      </c>
      <c r="Q751" s="51" t="s">
        <v>534</v>
      </c>
      <c r="R751" s="51" t="s">
        <v>246</v>
      </c>
      <c r="S751" s="51" t="s">
        <v>909</v>
      </c>
      <c r="T751" s="20" t="s">
        <v>317</v>
      </c>
      <c r="U751" s="20" t="s">
        <v>318</v>
      </c>
      <c r="V751" s="20" t="s">
        <v>444</v>
      </c>
    </row>
    <row r="752" spans="1:22">
      <c r="A752" s="20" t="s">
        <v>500</v>
      </c>
      <c r="B752" s="20">
        <f>'Schattenhofer, SI Data'!A221</f>
        <v>37</v>
      </c>
      <c r="C752" s="20">
        <f>'Schattenhofer, SI Data'!E221</f>
        <v>75</v>
      </c>
      <c r="I752" s="51">
        <f>'Schattenhofer, SI Data'!F221</f>
        <v>910000</v>
      </c>
      <c r="J752" s="51">
        <f>'Schattenhofer, SI Data'!H221</f>
        <v>706160</v>
      </c>
      <c r="K752" s="51">
        <f>'Schattenhofer, SI Data'!M221</f>
        <v>45500</v>
      </c>
      <c r="L752" s="51">
        <f>J752+K752</f>
        <v>751660</v>
      </c>
      <c r="M752" s="63">
        <f>L752/I752</f>
        <v>0.82599999999999996</v>
      </c>
      <c r="N752" s="63">
        <f>K752/L752</f>
        <v>6.0532687651331719E-2</v>
      </c>
      <c r="O752" s="63" t="s">
        <v>396</v>
      </c>
      <c r="P752" s="51" t="s">
        <v>416</v>
      </c>
      <c r="Q752" s="51" t="s">
        <v>534</v>
      </c>
      <c r="R752" s="51" t="s">
        <v>246</v>
      </c>
      <c r="S752" s="51" t="s">
        <v>909</v>
      </c>
      <c r="T752" s="20" t="s">
        <v>317</v>
      </c>
      <c r="U752" s="20" t="s">
        <v>318</v>
      </c>
      <c r="V752" s="20" t="s">
        <v>444</v>
      </c>
    </row>
    <row r="753" spans="1:22">
      <c r="A753" s="20" t="s">
        <v>500</v>
      </c>
      <c r="B753" s="20">
        <f>'Schattenhofer, SI Data'!A315</f>
        <v>52</v>
      </c>
      <c r="C753" s="20">
        <f>'Schattenhofer, SI Data'!E315</f>
        <v>75</v>
      </c>
      <c r="I753" s="51">
        <f>'Schattenhofer, SI Data'!F315</f>
        <v>1200000</v>
      </c>
      <c r="J753" s="51">
        <f>'Schattenhofer, SI Data'!H315</f>
        <v>938400</v>
      </c>
      <c r="K753" s="51">
        <f>'Schattenhofer, SI Data'!M315</f>
        <v>0</v>
      </c>
      <c r="L753" s="51">
        <f>J753+K753</f>
        <v>938400</v>
      </c>
      <c r="M753" s="63">
        <f>L753/I753</f>
        <v>0.78200000000000003</v>
      </c>
      <c r="N753" s="63">
        <f>K753/L753</f>
        <v>0</v>
      </c>
      <c r="O753" s="63" t="s">
        <v>396</v>
      </c>
      <c r="P753" s="51" t="s">
        <v>416</v>
      </c>
      <c r="Q753" s="51" t="s">
        <v>534</v>
      </c>
      <c r="R753" s="51" t="s">
        <v>246</v>
      </c>
      <c r="S753" s="51" t="s">
        <v>909</v>
      </c>
      <c r="T753" s="20" t="s">
        <v>317</v>
      </c>
      <c r="U753" s="20" t="s">
        <v>318</v>
      </c>
      <c r="V753" s="20" t="s">
        <v>444</v>
      </c>
    </row>
    <row r="754" spans="1:22">
      <c r="A754" s="20" t="s">
        <v>500</v>
      </c>
      <c r="B754" s="20">
        <f>'Schattenhofer, SI Data'!A355</f>
        <v>59</v>
      </c>
      <c r="C754" s="20">
        <f>'Schattenhofer, SI Data'!E355</f>
        <v>75</v>
      </c>
      <c r="I754" s="51">
        <f>'Schattenhofer, SI Data'!F355</f>
        <v>1100000</v>
      </c>
      <c r="J754" s="51">
        <f>'Schattenhofer, SI Data'!H355</f>
        <v>655600</v>
      </c>
      <c r="K754" s="51">
        <f>'Schattenhofer, SI Data'!M355</f>
        <v>74800</v>
      </c>
      <c r="L754" s="51">
        <f>J754+K754</f>
        <v>730400</v>
      </c>
      <c r="M754" s="63">
        <f>L754/I754</f>
        <v>0.66400000000000003</v>
      </c>
      <c r="N754" s="63">
        <f>K754/L754</f>
        <v>0.10240963855421686</v>
      </c>
      <c r="O754" s="63" t="s">
        <v>396</v>
      </c>
      <c r="P754" s="51" t="s">
        <v>416</v>
      </c>
      <c r="Q754" s="51" t="s">
        <v>534</v>
      </c>
      <c r="R754" s="51" t="s">
        <v>246</v>
      </c>
      <c r="S754" s="51" t="s">
        <v>909</v>
      </c>
      <c r="T754" s="20" t="s">
        <v>317</v>
      </c>
      <c r="U754" s="20" t="s">
        <v>318</v>
      </c>
      <c r="V754" s="20" t="s">
        <v>444</v>
      </c>
    </row>
    <row r="755" spans="1:22">
      <c r="A755" s="20" t="s">
        <v>500</v>
      </c>
      <c r="B755" s="20">
        <f>'Schattenhofer, SI Data'!A156</f>
        <v>26</v>
      </c>
      <c r="C755" s="20">
        <f>'Schattenhofer, SI Data'!E156</f>
        <v>78</v>
      </c>
      <c r="I755" s="51">
        <f>'Schattenhofer, SI Data'!F156</f>
        <v>1100000</v>
      </c>
      <c r="J755" s="51">
        <f>'Schattenhofer, SI Data'!H156</f>
        <v>761200</v>
      </c>
      <c r="K755" s="51">
        <f>'Schattenhofer, SI Data'!M156</f>
        <v>3300</v>
      </c>
      <c r="L755" s="51">
        <f>J755+K755</f>
        <v>764500</v>
      </c>
      <c r="M755" s="63">
        <f>L755/I755</f>
        <v>0.69499999999999995</v>
      </c>
      <c r="N755" s="63">
        <f>K755/L755</f>
        <v>4.3165467625899279E-3</v>
      </c>
      <c r="O755" s="63" t="s">
        <v>396</v>
      </c>
      <c r="P755" s="51" t="s">
        <v>416</v>
      </c>
      <c r="Q755" s="51" t="s">
        <v>534</v>
      </c>
      <c r="R755" s="51" t="s">
        <v>246</v>
      </c>
      <c r="S755" s="51" t="s">
        <v>909</v>
      </c>
      <c r="T755" s="20" t="s">
        <v>317</v>
      </c>
      <c r="U755" s="20" t="s">
        <v>318</v>
      </c>
      <c r="V755" s="20" t="s">
        <v>444</v>
      </c>
    </row>
    <row r="756" spans="1:22">
      <c r="A756" s="20" t="s">
        <v>500</v>
      </c>
      <c r="B756" s="20">
        <f>'Schattenhofer, SI Data'!A330</f>
        <v>54</v>
      </c>
      <c r="C756" s="20">
        <f>'Schattenhofer, SI Data'!E330</f>
        <v>78</v>
      </c>
      <c r="I756" s="51">
        <f>'Schattenhofer, SI Data'!F330</f>
        <v>1000000</v>
      </c>
      <c r="J756" s="51">
        <f>'Schattenhofer, SI Data'!H330</f>
        <v>746000</v>
      </c>
      <c r="K756" s="51">
        <f>'Schattenhofer, SI Data'!M330</f>
        <v>19000</v>
      </c>
      <c r="L756" s="51">
        <f>J756+K756</f>
        <v>765000</v>
      </c>
      <c r="M756" s="63">
        <f>L756/I756</f>
        <v>0.76500000000000001</v>
      </c>
      <c r="N756" s="63">
        <f>K756/L756</f>
        <v>2.4836601307189541E-2</v>
      </c>
      <c r="O756" s="63" t="s">
        <v>396</v>
      </c>
      <c r="P756" s="51" t="s">
        <v>416</v>
      </c>
      <c r="Q756" s="51" t="s">
        <v>534</v>
      </c>
      <c r="R756" s="51" t="s">
        <v>246</v>
      </c>
      <c r="S756" s="51" t="s">
        <v>909</v>
      </c>
      <c r="T756" s="20" t="s">
        <v>317</v>
      </c>
      <c r="U756" s="20" t="s">
        <v>318</v>
      </c>
      <c r="V756" s="20" t="s">
        <v>444</v>
      </c>
    </row>
    <row r="757" spans="1:22">
      <c r="A757" s="20" t="s">
        <v>500</v>
      </c>
      <c r="B757" s="20">
        <f>'Schattenhofer, SI Data'!A32</f>
        <v>5</v>
      </c>
      <c r="C757" s="20">
        <f>'Schattenhofer, SI Data'!E32</f>
        <v>80</v>
      </c>
      <c r="I757" s="51">
        <f>'Schattenhofer, SI Data'!F32</f>
        <v>830000</v>
      </c>
      <c r="J757" s="51">
        <f>'Schattenhofer, SI Data'!H32</f>
        <v>553610</v>
      </c>
      <c r="K757" s="51">
        <f>'Schattenhofer, SI Data'!M32</f>
        <v>5810</v>
      </c>
      <c r="L757" s="51">
        <f>J757+K757</f>
        <v>559420</v>
      </c>
      <c r="M757" s="63">
        <f>L757/I757</f>
        <v>0.67400000000000004</v>
      </c>
      <c r="N757" s="63">
        <f>K757/L757</f>
        <v>1.0385756676557863E-2</v>
      </c>
      <c r="O757" s="63" t="s">
        <v>396</v>
      </c>
      <c r="P757" s="51" t="s">
        <v>416</v>
      </c>
      <c r="Q757" s="51" t="s">
        <v>534</v>
      </c>
      <c r="R757" s="51" t="s">
        <v>246</v>
      </c>
      <c r="S757" s="51" t="s">
        <v>909</v>
      </c>
      <c r="T757" s="20" t="s">
        <v>317</v>
      </c>
      <c r="U757" s="20" t="s">
        <v>318</v>
      </c>
      <c r="V757" s="20" t="s">
        <v>444</v>
      </c>
    </row>
    <row r="758" spans="1:22">
      <c r="A758" s="20" t="s">
        <v>500</v>
      </c>
      <c r="B758" s="20">
        <f>'Schattenhofer, SI Data'!A43</f>
        <v>7</v>
      </c>
      <c r="C758" s="20">
        <f>'Schattenhofer, SI Data'!E43</f>
        <v>80</v>
      </c>
      <c r="I758" s="51">
        <f>'Schattenhofer, SI Data'!F43</f>
        <v>470000</v>
      </c>
      <c r="J758" s="51">
        <f>'Schattenhofer, SI Data'!H43</f>
        <v>289990</v>
      </c>
      <c r="K758" s="51">
        <f>'Schattenhofer, SI Data'!M43</f>
        <v>4700</v>
      </c>
      <c r="L758" s="51">
        <f>J758+K758</f>
        <v>294690</v>
      </c>
      <c r="M758" s="63">
        <f>L758/I758</f>
        <v>0.627</v>
      </c>
      <c r="N758" s="63">
        <f>K758/L758</f>
        <v>1.5948963317384369E-2</v>
      </c>
      <c r="O758" s="63" t="s">
        <v>396</v>
      </c>
      <c r="P758" s="51" t="s">
        <v>416</v>
      </c>
      <c r="Q758" s="51" t="s">
        <v>534</v>
      </c>
      <c r="R758" s="51" t="s">
        <v>246</v>
      </c>
      <c r="S758" s="51" t="s">
        <v>909</v>
      </c>
      <c r="T758" s="20" t="s">
        <v>317</v>
      </c>
      <c r="U758" s="20" t="s">
        <v>318</v>
      </c>
      <c r="V758" s="20" t="s">
        <v>444</v>
      </c>
    </row>
    <row r="759" spans="1:22">
      <c r="A759" s="20" t="s">
        <v>500</v>
      </c>
      <c r="B759" s="20">
        <f>'Schattenhofer, SI Data'!A164</f>
        <v>27</v>
      </c>
      <c r="C759" s="20">
        <f>'Schattenhofer, SI Data'!E164</f>
        <v>80</v>
      </c>
      <c r="I759" s="51">
        <f>'Schattenhofer, SI Data'!F164</f>
        <v>780000</v>
      </c>
      <c r="J759" s="51">
        <f>'Schattenhofer, SI Data'!H164</f>
        <v>545220.00000000012</v>
      </c>
      <c r="K759" s="51">
        <f>'Schattenhofer, SI Data'!M164</f>
        <v>15600</v>
      </c>
      <c r="L759" s="51">
        <f>J759+K759</f>
        <v>560820.00000000012</v>
      </c>
      <c r="M759" s="63">
        <f>L759/I759</f>
        <v>0.71900000000000019</v>
      </c>
      <c r="N759" s="63">
        <f>K759/L759</f>
        <v>2.7816411682892901E-2</v>
      </c>
      <c r="O759" s="63" t="s">
        <v>396</v>
      </c>
      <c r="P759" s="51" t="s">
        <v>416</v>
      </c>
      <c r="Q759" s="51" t="s">
        <v>534</v>
      </c>
      <c r="R759" s="51" t="s">
        <v>246</v>
      </c>
      <c r="S759" s="51" t="s">
        <v>909</v>
      </c>
      <c r="T759" s="20" t="s">
        <v>317</v>
      </c>
      <c r="U759" s="20" t="s">
        <v>318</v>
      </c>
      <c r="V759" s="20" t="s">
        <v>444</v>
      </c>
    </row>
    <row r="760" spans="1:22">
      <c r="A760" s="20" t="s">
        <v>500</v>
      </c>
      <c r="B760" s="20">
        <f>'Schattenhofer, SI Data'!A189</f>
        <v>31</v>
      </c>
      <c r="C760" s="20">
        <f>'Schattenhofer, SI Data'!E189</f>
        <v>80</v>
      </c>
      <c r="I760" s="51">
        <f>'Schattenhofer, SI Data'!F189</f>
        <v>580000</v>
      </c>
      <c r="J760" s="51">
        <f>'Schattenhofer, SI Data'!H189</f>
        <v>403100</v>
      </c>
      <c r="K760" s="51">
        <f>'Schattenhofer, SI Data'!M189</f>
        <v>8700</v>
      </c>
      <c r="L760" s="51">
        <f>J760+K760</f>
        <v>411800</v>
      </c>
      <c r="M760" s="63">
        <f>L760/I760</f>
        <v>0.71</v>
      </c>
      <c r="N760" s="63">
        <f>K760/L760</f>
        <v>2.1126760563380281E-2</v>
      </c>
      <c r="O760" s="63" t="s">
        <v>396</v>
      </c>
      <c r="P760" s="51" t="s">
        <v>416</v>
      </c>
      <c r="Q760" s="51" t="s">
        <v>534</v>
      </c>
      <c r="R760" s="51" t="s">
        <v>246</v>
      </c>
      <c r="S760" s="51" t="s">
        <v>909</v>
      </c>
      <c r="T760" s="20" t="s">
        <v>317</v>
      </c>
      <c r="U760" s="20" t="s">
        <v>318</v>
      </c>
      <c r="V760" s="20" t="s">
        <v>444</v>
      </c>
    </row>
    <row r="761" spans="1:22">
      <c r="A761" s="20" t="s">
        <v>500</v>
      </c>
      <c r="B761" s="20">
        <f>'Schattenhofer, SI Data'!A195</f>
        <v>32</v>
      </c>
      <c r="C761" s="20">
        <f>'Schattenhofer, SI Data'!E195</f>
        <v>80</v>
      </c>
      <c r="I761" s="51">
        <f>'Schattenhofer, SI Data'!F195</f>
        <v>520000</v>
      </c>
      <c r="J761" s="51">
        <f>'Schattenhofer, SI Data'!H195</f>
        <v>337480</v>
      </c>
      <c r="K761" s="51">
        <f>'Schattenhofer, SI Data'!M195</f>
        <v>8840</v>
      </c>
      <c r="L761" s="51">
        <f>J761+K761</f>
        <v>346320</v>
      </c>
      <c r="M761" s="63">
        <f>L761/I761</f>
        <v>0.66600000000000004</v>
      </c>
      <c r="N761" s="63">
        <f>K761/L761</f>
        <v>2.5525525525525526E-2</v>
      </c>
      <c r="O761" s="63" t="s">
        <v>396</v>
      </c>
      <c r="P761" s="51" t="s">
        <v>416</v>
      </c>
      <c r="Q761" s="51" t="s">
        <v>534</v>
      </c>
      <c r="R761" s="51" t="s">
        <v>246</v>
      </c>
      <c r="S761" s="51" t="s">
        <v>909</v>
      </c>
      <c r="T761" s="20" t="s">
        <v>317</v>
      </c>
      <c r="U761" s="20" t="s">
        <v>318</v>
      </c>
      <c r="V761" s="20" t="s">
        <v>444</v>
      </c>
    </row>
    <row r="762" spans="1:22">
      <c r="A762" s="20" t="s">
        <v>500</v>
      </c>
      <c r="B762" s="20">
        <f>'Schattenhofer, SI Data'!A227</f>
        <v>38</v>
      </c>
      <c r="C762" s="20">
        <f>'Schattenhofer, SI Data'!E227</f>
        <v>80</v>
      </c>
      <c r="I762" s="51">
        <f>'Schattenhofer, SI Data'!F227</f>
        <v>540000</v>
      </c>
      <c r="J762" s="51">
        <f>'Schattenhofer, SI Data'!H227</f>
        <v>439020</v>
      </c>
      <c r="K762" s="51">
        <f>'Schattenhofer, SI Data'!M227</f>
        <v>11340</v>
      </c>
      <c r="L762" s="51">
        <f>J762+K762</f>
        <v>450360</v>
      </c>
      <c r="M762" s="63">
        <f>L762/I762</f>
        <v>0.83399999999999996</v>
      </c>
      <c r="N762" s="63">
        <f>K762/L762</f>
        <v>2.5179856115107913E-2</v>
      </c>
      <c r="O762" s="63" t="s">
        <v>396</v>
      </c>
      <c r="P762" s="51" t="s">
        <v>416</v>
      </c>
      <c r="Q762" s="51" t="s">
        <v>534</v>
      </c>
      <c r="R762" s="51" t="s">
        <v>246</v>
      </c>
      <c r="S762" s="51" t="s">
        <v>909</v>
      </c>
      <c r="T762" s="20" t="s">
        <v>317</v>
      </c>
      <c r="U762" s="20" t="s">
        <v>318</v>
      </c>
      <c r="V762" s="20" t="s">
        <v>444</v>
      </c>
    </row>
    <row r="763" spans="1:22">
      <c r="A763" s="20" t="s">
        <v>500</v>
      </c>
      <c r="B763" s="20">
        <f>'Schattenhofer, SI Data'!A253</f>
        <v>42</v>
      </c>
      <c r="C763" s="20">
        <f>'Schattenhofer, SI Data'!E253</f>
        <v>80</v>
      </c>
      <c r="I763" s="51">
        <f>'Schattenhofer, SI Data'!F253</f>
        <v>620000</v>
      </c>
      <c r="J763" s="51">
        <f>'Schattenhofer, SI Data'!H253</f>
        <v>508400</v>
      </c>
      <c r="K763" s="51">
        <f>'Schattenhofer, SI Data'!M253</f>
        <v>620</v>
      </c>
      <c r="L763" s="51">
        <f>J763+K763</f>
        <v>509020</v>
      </c>
      <c r="M763" s="63">
        <f>L763/I763</f>
        <v>0.82099999999999995</v>
      </c>
      <c r="N763" s="63">
        <f>K763/L763</f>
        <v>1.2180267965895249E-3</v>
      </c>
      <c r="O763" s="63" t="s">
        <v>396</v>
      </c>
      <c r="P763" s="51" t="s">
        <v>416</v>
      </c>
      <c r="Q763" s="51" t="s">
        <v>534</v>
      </c>
      <c r="R763" s="51" t="s">
        <v>246</v>
      </c>
      <c r="S763" s="51" t="s">
        <v>909</v>
      </c>
      <c r="T763" s="20" t="s">
        <v>317</v>
      </c>
      <c r="U763" s="20" t="s">
        <v>318</v>
      </c>
      <c r="V763" s="20" t="s">
        <v>444</v>
      </c>
    </row>
    <row r="764" spans="1:22">
      <c r="A764" s="20" t="s">
        <v>500</v>
      </c>
      <c r="B764" s="20">
        <f>'Schattenhofer, SI Data'!A297</f>
        <v>49</v>
      </c>
      <c r="C764" s="20">
        <f>'Schattenhofer, SI Data'!E297</f>
        <v>80</v>
      </c>
      <c r="I764" s="51">
        <f>'Schattenhofer, SI Data'!F297</f>
        <v>1100000</v>
      </c>
      <c r="J764" s="51">
        <f>'Schattenhofer, SI Data'!H297</f>
        <v>807400</v>
      </c>
      <c r="K764" s="51">
        <f>'Schattenhofer, SI Data'!M297</f>
        <v>30800</v>
      </c>
      <c r="L764" s="51">
        <f>J764+K764</f>
        <v>838200</v>
      </c>
      <c r="M764" s="63">
        <f>L764/I764</f>
        <v>0.76200000000000001</v>
      </c>
      <c r="N764" s="63">
        <f>K764/L764</f>
        <v>3.6745406824146981E-2</v>
      </c>
      <c r="O764" s="63" t="s">
        <v>396</v>
      </c>
      <c r="P764" s="51" t="s">
        <v>416</v>
      </c>
      <c r="Q764" s="51" t="s">
        <v>534</v>
      </c>
      <c r="R764" s="51" t="s">
        <v>246</v>
      </c>
      <c r="S764" s="51" t="s">
        <v>909</v>
      </c>
      <c r="T764" s="20" t="s">
        <v>317</v>
      </c>
      <c r="U764" s="20" t="s">
        <v>318</v>
      </c>
      <c r="V764" s="20" t="s">
        <v>444</v>
      </c>
    </row>
    <row r="765" spans="1:22">
      <c r="A765" s="20" t="s">
        <v>500</v>
      </c>
      <c r="B765" s="20">
        <f>'Schattenhofer, SI Data'!A323</f>
        <v>53</v>
      </c>
      <c r="C765" s="20">
        <f>'Schattenhofer, SI Data'!E323</f>
        <v>80</v>
      </c>
      <c r="I765" s="51">
        <f>'Schattenhofer, SI Data'!F323</f>
        <v>980000</v>
      </c>
      <c r="J765" s="51">
        <f>'Schattenhofer, SI Data'!H323</f>
        <v>722260</v>
      </c>
      <c r="K765" s="51">
        <f>'Schattenhofer, SI Data'!M323</f>
        <v>14700</v>
      </c>
      <c r="L765" s="51">
        <f>J765+K765</f>
        <v>736960</v>
      </c>
      <c r="M765" s="63">
        <f>L765/I765</f>
        <v>0.752</v>
      </c>
      <c r="N765" s="63">
        <f>K765/L765</f>
        <v>1.9946808510638299E-2</v>
      </c>
      <c r="O765" s="63" t="s">
        <v>396</v>
      </c>
      <c r="P765" s="51" t="s">
        <v>416</v>
      </c>
      <c r="Q765" s="51" t="s">
        <v>534</v>
      </c>
      <c r="R765" s="51" t="s">
        <v>246</v>
      </c>
      <c r="S765" s="51" t="s">
        <v>909</v>
      </c>
      <c r="T765" s="20" t="s">
        <v>317</v>
      </c>
      <c r="U765" s="20" t="s">
        <v>318</v>
      </c>
      <c r="V765" s="20" t="s">
        <v>444</v>
      </c>
    </row>
    <row r="766" spans="1:22">
      <c r="A766" s="20" t="s">
        <v>500</v>
      </c>
      <c r="B766" s="20">
        <f>'Schattenhofer, SI Data'!A337</f>
        <v>55</v>
      </c>
      <c r="C766" s="20">
        <f>'Schattenhofer, SI Data'!E337</f>
        <v>80</v>
      </c>
      <c r="I766" s="51">
        <f>'Schattenhofer, SI Data'!F337</f>
        <v>530000</v>
      </c>
      <c r="J766" s="51">
        <f>'Schattenhofer, SI Data'!H337</f>
        <v>289910</v>
      </c>
      <c r="K766" s="51">
        <f>'Schattenhofer, SI Data'!M337</f>
        <v>65190</v>
      </c>
      <c r="L766" s="51">
        <f>J766+K766</f>
        <v>355100</v>
      </c>
      <c r="M766" s="63">
        <f>L766/I766</f>
        <v>0.67</v>
      </c>
      <c r="N766" s="63">
        <f>K766/L766</f>
        <v>0.18358208955223881</v>
      </c>
      <c r="O766" s="63" t="s">
        <v>396</v>
      </c>
      <c r="P766" s="51" t="s">
        <v>416</v>
      </c>
      <c r="Q766" s="51" t="s">
        <v>534</v>
      </c>
      <c r="R766" s="51" t="s">
        <v>246</v>
      </c>
      <c r="S766" s="51" t="s">
        <v>909</v>
      </c>
      <c r="T766" s="20" t="s">
        <v>317</v>
      </c>
      <c r="U766" s="20" t="s">
        <v>318</v>
      </c>
      <c r="V766" s="20" t="s">
        <v>444</v>
      </c>
    </row>
    <row r="767" spans="1:22">
      <c r="A767" s="20" t="s">
        <v>500</v>
      </c>
      <c r="B767" s="20">
        <f>'Schattenhofer, SI Data'!A360</f>
        <v>60</v>
      </c>
      <c r="C767" s="20">
        <f>'Schattenhofer, SI Data'!E360</f>
        <v>80</v>
      </c>
      <c r="I767" s="51">
        <f>'Schattenhofer, SI Data'!F360</f>
        <v>1700000</v>
      </c>
      <c r="J767" s="51">
        <f>'Schattenhofer, SI Data'!H360</f>
        <v>1116900</v>
      </c>
      <c r="K767" s="51">
        <f>'Schattenhofer, SI Data'!M360</f>
        <v>6800</v>
      </c>
      <c r="L767" s="51">
        <f>J767+K767</f>
        <v>1123700</v>
      </c>
      <c r="M767" s="63">
        <f>L767/I767</f>
        <v>0.66100000000000003</v>
      </c>
      <c r="N767" s="63">
        <f>K767/L767</f>
        <v>6.0514372163388806E-3</v>
      </c>
      <c r="O767" s="63" t="s">
        <v>396</v>
      </c>
      <c r="P767" s="51" t="s">
        <v>416</v>
      </c>
      <c r="Q767" s="51" t="s">
        <v>534</v>
      </c>
      <c r="R767" s="51" t="s">
        <v>246</v>
      </c>
      <c r="S767" s="51" t="s">
        <v>909</v>
      </c>
      <c r="T767" s="20" t="s">
        <v>317</v>
      </c>
      <c r="U767" s="20" t="s">
        <v>318</v>
      </c>
      <c r="V767" s="20" t="s">
        <v>444</v>
      </c>
    </row>
    <row r="768" spans="1:22">
      <c r="A768" s="20" t="s">
        <v>500</v>
      </c>
      <c r="B768" s="20">
        <f>'Schattenhofer, SI Data'!A222</f>
        <v>37</v>
      </c>
      <c r="C768" s="20">
        <f>'Schattenhofer, SI Data'!E222</f>
        <v>82</v>
      </c>
      <c r="I768" s="51">
        <f>'Schattenhofer, SI Data'!F222</f>
        <v>540000</v>
      </c>
      <c r="J768" s="51">
        <f>'Schattenhofer, SI Data'!H222</f>
        <v>393660</v>
      </c>
      <c r="K768" s="51">
        <f>'Schattenhofer, SI Data'!M222</f>
        <v>41580</v>
      </c>
      <c r="L768" s="51">
        <f>J768+K768</f>
        <v>435240</v>
      </c>
      <c r="M768" s="63">
        <f>L768/I768</f>
        <v>0.80600000000000005</v>
      </c>
      <c r="N768" s="63">
        <f>K768/L768</f>
        <v>9.553349875930521E-2</v>
      </c>
      <c r="O768" s="63" t="s">
        <v>396</v>
      </c>
      <c r="P768" s="51" t="s">
        <v>416</v>
      </c>
      <c r="Q768" s="51" t="s">
        <v>534</v>
      </c>
      <c r="R768" s="51" t="s">
        <v>246</v>
      </c>
      <c r="S768" s="51" t="s">
        <v>909</v>
      </c>
      <c r="T768" s="20" t="s">
        <v>317</v>
      </c>
      <c r="U768" s="20" t="s">
        <v>318</v>
      </c>
      <c r="V768" s="20" t="s">
        <v>444</v>
      </c>
    </row>
    <row r="769" spans="1:22">
      <c r="A769" s="20" t="s">
        <v>316</v>
      </c>
      <c r="B769" s="20">
        <f>'Schattenhofer, SI Data'!A9</f>
        <v>1</v>
      </c>
      <c r="C769" s="20">
        <f>'Schattenhofer, SI Data'!E9</f>
        <v>85</v>
      </c>
      <c r="I769" s="51">
        <f>'Schattenhofer, SI Data'!F9</f>
        <v>760000</v>
      </c>
      <c r="J769" s="51">
        <f>'Schattenhofer, SI Data'!H9</f>
        <v>440800</v>
      </c>
      <c r="K769" s="51">
        <f>'Schattenhofer, SI Data'!M9</f>
        <v>44840</v>
      </c>
      <c r="L769" s="51">
        <f>J769+K769</f>
        <v>485640</v>
      </c>
      <c r="M769" s="63">
        <f>L769/I769</f>
        <v>0.63900000000000001</v>
      </c>
      <c r="N769" s="63">
        <f>K769/L769</f>
        <v>9.2331768388106417E-2</v>
      </c>
      <c r="O769" s="63" t="s">
        <v>396</v>
      </c>
      <c r="P769" s="51" t="s">
        <v>416</v>
      </c>
      <c r="Q769" s="51" t="s">
        <v>534</v>
      </c>
      <c r="R769" s="51" t="s">
        <v>246</v>
      </c>
      <c r="S769" s="51" t="s">
        <v>909</v>
      </c>
      <c r="T769" s="20" t="s">
        <v>317</v>
      </c>
      <c r="U769" s="20" t="s">
        <v>318</v>
      </c>
      <c r="V769" s="20" t="s">
        <v>444</v>
      </c>
    </row>
    <row r="770" spans="1:22">
      <c r="A770" s="20" t="s">
        <v>500</v>
      </c>
      <c r="B770" s="20">
        <f>'Schattenhofer, SI Data'!A86</f>
        <v>15</v>
      </c>
      <c r="C770" s="20">
        <f>'Schattenhofer, SI Data'!E86</f>
        <v>85</v>
      </c>
      <c r="I770" s="51">
        <f>'Schattenhofer, SI Data'!F86</f>
        <v>670000</v>
      </c>
      <c r="J770" s="51">
        <f>'Schattenhofer, SI Data'!H86</f>
        <v>481730.00000000006</v>
      </c>
      <c r="K770" s="51">
        <f>'Schattenhofer, SI Data'!M86</f>
        <v>8710</v>
      </c>
      <c r="L770" s="51">
        <f>J770+K770</f>
        <v>490440.00000000006</v>
      </c>
      <c r="M770" s="63">
        <f>L770/I770</f>
        <v>0.7320000000000001</v>
      </c>
      <c r="N770" s="63">
        <f>K770/L770</f>
        <v>1.7759562841530054E-2</v>
      </c>
      <c r="O770" s="63" t="s">
        <v>396</v>
      </c>
      <c r="P770" s="51" t="s">
        <v>416</v>
      </c>
      <c r="Q770" s="51" t="s">
        <v>534</v>
      </c>
      <c r="R770" s="51" t="s">
        <v>246</v>
      </c>
      <c r="S770" s="51" t="s">
        <v>909</v>
      </c>
      <c r="T770" s="20" t="s">
        <v>317</v>
      </c>
      <c r="U770" s="20" t="s">
        <v>318</v>
      </c>
      <c r="V770" s="20" t="s">
        <v>444</v>
      </c>
    </row>
    <row r="771" spans="1:22">
      <c r="A771" s="20" t="s">
        <v>500</v>
      </c>
      <c r="B771" s="20">
        <f>'Schattenhofer, SI Data'!A170</f>
        <v>28</v>
      </c>
      <c r="C771" s="20">
        <f>'Schattenhofer, SI Data'!E170</f>
        <v>85</v>
      </c>
      <c r="I771" s="51">
        <f>'Schattenhofer, SI Data'!F170</f>
        <v>680000</v>
      </c>
      <c r="J771" s="51">
        <f>'Schattenhofer, SI Data'!H170</f>
        <v>518160</v>
      </c>
      <c r="K771" s="51">
        <f>'Schattenhofer, SI Data'!M170</f>
        <v>42159.999999999993</v>
      </c>
      <c r="L771" s="51">
        <f>J771+K771</f>
        <v>560320</v>
      </c>
      <c r="M771" s="63">
        <f>L771/I771</f>
        <v>0.82399999999999995</v>
      </c>
      <c r="N771" s="63">
        <f>K771/L771</f>
        <v>7.5242718446601922E-2</v>
      </c>
      <c r="O771" s="63" t="s">
        <v>396</v>
      </c>
      <c r="P771" s="51" t="s">
        <v>416</v>
      </c>
      <c r="Q771" s="51" t="s">
        <v>534</v>
      </c>
      <c r="R771" s="51" t="s">
        <v>246</v>
      </c>
      <c r="S771" s="51" t="s">
        <v>909</v>
      </c>
      <c r="T771" s="20" t="s">
        <v>317</v>
      </c>
      <c r="U771" s="20" t="s">
        <v>318</v>
      </c>
      <c r="V771" s="20" t="s">
        <v>444</v>
      </c>
    </row>
    <row r="772" spans="1:22">
      <c r="A772" s="20" t="s">
        <v>500</v>
      </c>
      <c r="B772" s="20">
        <f>'Schattenhofer, SI Data'!A298</f>
        <v>49</v>
      </c>
      <c r="C772" s="20">
        <f>'Schattenhofer, SI Data'!E298</f>
        <v>85</v>
      </c>
      <c r="I772" s="51">
        <f>'Schattenhofer, SI Data'!F298</f>
        <v>510000</v>
      </c>
      <c r="J772" s="51">
        <f>'Schattenhofer, SI Data'!H298</f>
        <v>338640</v>
      </c>
      <c r="K772" s="51">
        <f>'Schattenhofer, SI Data'!M298</f>
        <v>18870</v>
      </c>
      <c r="L772" s="51">
        <f>J772+K772</f>
        <v>357510</v>
      </c>
      <c r="M772" s="63">
        <f>L772/I772</f>
        <v>0.70099999999999996</v>
      </c>
      <c r="N772" s="63">
        <f>K772/L772</f>
        <v>5.2781740370898715E-2</v>
      </c>
      <c r="O772" s="63" t="s">
        <v>396</v>
      </c>
      <c r="P772" s="51" t="s">
        <v>416</v>
      </c>
      <c r="Q772" s="51" t="s">
        <v>534</v>
      </c>
      <c r="R772" s="51" t="s">
        <v>246</v>
      </c>
      <c r="S772" s="51" t="s">
        <v>909</v>
      </c>
      <c r="T772" s="20" t="s">
        <v>317</v>
      </c>
      <c r="U772" s="20" t="s">
        <v>318</v>
      </c>
      <c r="V772" s="20" t="s">
        <v>444</v>
      </c>
    </row>
    <row r="773" spans="1:22">
      <c r="A773" s="20" t="s">
        <v>500</v>
      </c>
      <c r="B773" s="20">
        <f>'Schattenhofer, SI Data'!A223</f>
        <v>37</v>
      </c>
      <c r="C773" s="20">
        <f>'Schattenhofer, SI Data'!E223</f>
        <v>87</v>
      </c>
      <c r="I773" s="51">
        <f>'Schattenhofer, SI Data'!F223</f>
        <v>360000</v>
      </c>
      <c r="J773" s="51">
        <f>'Schattenhofer, SI Data'!H223</f>
        <v>264600</v>
      </c>
      <c r="K773" s="51">
        <f>'Schattenhofer, SI Data'!M223</f>
        <v>50400</v>
      </c>
      <c r="L773" s="51">
        <f>J773+K773</f>
        <v>315000</v>
      </c>
      <c r="M773" s="63">
        <f>L773/I773</f>
        <v>0.875</v>
      </c>
      <c r="N773" s="63">
        <f>K773/L773</f>
        <v>0.16</v>
      </c>
      <c r="O773" s="63" t="s">
        <v>396</v>
      </c>
      <c r="P773" s="51" t="s">
        <v>416</v>
      </c>
      <c r="Q773" s="51" t="s">
        <v>534</v>
      </c>
      <c r="R773" s="51" t="s">
        <v>246</v>
      </c>
      <c r="S773" s="51" t="s">
        <v>909</v>
      </c>
      <c r="T773" s="20" t="s">
        <v>317</v>
      </c>
      <c r="U773" s="20" t="s">
        <v>318</v>
      </c>
      <c r="V773" s="20" t="s">
        <v>444</v>
      </c>
    </row>
    <row r="774" spans="1:22">
      <c r="A774" s="20" t="s">
        <v>500</v>
      </c>
      <c r="B774" s="20">
        <f>'Schattenhofer, SI Data'!A157</f>
        <v>26</v>
      </c>
      <c r="C774" s="20">
        <f>'Schattenhofer, SI Data'!E157</f>
        <v>88</v>
      </c>
      <c r="I774" s="51">
        <f>'Schattenhofer, SI Data'!F157</f>
        <v>730000</v>
      </c>
      <c r="J774" s="51">
        <f>'Schattenhofer, SI Data'!H157</f>
        <v>479610</v>
      </c>
      <c r="K774" s="51">
        <f>'Schattenhofer, SI Data'!M157</f>
        <v>7300</v>
      </c>
      <c r="L774" s="51">
        <f>J774+K774</f>
        <v>486910</v>
      </c>
      <c r="M774" s="63">
        <f>L774/I774</f>
        <v>0.66700000000000004</v>
      </c>
      <c r="N774" s="63">
        <f>K774/L774</f>
        <v>1.4992503748125937E-2</v>
      </c>
      <c r="O774" s="63" t="s">
        <v>396</v>
      </c>
      <c r="P774" s="51" t="s">
        <v>416</v>
      </c>
      <c r="Q774" s="51" t="s">
        <v>534</v>
      </c>
      <c r="R774" s="51" t="s">
        <v>246</v>
      </c>
      <c r="S774" s="51" t="s">
        <v>909</v>
      </c>
      <c r="T774" s="20" t="s">
        <v>317</v>
      </c>
      <c r="U774" s="20" t="s">
        <v>318</v>
      </c>
      <c r="V774" s="20" t="s">
        <v>444</v>
      </c>
    </row>
    <row r="775" spans="1:22">
      <c r="A775" s="20" t="s">
        <v>500</v>
      </c>
      <c r="B775" s="20">
        <f>'Schattenhofer, SI Data'!A184</f>
        <v>30</v>
      </c>
      <c r="C775" s="20">
        <f>'Schattenhofer, SI Data'!E184</f>
        <v>90</v>
      </c>
      <c r="I775" s="51">
        <f>'Schattenhofer, SI Data'!F184</f>
        <v>940000</v>
      </c>
      <c r="J775" s="51">
        <f>'Schattenhofer, SI Data'!H184</f>
        <v>645780</v>
      </c>
      <c r="K775" s="51">
        <f>'Schattenhofer, SI Data'!M184</f>
        <v>35720</v>
      </c>
      <c r="L775" s="51">
        <f>J775+K775</f>
        <v>681500</v>
      </c>
      <c r="M775" s="63">
        <f>L775/I775</f>
        <v>0.72499999999999998</v>
      </c>
      <c r="N775" s="63">
        <f>K775/L775</f>
        <v>5.2413793103448278E-2</v>
      </c>
      <c r="O775" s="63" t="s">
        <v>396</v>
      </c>
      <c r="P775" s="51" t="s">
        <v>416</v>
      </c>
      <c r="Q775" s="51" t="s">
        <v>534</v>
      </c>
      <c r="R775" s="51" t="s">
        <v>246</v>
      </c>
      <c r="S775" s="51" t="s">
        <v>909</v>
      </c>
      <c r="T775" s="20" t="s">
        <v>317</v>
      </c>
      <c r="U775" s="20" t="s">
        <v>318</v>
      </c>
      <c r="V775" s="20" t="s">
        <v>444</v>
      </c>
    </row>
    <row r="776" spans="1:22">
      <c r="A776" s="20" t="s">
        <v>500</v>
      </c>
      <c r="B776" s="20">
        <f>'Schattenhofer, SI Data'!A233</f>
        <v>39</v>
      </c>
      <c r="C776" s="20">
        <f>'Schattenhofer, SI Data'!E233</f>
        <v>90</v>
      </c>
      <c r="I776" s="51">
        <f>'Schattenhofer, SI Data'!F233</f>
        <v>450000</v>
      </c>
      <c r="J776" s="51">
        <f>'Schattenhofer, SI Data'!H233</f>
        <v>338400</v>
      </c>
      <c r="K776" s="51">
        <f>'Schattenhofer, SI Data'!M233</f>
        <v>3600</v>
      </c>
      <c r="L776" s="51">
        <f>J776+K776</f>
        <v>342000</v>
      </c>
      <c r="M776" s="63">
        <f>L776/I776</f>
        <v>0.76</v>
      </c>
      <c r="N776" s="63">
        <f>K776/L776</f>
        <v>1.0526315789473684E-2</v>
      </c>
      <c r="O776" s="63" t="s">
        <v>396</v>
      </c>
      <c r="P776" s="51" t="s">
        <v>416</v>
      </c>
      <c r="Q776" s="51" t="s">
        <v>534</v>
      </c>
      <c r="R776" s="51" t="s">
        <v>246</v>
      </c>
      <c r="S776" s="51" t="s">
        <v>909</v>
      </c>
      <c r="T776" s="20" t="s">
        <v>317</v>
      </c>
      <c r="U776" s="20" t="s">
        <v>318</v>
      </c>
      <c r="V776" s="20" t="s">
        <v>444</v>
      </c>
    </row>
    <row r="777" spans="1:22">
      <c r="A777" s="20" t="s">
        <v>500</v>
      </c>
      <c r="B777" s="20">
        <f>'Schattenhofer, SI Data'!A316</f>
        <v>52</v>
      </c>
      <c r="C777" s="20">
        <f>'Schattenhofer, SI Data'!E316</f>
        <v>90</v>
      </c>
      <c r="I777" s="51">
        <f>'Schattenhofer, SI Data'!F316</f>
        <v>550000</v>
      </c>
      <c r="J777" s="51">
        <f>'Schattenhofer, SI Data'!H316</f>
        <v>424050</v>
      </c>
      <c r="K777" s="51">
        <f>'Schattenhofer, SI Data'!M316</f>
        <v>550</v>
      </c>
      <c r="L777" s="51">
        <f>J777+K777</f>
        <v>424600</v>
      </c>
      <c r="M777" s="63">
        <f>L777/I777</f>
        <v>0.77200000000000002</v>
      </c>
      <c r="N777" s="63">
        <f>K777/L777</f>
        <v>1.2953367875647669E-3</v>
      </c>
      <c r="O777" s="63" t="s">
        <v>396</v>
      </c>
      <c r="P777" s="51" t="s">
        <v>416</v>
      </c>
      <c r="Q777" s="51" t="s">
        <v>534</v>
      </c>
      <c r="R777" s="51" t="s">
        <v>246</v>
      </c>
      <c r="S777" s="51" t="s">
        <v>909</v>
      </c>
      <c r="T777" s="20" t="s">
        <v>317</v>
      </c>
      <c r="U777" s="20" t="s">
        <v>318</v>
      </c>
      <c r="V777" s="20" t="s">
        <v>444</v>
      </c>
    </row>
    <row r="778" spans="1:22">
      <c r="A778" s="20" t="s">
        <v>500</v>
      </c>
      <c r="B778" s="20">
        <f>'Schattenhofer, SI Data'!A324</f>
        <v>53</v>
      </c>
      <c r="C778" s="20">
        <f>'Schattenhofer, SI Data'!E324</f>
        <v>90</v>
      </c>
      <c r="I778" s="51">
        <f>'Schattenhofer, SI Data'!F324</f>
        <v>490000</v>
      </c>
      <c r="J778" s="51">
        <f>'Schattenhofer, SI Data'!H324</f>
        <v>339080</v>
      </c>
      <c r="K778" s="51">
        <f>'Schattenhofer, SI Data'!M324</f>
        <v>12250</v>
      </c>
      <c r="L778" s="51">
        <f>J778+K778</f>
        <v>351330</v>
      </c>
      <c r="M778" s="63">
        <f>L778/I778</f>
        <v>0.71699999999999997</v>
      </c>
      <c r="N778" s="63">
        <f>K778/L778</f>
        <v>3.4867503486750349E-2</v>
      </c>
      <c r="O778" s="63" t="s">
        <v>396</v>
      </c>
      <c r="P778" s="51" t="s">
        <v>416</v>
      </c>
      <c r="Q778" s="51" t="s">
        <v>534</v>
      </c>
      <c r="R778" s="51" t="s">
        <v>246</v>
      </c>
      <c r="S778" s="51" t="s">
        <v>909</v>
      </c>
      <c r="T778" s="20" t="s">
        <v>317</v>
      </c>
      <c r="U778" s="20" t="s">
        <v>318</v>
      </c>
      <c r="V778" s="20" t="s">
        <v>444</v>
      </c>
    </row>
    <row r="779" spans="1:22">
      <c r="A779" s="20" t="s">
        <v>500</v>
      </c>
      <c r="B779" s="20">
        <f>'Schattenhofer, SI Data'!A38</f>
        <v>6</v>
      </c>
      <c r="C779" s="20">
        <f>'Schattenhofer, SI Data'!E38</f>
        <v>95</v>
      </c>
      <c r="I779" s="51">
        <f>'Schattenhofer, SI Data'!F38</f>
        <v>450000</v>
      </c>
      <c r="J779" s="51">
        <f>'Schattenhofer, SI Data'!H38</f>
        <v>244800</v>
      </c>
      <c r="K779" s="51">
        <f>'Schattenhofer, SI Data'!M38</f>
        <v>10349.999999999998</v>
      </c>
      <c r="L779" s="51">
        <f>J779+K779</f>
        <v>255150</v>
      </c>
      <c r="M779" s="63">
        <f>L779/I779</f>
        <v>0.56699999999999995</v>
      </c>
      <c r="N779" s="63">
        <f>K779/L779</f>
        <v>4.0564373897707222E-2</v>
      </c>
      <c r="O779" s="63" t="s">
        <v>396</v>
      </c>
      <c r="P779" s="51" t="s">
        <v>416</v>
      </c>
      <c r="Q779" s="51" t="s">
        <v>534</v>
      </c>
      <c r="R779" s="51" t="s">
        <v>246</v>
      </c>
      <c r="S779" s="51" t="s">
        <v>909</v>
      </c>
      <c r="T779" s="20" t="s">
        <v>317</v>
      </c>
      <c r="U779" s="20" t="s">
        <v>318</v>
      </c>
      <c r="V779" s="20" t="s">
        <v>444</v>
      </c>
    </row>
    <row r="780" spans="1:22">
      <c r="A780" s="20" t="s">
        <v>500</v>
      </c>
      <c r="B780" s="20">
        <f>'Schattenhofer, SI Data'!A55</f>
        <v>9</v>
      </c>
      <c r="C780" s="20">
        <f>'Schattenhofer, SI Data'!E55</f>
        <v>95</v>
      </c>
      <c r="I780" s="51">
        <f>'Schattenhofer, SI Data'!F55</f>
        <v>630000</v>
      </c>
      <c r="J780" s="51">
        <f>'Schattenhofer, SI Data'!H55</f>
        <v>427140</v>
      </c>
      <c r="K780" s="51">
        <f>'Schattenhofer, SI Data'!M55</f>
        <v>630</v>
      </c>
      <c r="L780" s="51">
        <f>J780+K780</f>
        <v>427770</v>
      </c>
      <c r="M780" s="63">
        <f>L780/I780</f>
        <v>0.67900000000000005</v>
      </c>
      <c r="N780" s="63">
        <f>K780/L780</f>
        <v>1.4727540500736377E-3</v>
      </c>
      <c r="O780" s="63" t="s">
        <v>396</v>
      </c>
      <c r="P780" s="51" t="s">
        <v>416</v>
      </c>
      <c r="Q780" s="51" t="s">
        <v>534</v>
      </c>
      <c r="R780" s="51" t="s">
        <v>246</v>
      </c>
      <c r="S780" s="51" t="s">
        <v>909</v>
      </c>
      <c r="T780" s="20" t="s">
        <v>317</v>
      </c>
      <c r="U780" s="20" t="s">
        <v>318</v>
      </c>
      <c r="V780" s="20" t="s">
        <v>444</v>
      </c>
    </row>
    <row r="781" spans="1:22">
      <c r="A781" s="20" t="s">
        <v>500</v>
      </c>
      <c r="B781" s="20">
        <f>'Schattenhofer, SI Data'!A72</f>
        <v>13</v>
      </c>
      <c r="C781" s="20">
        <f>'Schattenhofer, SI Data'!E72</f>
        <v>95</v>
      </c>
      <c r="I781" s="51">
        <f>'Schattenhofer, SI Data'!F72</f>
        <v>670000</v>
      </c>
      <c r="J781" s="51">
        <f>'Schattenhofer, SI Data'!H72</f>
        <v>421430</v>
      </c>
      <c r="K781" s="51">
        <f>'Schattenhofer, SI Data'!M72</f>
        <v>2680</v>
      </c>
      <c r="L781" s="51">
        <f>J781+K781</f>
        <v>424110</v>
      </c>
      <c r="M781" s="63">
        <f>L781/I781</f>
        <v>0.63300000000000001</v>
      </c>
      <c r="N781" s="63">
        <f>K781/L781</f>
        <v>6.3191153238546603E-3</v>
      </c>
      <c r="O781" s="63" t="s">
        <v>396</v>
      </c>
      <c r="P781" s="51" t="s">
        <v>416</v>
      </c>
      <c r="Q781" s="51" t="s">
        <v>534</v>
      </c>
      <c r="R781" s="51" t="s">
        <v>246</v>
      </c>
      <c r="S781" s="51" t="s">
        <v>909</v>
      </c>
      <c r="T781" s="20" t="s">
        <v>317</v>
      </c>
      <c r="U781" s="20" t="s">
        <v>318</v>
      </c>
      <c r="V781" s="20" t="s">
        <v>444</v>
      </c>
    </row>
    <row r="782" spans="1:22">
      <c r="A782" s="20" t="s">
        <v>500</v>
      </c>
      <c r="B782" s="20">
        <f>'Schattenhofer, SI Data'!A148</f>
        <v>25</v>
      </c>
      <c r="C782" s="20">
        <f>'Schattenhofer, SI Data'!E148</f>
        <v>95</v>
      </c>
      <c r="I782" s="51">
        <f>'Schattenhofer, SI Data'!F148</f>
        <v>990000</v>
      </c>
      <c r="J782" s="51">
        <f>'Schattenhofer, SI Data'!H148</f>
        <v>693000</v>
      </c>
      <c r="K782" s="51">
        <f>'Schattenhofer, SI Data'!M148</f>
        <v>1980</v>
      </c>
      <c r="L782" s="51">
        <f>J782+K782</f>
        <v>694980</v>
      </c>
      <c r="M782" s="63">
        <f>L782/I782</f>
        <v>0.70199999999999996</v>
      </c>
      <c r="N782" s="63">
        <f>K782/L782</f>
        <v>2.8490028490028491E-3</v>
      </c>
      <c r="O782" s="63" t="s">
        <v>396</v>
      </c>
      <c r="P782" s="51" t="s">
        <v>416</v>
      </c>
      <c r="Q782" s="51" t="s">
        <v>534</v>
      </c>
      <c r="R782" s="51" t="s">
        <v>246</v>
      </c>
      <c r="S782" s="51" t="s">
        <v>909</v>
      </c>
      <c r="T782" s="20" t="s">
        <v>317</v>
      </c>
      <c r="U782" s="20" t="s">
        <v>318</v>
      </c>
      <c r="V782" s="20" t="s">
        <v>444</v>
      </c>
    </row>
    <row r="783" spans="1:22">
      <c r="A783" s="20" t="s">
        <v>500</v>
      </c>
      <c r="B783" s="20">
        <f>'Schattenhofer, SI Data'!A158</f>
        <v>26</v>
      </c>
      <c r="C783" s="20">
        <f>'Schattenhofer, SI Data'!E158</f>
        <v>95</v>
      </c>
      <c r="I783" s="51">
        <f>'Schattenhofer, SI Data'!F158</f>
        <v>740000</v>
      </c>
      <c r="J783" s="51">
        <f>'Schattenhofer, SI Data'!H158</f>
        <v>444740</v>
      </c>
      <c r="K783" s="51">
        <f>'Schattenhofer, SI Data'!M158</f>
        <v>59940</v>
      </c>
      <c r="L783" s="51">
        <f>J783+K783</f>
        <v>504680</v>
      </c>
      <c r="M783" s="63">
        <f>L783/I783</f>
        <v>0.68200000000000005</v>
      </c>
      <c r="N783" s="63">
        <f>K783/L783</f>
        <v>0.11876832844574781</v>
      </c>
      <c r="O783" s="63" t="s">
        <v>396</v>
      </c>
      <c r="P783" s="51" t="s">
        <v>416</v>
      </c>
      <c r="Q783" s="51" t="s">
        <v>534</v>
      </c>
      <c r="R783" s="51" t="s">
        <v>246</v>
      </c>
      <c r="S783" s="51" t="s">
        <v>909</v>
      </c>
      <c r="T783" s="20" t="s">
        <v>317</v>
      </c>
      <c r="U783" s="20" t="s">
        <v>318</v>
      </c>
      <c r="V783" s="20" t="s">
        <v>444</v>
      </c>
    </row>
    <row r="784" spans="1:22">
      <c r="A784" s="20" t="s">
        <v>500</v>
      </c>
      <c r="B784" s="20">
        <f>'Schattenhofer, SI Data'!A216</f>
        <v>35</v>
      </c>
      <c r="C784" s="20">
        <f>'Schattenhofer, SI Data'!E216</f>
        <v>95</v>
      </c>
      <c r="I784" s="51">
        <f>'Schattenhofer, SI Data'!F216</f>
        <v>430000</v>
      </c>
      <c r="J784" s="51">
        <f>'Schattenhofer, SI Data'!H216</f>
        <v>306590</v>
      </c>
      <c r="K784" s="51">
        <f>'Schattenhofer, SI Data'!M216</f>
        <v>33110</v>
      </c>
      <c r="L784" s="51">
        <f>J784+K784</f>
        <v>339700</v>
      </c>
      <c r="M784" s="63">
        <f>L784/I784</f>
        <v>0.79</v>
      </c>
      <c r="N784" s="63">
        <f>K784/L784</f>
        <v>9.7468354430379753E-2</v>
      </c>
      <c r="O784" s="63" t="s">
        <v>396</v>
      </c>
      <c r="P784" s="51" t="s">
        <v>416</v>
      </c>
      <c r="Q784" s="51" t="s">
        <v>534</v>
      </c>
      <c r="R784" s="51" t="s">
        <v>246</v>
      </c>
      <c r="S784" s="51" t="s">
        <v>909</v>
      </c>
      <c r="T784" s="20" t="s">
        <v>317</v>
      </c>
      <c r="U784" s="20" t="s">
        <v>318</v>
      </c>
      <c r="V784" s="20" t="s">
        <v>444</v>
      </c>
    </row>
    <row r="785" spans="1:22">
      <c r="A785" s="20" t="s">
        <v>500</v>
      </c>
      <c r="B785" s="20">
        <f>'Schattenhofer, SI Data'!A305</f>
        <v>50</v>
      </c>
      <c r="C785" s="20">
        <f>'Schattenhofer, SI Data'!E305</f>
        <v>95</v>
      </c>
      <c r="I785" s="51">
        <f>'Schattenhofer, SI Data'!F305</f>
        <v>800000</v>
      </c>
      <c r="J785" s="51">
        <f>'Schattenhofer, SI Data'!H305</f>
        <v>461600</v>
      </c>
      <c r="K785" s="51">
        <f>'Schattenhofer, SI Data'!M305</f>
        <v>48800</v>
      </c>
      <c r="L785" s="51">
        <f>J785+K785</f>
        <v>510400</v>
      </c>
      <c r="M785" s="63">
        <f>L785/I785</f>
        <v>0.63800000000000001</v>
      </c>
      <c r="N785" s="63">
        <f>K785/L785</f>
        <v>9.561128526645768E-2</v>
      </c>
      <c r="O785" s="63" t="s">
        <v>396</v>
      </c>
      <c r="P785" s="51" t="s">
        <v>416</v>
      </c>
      <c r="Q785" s="51" t="s">
        <v>534</v>
      </c>
      <c r="R785" s="51" t="s">
        <v>246</v>
      </c>
      <c r="S785" s="51" t="s">
        <v>909</v>
      </c>
      <c r="T785" s="20" t="s">
        <v>317</v>
      </c>
      <c r="U785" s="20" t="s">
        <v>318</v>
      </c>
      <c r="V785" s="20" t="s">
        <v>444</v>
      </c>
    </row>
    <row r="786" spans="1:22">
      <c r="A786" s="20" t="s">
        <v>500</v>
      </c>
      <c r="B786" s="20">
        <f>'Schattenhofer, SI Data'!A331</f>
        <v>54</v>
      </c>
      <c r="C786" s="20">
        <f>'Schattenhofer, SI Data'!E331</f>
        <v>95</v>
      </c>
      <c r="I786" s="51">
        <f>'Schattenhofer, SI Data'!F331</f>
        <v>620000</v>
      </c>
      <c r="J786" s="51">
        <f>'Schattenhofer, SI Data'!H331</f>
        <v>363320</v>
      </c>
      <c r="K786" s="51">
        <f>'Schattenhofer, SI Data'!M331</f>
        <v>56420</v>
      </c>
      <c r="L786" s="51">
        <f>J786+K786</f>
        <v>419740</v>
      </c>
      <c r="M786" s="63">
        <f>L786/I786</f>
        <v>0.67700000000000005</v>
      </c>
      <c r="N786" s="63">
        <f>K786/L786</f>
        <v>0.13441654357459379</v>
      </c>
      <c r="O786" s="63" t="s">
        <v>396</v>
      </c>
      <c r="P786" s="51" t="s">
        <v>416</v>
      </c>
      <c r="Q786" s="51" t="s">
        <v>534</v>
      </c>
      <c r="R786" s="51" t="s">
        <v>246</v>
      </c>
      <c r="S786" s="51" t="s">
        <v>909</v>
      </c>
      <c r="T786" s="20" t="s">
        <v>317</v>
      </c>
      <c r="U786" s="20" t="s">
        <v>318</v>
      </c>
      <c r="V786" s="20" t="s">
        <v>444</v>
      </c>
    </row>
    <row r="787" spans="1:22">
      <c r="A787" s="20" t="s">
        <v>500</v>
      </c>
      <c r="B787" s="20">
        <f>'Schattenhofer, SI Data'!A361</f>
        <v>60</v>
      </c>
      <c r="C787" s="20">
        <f>'Schattenhofer, SI Data'!E361</f>
        <v>95</v>
      </c>
      <c r="I787" s="51">
        <f>'Schattenhofer, SI Data'!F361</f>
        <v>1500000</v>
      </c>
      <c r="J787" s="51">
        <f>'Schattenhofer, SI Data'!H361</f>
        <v>921000</v>
      </c>
      <c r="K787" s="51">
        <f>'Schattenhofer, SI Data'!M361</f>
        <v>57000</v>
      </c>
      <c r="L787" s="51">
        <f>J787+K787</f>
        <v>978000</v>
      </c>
      <c r="M787" s="63">
        <f>L787/I787</f>
        <v>0.65200000000000002</v>
      </c>
      <c r="N787" s="63">
        <f>K787/L787</f>
        <v>5.8282208588957052E-2</v>
      </c>
      <c r="O787" s="63" t="s">
        <v>396</v>
      </c>
      <c r="P787" s="51" t="s">
        <v>416</v>
      </c>
      <c r="Q787" s="51" t="s">
        <v>534</v>
      </c>
      <c r="R787" s="51" t="s">
        <v>246</v>
      </c>
      <c r="S787" s="51" t="s">
        <v>909</v>
      </c>
      <c r="T787" s="20" t="s">
        <v>317</v>
      </c>
      <c r="U787" s="20" t="s">
        <v>318</v>
      </c>
      <c r="V787" s="20" t="s">
        <v>444</v>
      </c>
    </row>
    <row r="788" spans="1:22">
      <c r="A788" s="20" t="s">
        <v>500</v>
      </c>
      <c r="B788" s="20">
        <f>'Schattenhofer, SI Data'!A20</f>
        <v>3</v>
      </c>
      <c r="C788" s="20">
        <f>'Schattenhofer, SI Data'!E20</f>
        <v>96</v>
      </c>
      <c r="I788" s="51">
        <f>'Schattenhofer, SI Data'!F20</f>
        <v>780000</v>
      </c>
      <c r="J788" s="51">
        <f>'Schattenhofer, SI Data'!H20</f>
        <v>425880</v>
      </c>
      <c r="K788" s="51">
        <f>'Schattenhofer, SI Data'!M20</f>
        <v>22620</v>
      </c>
      <c r="L788" s="51">
        <f>J788+K788</f>
        <v>448500</v>
      </c>
      <c r="M788" s="63">
        <f>L788/I788</f>
        <v>0.57499999999999996</v>
      </c>
      <c r="N788" s="63">
        <f>K788/L788</f>
        <v>5.0434782608695654E-2</v>
      </c>
      <c r="O788" s="63" t="s">
        <v>396</v>
      </c>
      <c r="P788" s="51" t="s">
        <v>416</v>
      </c>
      <c r="Q788" s="51" t="s">
        <v>534</v>
      </c>
      <c r="R788" s="51" t="s">
        <v>246</v>
      </c>
      <c r="S788" s="51" t="s">
        <v>909</v>
      </c>
      <c r="T788" s="20" t="s">
        <v>317</v>
      </c>
      <c r="U788" s="20" t="s">
        <v>318</v>
      </c>
      <c r="V788" s="20" t="s">
        <v>444</v>
      </c>
    </row>
    <row r="789" spans="1:22">
      <c r="A789" s="20" t="s">
        <v>500</v>
      </c>
      <c r="B789" s="20">
        <f>'Schattenhofer, SI Data'!A15</f>
        <v>2</v>
      </c>
      <c r="C789" s="20">
        <f>'Schattenhofer, SI Data'!E15</f>
        <v>100</v>
      </c>
      <c r="I789" s="51">
        <f>'Schattenhofer, SI Data'!F15</f>
        <v>390000</v>
      </c>
      <c r="J789" s="51">
        <f>'Schattenhofer, SI Data'!H15</f>
        <v>176280</v>
      </c>
      <c r="K789" s="51">
        <f>'Schattenhofer, SI Data'!M15</f>
        <v>90090</v>
      </c>
      <c r="L789" s="51">
        <f>J789+K789</f>
        <v>266370</v>
      </c>
      <c r="M789" s="63">
        <f>L789/I789</f>
        <v>0.68300000000000005</v>
      </c>
      <c r="N789" s="63">
        <f>K789/L789</f>
        <v>0.33821376281112736</v>
      </c>
      <c r="O789" s="63" t="s">
        <v>396</v>
      </c>
      <c r="P789" s="51" t="s">
        <v>416</v>
      </c>
      <c r="Q789" s="51" t="s">
        <v>534</v>
      </c>
      <c r="R789" s="51" t="s">
        <v>246</v>
      </c>
      <c r="S789" s="51" t="s">
        <v>909</v>
      </c>
      <c r="T789" s="20" t="s">
        <v>317</v>
      </c>
      <c r="U789" s="20" t="s">
        <v>318</v>
      </c>
      <c r="V789" s="20" t="s">
        <v>444</v>
      </c>
    </row>
    <row r="790" spans="1:22">
      <c r="A790" s="20" t="s">
        <v>500</v>
      </c>
      <c r="B790" s="20">
        <f>'Schattenhofer, SI Data'!A26</f>
        <v>4</v>
      </c>
      <c r="C790" s="20">
        <f>'Schattenhofer, SI Data'!E26</f>
        <v>100</v>
      </c>
      <c r="I790" s="51">
        <f>'Schattenhofer, SI Data'!F26</f>
        <v>720000</v>
      </c>
      <c r="J790" s="51">
        <f>'Schattenhofer, SI Data'!H26</f>
        <v>483119.99999999994</v>
      </c>
      <c r="K790" s="51">
        <f>'Schattenhofer, SI Data'!M26</f>
        <v>5039.9999999999991</v>
      </c>
      <c r="L790" s="51">
        <f>J790+K790</f>
        <v>488159.99999999994</v>
      </c>
      <c r="M790" s="63">
        <f>L790/I790</f>
        <v>0.67799999999999994</v>
      </c>
      <c r="N790" s="63">
        <f>K790/L790</f>
        <v>1.0324483775811209E-2</v>
      </c>
      <c r="O790" s="63" t="s">
        <v>396</v>
      </c>
      <c r="P790" s="51" t="s">
        <v>416</v>
      </c>
      <c r="Q790" s="51" t="s">
        <v>534</v>
      </c>
      <c r="R790" s="51" t="s">
        <v>246</v>
      </c>
      <c r="S790" s="51" t="s">
        <v>909</v>
      </c>
      <c r="T790" s="20" t="s">
        <v>317</v>
      </c>
      <c r="U790" s="20" t="s">
        <v>318</v>
      </c>
      <c r="V790" s="20" t="s">
        <v>444</v>
      </c>
    </row>
    <row r="791" spans="1:22">
      <c r="A791" s="20" t="s">
        <v>500</v>
      </c>
      <c r="B791" s="20">
        <f>'Schattenhofer, SI Data'!A44</f>
        <v>7</v>
      </c>
      <c r="C791" s="20">
        <f>'Schattenhofer, SI Data'!E44</f>
        <v>100</v>
      </c>
      <c r="I791" s="51">
        <f>'Schattenhofer, SI Data'!F44</f>
        <v>660000</v>
      </c>
      <c r="J791" s="51">
        <f>'Schattenhofer, SI Data'!H44</f>
        <v>390060</v>
      </c>
      <c r="K791" s="51">
        <f>'Schattenhofer, SI Data'!M44</f>
        <v>11879.999999999998</v>
      </c>
      <c r="L791" s="51">
        <f>J791+K791</f>
        <v>401940</v>
      </c>
      <c r="M791" s="63">
        <f>L791/I791</f>
        <v>0.60899999999999999</v>
      </c>
      <c r="N791" s="63">
        <f>K791/L791</f>
        <v>2.9556650246305414E-2</v>
      </c>
      <c r="O791" s="63" t="s">
        <v>396</v>
      </c>
      <c r="P791" s="51" t="s">
        <v>416</v>
      </c>
      <c r="Q791" s="51" t="s">
        <v>534</v>
      </c>
      <c r="R791" s="51" t="s">
        <v>246</v>
      </c>
      <c r="S791" s="51" t="s">
        <v>909</v>
      </c>
      <c r="T791" s="20" t="s">
        <v>317</v>
      </c>
      <c r="U791" s="20" t="s">
        <v>318</v>
      </c>
      <c r="V791" s="20" t="s">
        <v>444</v>
      </c>
    </row>
    <row r="792" spans="1:22">
      <c r="A792" s="20" t="s">
        <v>500</v>
      </c>
      <c r="B792" s="20">
        <f>'Schattenhofer, SI Data'!A92</f>
        <v>16</v>
      </c>
      <c r="C792" s="20">
        <f>'Schattenhofer, SI Data'!E92</f>
        <v>100</v>
      </c>
      <c r="I792" s="51">
        <f>'Schattenhofer, SI Data'!F92</f>
        <v>670000</v>
      </c>
      <c r="J792" s="51">
        <f>'Schattenhofer, SI Data'!H92</f>
        <v>449569.99999999994</v>
      </c>
      <c r="K792" s="51">
        <f>'Schattenhofer, SI Data'!M92</f>
        <v>2010</v>
      </c>
      <c r="L792" s="51">
        <f>J792+K792</f>
        <v>451579.99999999994</v>
      </c>
      <c r="M792" s="63">
        <f>L792/I792</f>
        <v>0.67399999999999993</v>
      </c>
      <c r="N792" s="63">
        <f>K792/L792</f>
        <v>4.4510385756676559E-3</v>
      </c>
      <c r="O792" s="63" t="s">
        <v>396</v>
      </c>
      <c r="P792" s="51" t="s">
        <v>416</v>
      </c>
      <c r="Q792" s="51" t="s">
        <v>534</v>
      </c>
      <c r="R792" s="51" t="s">
        <v>246</v>
      </c>
      <c r="S792" s="51" t="s">
        <v>909</v>
      </c>
      <c r="T792" s="20" t="s">
        <v>317</v>
      </c>
      <c r="U792" s="20" t="s">
        <v>318</v>
      </c>
      <c r="V792" s="20" t="s">
        <v>444</v>
      </c>
    </row>
    <row r="793" spans="1:22">
      <c r="A793" s="20" t="s">
        <v>500</v>
      </c>
      <c r="B793" s="20">
        <f>'Schattenhofer, SI Data'!A98</f>
        <v>17</v>
      </c>
      <c r="C793" s="20">
        <f>'Schattenhofer, SI Data'!E98</f>
        <v>100</v>
      </c>
      <c r="I793" s="51">
        <f>'Schattenhofer, SI Data'!F98</f>
        <v>680000</v>
      </c>
      <c r="J793" s="51">
        <f>'Schattenhofer, SI Data'!H98</f>
        <v>365840</v>
      </c>
      <c r="K793" s="51">
        <f>'Schattenhofer, SI Data'!M98</f>
        <v>2040</v>
      </c>
      <c r="L793" s="51">
        <f>J793+K793</f>
        <v>367880</v>
      </c>
      <c r="M793" s="63">
        <f>L793/I793</f>
        <v>0.54100000000000004</v>
      </c>
      <c r="N793" s="63">
        <f>K793/L793</f>
        <v>5.5452865064695009E-3</v>
      </c>
      <c r="O793" s="63" t="s">
        <v>396</v>
      </c>
      <c r="P793" s="51" t="s">
        <v>416</v>
      </c>
      <c r="Q793" s="51" t="s">
        <v>534</v>
      </c>
      <c r="R793" s="51" t="s">
        <v>246</v>
      </c>
      <c r="S793" s="51" t="s">
        <v>909</v>
      </c>
      <c r="T793" s="20" t="s">
        <v>317</v>
      </c>
      <c r="U793" s="20" t="s">
        <v>318</v>
      </c>
      <c r="V793" s="20" t="s">
        <v>444</v>
      </c>
    </row>
    <row r="794" spans="1:22">
      <c r="A794" s="20" t="s">
        <v>500</v>
      </c>
      <c r="B794" s="20">
        <f>'Schattenhofer, SI Data'!A190</f>
        <v>31</v>
      </c>
      <c r="C794" s="20">
        <f>'Schattenhofer, SI Data'!E190</f>
        <v>100</v>
      </c>
      <c r="I794" s="51">
        <f>'Schattenhofer, SI Data'!F190</f>
        <v>600000</v>
      </c>
      <c r="J794" s="51">
        <f>'Schattenhofer, SI Data'!H190</f>
        <v>388200</v>
      </c>
      <c r="K794" s="51">
        <f>'Schattenhofer, SI Data'!M190</f>
        <v>53400</v>
      </c>
      <c r="L794" s="51">
        <f>J794+K794</f>
        <v>441600</v>
      </c>
      <c r="M794" s="63">
        <f>L794/I794</f>
        <v>0.73599999999999999</v>
      </c>
      <c r="N794" s="63">
        <f>K794/L794</f>
        <v>0.12092391304347826</v>
      </c>
      <c r="O794" s="63" t="s">
        <v>396</v>
      </c>
      <c r="P794" s="51" t="s">
        <v>416</v>
      </c>
      <c r="Q794" s="51" t="s">
        <v>534</v>
      </c>
      <c r="R794" s="51" t="s">
        <v>246</v>
      </c>
      <c r="S794" s="51" t="s">
        <v>909</v>
      </c>
      <c r="T794" s="20" t="s">
        <v>317</v>
      </c>
      <c r="U794" s="20" t="s">
        <v>318</v>
      </c>
      <c r="V794" s="20" t="s">
        <v>444</v>
      </c>
    </row>
    <row r="795" spans="1:22">
      <c r="A795" s="20" t="s">
        <v>500</v>
      </c>
      <c r="B795" s="20">
        <f>'Schattenhofer, SI Data'!A228</f>
        <v>38</v>
      </c>
      <c r="C795" s="20">
        <f>'Schattenhofer, SI Data'!E228</f>
        <v>100</v>
      </c>
      <c r="I795" s="51">
        <f>'Schattenhofer, SI Data'!F228</f>
        <v>770000</v>
      </c>
      <c r="J795" s="51">
        <f>'Schattenhofer, SI Data'!H228</f>
        <v>569030.00000000012</v>
      </c>
      <c r="K795" s="51">
        <f>'Schattenhofer, SI Data'!M228</f>
        <v>3850</v>
      </c>
      <c r="L795" s="51">
        <f>J795+K795</f>
        <v>572880.00000000012</v>
      </c>
      <c r="M795" s="63">
        <f>L795/I795</f>
        <v>0.74400000000000011</v>
      </c>
      <c r="N795" s="63">
        <f>K795/L795</f>
        <v>6.7204301075268801E-3</v>
      </c>
      <c r="O795" s="63" t="s">
        <v>396</v>
      </c>
      <c r="P795" s="51" t="s">
        <v>416</v>
      </c>
      <c r="Q795" s="51" t="s">
        <v>534</v>
      </c>
      <c r="R795" s="51" t="s">
        <v>246</v>
      </c>
      <c r="S795" s="51" t="s">
        <v>909</v>
      </c>
      <c r="T795" s="20" t="s">
        <v>317</v>
      </c>
      <c r="U795" s="20" t="s">
        <v>318</v>
      </c>
      <c r="V795" s="20" t="s">
        <v>444</v>
      </c>
    </row>
    <row r="796" spans="1:22">
      <c r="A796" s="20" t="s">
        <v>500</v>
      </c>
      <c r="B796" s="20">
        <f>'Schattenhofer, SI Data'!A234</f>
        <v>39</v>
      </c>
      <c r="C796" s="20">
        <f>'Schattenhofer, SI Data'!E234</f>
        <v>100</v>
      </c>
      <c r="I796" s="51">
        <f>'Schattenhofer, SI Data'!F234</f>
        <v>610000</v>
      </c>
      <c r="J796" s="51">
        <f>'Schattenhofer, SI Data'!H234</f>
        <v>412970</v>
      </c>
      <c r="K796" s="51">
        <f>'Schattenhofer, SI Data'!M234</f>
        <v>17080</v>
      </c>
      <c r="L796" s="51">
        <f>J796+K796</f>
        <v>430050</v>
      </c>
      <c r="M796" s="63">
        <f>L796/I796</f>
        <v>0.70499999999999996</v>
      </c>
      <c r="N796" s="63">
        <f>K796/L796</f>
        <v>3.971631205673759E-2</v>
      </c>
      <c r="O796" s="63" t="s">
        <v>396</v>
      </c>
      <c r="P796" s="51" t="s">
        <v>416</v>
      </c>
      <c r="Q796" s="51" t="s">
        <v>534</v>
      </c>
      <c r="R796" s="51" t="s">
        <v>246</v>
      </c>
      <c r="S796" s="51" t="s">
        <v>909</v>
      </c>
      <c r="T796" s="20" t="s">
        <v>317</v>
      </c>
      <c r="U796" s="20" t="s">
        <v>318</v>
      </c>
      <c r="V796" s="20" t="s">
        <v>444</v>
      </c>
    </row>
    <row r="797" spans="1:22">
      <c r="A797" s="20" t="s">
        <v>500</v>
      </c>
      <c r="B797" s="20">
        <f>'Schattenhofer, SI Data'!A247</f>
        <v>41</v>
      </c>
      <c r="C797" s="20">
        <f>'Schattenhofer, SI Data'!E247</f>
        <v>100</v>
      </c>
      <c r="I797" s="51">
        <f>'Schattenhofer, SI Data'!F247</f>
        <v>790000</v>
      </c>
      <c r="J797" s="51">
        <f>'Schattenhofer, SI Data'!H247</f>
        <v>628839.99999999988</v>
      </c>
      <c r="K797" s="51">
        <f>'Schattenhofer, SI Data'!M247</f>
        <v>2370</v>
      </c>
      <c r="L797" s="51">
        <f>J797+K797</f>
        <v>631209.99999999988</v>
      </c>
      <c r="M797" s="63">
        <f>L797/I797</f>
        <v>0.79899999999999982</v>
      </c>
      <c r="N797" s="63">
        <f>K797/L797</f>
        <v>3.7546933667083862E-3</v>
      </c>
      <c r="O797" s="63" t="s">
        <v>396</v>
      </c>
      <c r="P797" s="51" t="s">
        <v>416</v>
      </c>
      <c r="Q797" s="51" t="s">
        <v>534</v>
      </c>
      <c r="R797" s="51" t="s">
        <v>246</v>
      </c>
      <c r="S797" s="51" t="s">
        <v>909</v>
      </c>
      <c r="T797" s="20" t="s">
        <v>317</v>
      </c>
      <c r="U797" s="20" t="s">
        <v>318</v>
      </c>
      <c r="V797" s="20" t="s">
        <v>444</v>
      </c>
    </row>
    <row r="798" spans="1:22">
      <c r="A798" s="20" t="s">
        <v>500</v>
      </c>
      <c r="B798" s="20">
        <f>'Schattenhofer, SI Data'!A254</f>
        <v>42</v>
      </c>
      <c r="C798" s="20">
        <f>'Schattenhofer, SI Data'!E254</f>
        <v>100</v>
      </c>
      <c r="I798" s="51">
        <f>'Schattenhofer, SI Data'!F254</f>
        <v>750000</v>
      </c>
      <c r="J798" s="51">
        <f>'Schattenhofer, SI Data'!H254</f>
        <v>539250.00000000012</v>
      </c>
      <c r="K798" s="51">
        <f>'Schattenhofer, SI Data'!M254</f>
        <v>11250</v>
      </c>
      <c r="L798" s="51">
        <f>J798+K798</f>
        <v>550500.00000000012</v>
      </c>
      <c r="M798" s="63">
        <f>L798/I798</f>
        <v>0.73400000000000021</v>
      </c>
      <c r="N798" s="63">
        <f>K798/L798</f>
        <v>2.0435967302452313E-2</v>
      </c>
      <c r="O798" s="63" t="s">
        <v>396</v>
      </c>
      <c r="P798" s="51" t="s">
        <v>416</v>
      </c>
      <c r="Q798" s="51" t="s">
        <v>534</v>
      </c>
      <c r="R798" s="51" t="s">
        <v>246</v>
      </c>
      <c r="S798" s="51" t="s">
        <v>909</v>
      </c>
      <c r="T798" s="20" t="s">
        <v>317</v>
      </c>
      <c r="U798" s="20" t="s">
        <v>318</v>
      </c>
      <c r="V798" s="20" t="s">
        <v>444</v>
      </c>
    </row>
    <row r="799" spans="1:22">
      <c r="A799" s="20" t="s">
        <v>500</v>
      </c>
      <c r="B799" s="20">
        <f>'Schattenhofer, SI Data'!A292</f>
        <v>48</v>
      </c>
      <c r="C799" s="20">
        <f>'Schattenhofer, SI Data'!E292</f>
        <v>100</v>
      </c>
      <c r="I799" s="51">
        <f>'Schattenhofer, SI Data'!F292</f>
        <v>650000</v>
      </c>
      <c r="J799" s="51">
        <f>'Schattenhofer, SI Data'!H292</f>
        <v>503100</v>
      </c>
      <c r="K799" s="51">
        <f>'Schattenhofer, SI Data'!M292</f>
        <v>3250</v>
      </c>
      <c r="L799" s="51">
        <f>J799+K799</f>
        <v>506350</v>
      </c>
      <c r="M799" s="63">
        <f>L799/I799</f>
        <v>0.77900000000000003</v>
      </c>
      <c r="N799" s="63">
        <f>K799/L799</f>
        <v>6.4184852374839542E-3</v>
      </c>
      <c r="O799" s="63" t="s">
        <v>396</v>
      </c>
      <c r="P799" s="51" t="s">
        <v>416</v>
      </c>
      <c r="Q799" s="51" t="s">
        <v>534</v>
      </c>
      <c r="R799" s="51" t="s">
        <v>246</v>
      </c>
      <c r="S799" s="51" t="s">
        <v>909</v>
      </c>
      <c r="T799" s="20" t="s">
        <v>317</v>
      </c>
      <c r="U799" s="20" t="s">
        <v>318</v>
      </c>
      <c r="V799" s="20" t="s">
        <v>444</v>
      </c>
    </row>
    <row r="800" spans="1:22">
      <c r="A800" s="20" t="s">
        <v>500</v>
      </c>
      <c r="B800" s="20">
        <f>'Schattenhofer, SI Data'!A299</f>
        <v>49</v>
      </c>
      <c r="C800" s="20">
        <f>'Schattenhofer, SI Data'!E299</f>
        <v>100</v>
      </c>
      <c r="I800" s="51">
        <f>'Schattenhofer, SI Data'!F299</f>
        <v>550000</v>
      </c>
      <c r="J800" s="51">
        <f>'Schattenhofer, SI Data'!H299</f>
        <v>380050</v>
      </c>
      <c r="K800" s="51">
        <f>'Schattenhofer, SI Data'!M299</f>
        <v>34650</v>
      </c>
      <c r="L800" s="51">
        <f>J800+K800</f>
        <v>414700</v>
      </c>
      <c r="M800" s="63">
        <f>L800/I800</f>
        <v>0.754</v>
      </c>
      <c r="N800" s="63">
        <f>K800/L800</f>
        <v>8.3554376657824933E-2</v>
      </c>
      <c r="O800" s="63" t="s">
        <v>396</v>
      </c>
      <c r="P800" s="51" t="s">
        <v>416</v>
      </c>
      <c r="Q800" s="51" t="s">
        <v>534</v>
      </c>
      <c r="R800" s="51" t="s">
        <v>246</v>
      </c>
      <c r="S800" s="51" t="s">
        <v>909</v>
      </c>
      <c r="T800" s="20" t="s">
        <v>317</v>
      </c>
      <c r="U800" s="20" t="s">
        <v>318</v>
      </c>
      <c r="V800" s="20" t="s">
        <v>444</v>
      </c>
    </row>
    <row r="801" spans="1:22">
      <c r="A801" s="20" t="s">
        <v>500</v>
      </c>
      <c r="B801" s="20">
        <f>'Schattenhofer, SI Data'!A49</f>
        <v>8</v>
      </c>
      <c r="C801" s="20">
        <f>'Schattenhofer, SI Data'!E49</f>
        <v>105</v>
      </c>
      <c r="I801" s="51">
        <f>'Schattenhofer, SI Data'!F49</f>
        <v>570000</v>
      </c>
      <c r="J801" s="51">
        <f>'Schattenhofer, SI Data'!H49</f>
        <v>377340</v>
      </c>
      <c r="K801" s="51">
        <f>'Schattenhofer, SI Data'!M49</f>
        <v>2850</v>
      </c>
      <c r="L801" s="51">
        <f>J801+K801</f>
        <v>380190</v>
      </c>
      <c r="M801" s="63">
        <f>L801/I801</f>
        <v>0.66700000000000004</v>
      </c>
      <c r="N801" s="63">
        <f>K801/L801</f>
        <v>7.4962518740629685E-3</v>
      </c>
      <c r="O801" s="63" t="s">
        <v>396</v>
      </c>
      <c r="P801" s="51" t="s">
        <v>416</v>
      </c>
      <c r="Q801" s="51" t="s">
        <v>534</v>
      </c>
      <c r="R801" s="51" t="s">
        <v>246</v>
      </c>
      <c r="S801" s="51" t="s">
        <v>909</v>
      </c>
      <c r="T801" s="20" t="s">
        <v>317</v>
      </c>
      <c r="U801" s="20" t="s">
        <v>318</v>
      </c>
      <c r="V801" s="20" t="s">
        <v>444</v>
      </c>
    </row>
    <row r="802" spans="1:22">
      <c r="A802" s="20" t="s">
        <v>500</v>
      </c>
      <c r="B802" s="20">
        <f>'Schattenhofer, SI Data'!A87</f>
        <v>15</v>
      </c>
      <c r="C802" s="20">
        <f>'Schattenhofer, SI Data'!E87</f>
        <v>105</v>
      </c>
      <c r="I802" s="51">
        <f>'Schattenhofer, SI Data'!F87</f>
        <v>460000</v>
      </c>
      <c r="J802" s="51">
        <f>'Schattenhofer, SI Data'!H87</f>
        <v>252080</v>
      </c>
      <c r="K802" s="51">
        <f>'Schattenhofer, SI Data'!M87</f>
        <v>4140</v>
      </c>
      <c r="L802" s="51">
        <f>J802+K802</f>
        <v>256220</v>
      </c>
      <c r="M802" s="63">
        <f>L802/I802</f>
        <v>0.55700000000000005</v>
      </c>
      <c r="N802" s="63">
        <f>K802/L802</f>
        <v>1.615798922800718E-2</v>
      </c>
      <c r="O802" s="63" t="s">
        <v>396</v>
      </c>
      <c r="P802" s="51" t="s">
        <v>416</v>
      </c>
      <c r="Q802" s="51" t="s">
        <v>534</v>
      </c>
      <c r="R802" s="51" t="s">
        <v>246</v>
      </c>
      <c r="S802" s="51" t="s">
        <v>909</v>
      </c>
      <c r="T802" s="20" t="s">
        <v>317</v>
      </c>
      <c r="U802" s="20" t="s">
        <v>318</v>
      </c>
      <c r="V802" s="20" t="s">
        <v>444</v>
      </c>
    </row>
    <row r="803" spans="1:22">
      <c r="A803" s="20" t="s">
        <v>500</v>
      </c>
      <c r="B803" s="20">
        <f>'Schattenhofer, SI Data'!A149</f>
        <v>25</v>
      </c>
      <c r="C803" s="20">
        <f>'Schattenhofer, SI Data'!E149</f>
        <v>105</v>
      </c>
      <c r="I803" s="51">
        <f>'Schattenhofer, SI Data'!F149</f>
        <v>830000</v>
      </c>
      <c r="J803" s="51">
        <f>'Schattenhofer, SI Data'!H149</f>
        <v>447370</v>
      </c>
      <c r="K803" s="51">
        <f>'Schattenhofer, SI Data'!M149</f>
        <v>4980</v>
      </c>
      <c r="L803" s="51">
        <f>J803+K803</f>
        <v>452350</v>
      </c>
      <c r="M803" s="63">
        <f>L803/I803</f>
        <v>0.54500000000000004</v>
      </c>
      <c r="N803" s="63">
        <f>K803/L803</f>
        <v>1.1009174311926606E-2</v>
      </c>
      <c r="O803" s="63" t="s">
        <v>396</v>
      </c>
      <c r="P803" s="51" t="s">
        <v>416</v>
      </c>
      <c r="Q803" s="51" t="s">
        <v>534</v>
      </c>
      <c r="R803" s="51" t="s">
        <v>246</v>
      </c>
      <c r="S803" s="51" t="s">
        <v>909</v>
      </c>
      <c r="T803" s="20" t="s">
        <v>317</v>
      </c>
      <c r="U803" s="20" t="s">
        <v>318</v>
      </c>
      <c r="V803" s="20" t="s">
        <v>444</v>
      </c>
    </row>
    <row r="804" spans="1:22">
      <c r="A804" s="20" t="s">
        <v>500</v>
      </c>
      <c r="B804" s="20">
        <f>'Schattenhofer, SI Data'!A39</f>
        <v>6</v>
      </c>
      <c r="C804" s="20">
        <f>'Schattenhofer, SI Data'!E39</f>
        <v>110</v>
      </c>
      <c r="I804" s="51">
        <f>'Schattenhofer, SI Data'!F39</f>
        <v>420000</v>
      </c>
      <c r="J804" s="51">
        <f>'Schattenhofer, SI Data'!H39</f>
        <v>182700</v>
      </c>
      <c r="K804" s="51">
        <f>'Schattenhofer, SI Data'!M39</f>
        <v>21840</v>
      </c>
      <c r="L804" s="51">
        <f>J804+K804</f>
        <v>204540</v>
      </c>
      <c r="M804" s="63">
        <f>L804/I804</f>
        <v>0.48699999999999999</v>
      </c>
      <c r="N804" s="63">
        <f>K804/L804</f>
        <v>0.10677618069815195</v>
      </c>
      <c r="O804" s="63" t="s">
        <v>396</v>
      </c>
      <c r="P804" s="51" t="s">
        <v>416</v>
      </c>
      <c r="Q804" s="51" t="s">
        <v>534</v>
      </c>
      <c r="R804" s="51" t="s">
        <v>246</v>
      </c>
      <c r="S804" s="51" t="s">
        <v>909</v>
      </c>
      <c r="T804" s="20" t="s">
        <v>317</v>
      </c>
      <c r="U804" s="20" t="s">
        <v>318</v>
      </c>
      <c r="V804" s="20" t="s">
        <v>444</v>
      </c>
    </row>
    <row r="805" spans="1:22">
      <c r="A805" s="20" t="s">
        <v>500</v>
      </c>
      <c r="B805" s="20">
        <f>'Schattenhofer, SI Data'!A66</f>
        <v>12</v>
      </c>
      <c r="C805" s="20">
        <f>'Schattenhofer, SI Data'!E66</f>
        <v>110</v>
      </c>
      <c r="I805" s="51">
        <f>'Schattenhofer, SI Data'!F66</f>
        <v>700000</v>
      </c>
      <c r="J805" s="51">
        <f>'Schattenhofer, SI Data'!H66</f>
        <v>469699.99999999994</v>
      </c>
      <c r="K805" s="51">
        <f>'Schattenhofer, SI Data'!M66</f>
        <v>11900</v>
      </c>
      <c r="L805" s="51">
        <f>J805+K805</f>
        <v>481599.99999999994</v>
      </c>
      <c r="M805" s="63">
        <f>L805/I805</f>
        <v>0.68799999999999994</v>
      </c>
      <c r="N805" s="63">
        <f>K805/L805</f>
        <v>2.4709302325581398E-2</v>
      </c>
      <c r="O805" s="63" t="s">
        <v>396</v>
      </c>
      <c r="P805" s="51" t="s">
        <v>416</v>
      </c>
      <c r="Q805" s="51" t="s">
        <v>534</v>
      </c>
      <c r="R805" s="51" t="s">
        <v>246</v>
      </c>
      <c r="S805" s="51" t="s">
        <v>909</v>
      </c>
      <c r="T805" s="20" t="s">
        <v>317</v>
      </c>
      <c r="U805" s="20" t="s">
        <v>318</v>
      </c>
      <c r="V805" s="20" t="s">
        <v>444</v>
      </c>
    </row>
    <row r="806" spans="1:22">
      <c r="A806" s="20" t="s">
        <v>500</v>
      </c>
      <c r="B806" s="20">
        <f>'Schattenhofer, SI Data'!A80</f>
        <v>14</v>
      </c>
      <c r="C806" s="20">
        <f>'Schattenhofer, SI Data'!E80</f>
        <v>110</v>
      </c>
      <c r="I806" s="51">
        <f>'Schattenhofer, SI Data'!F80</f>
        <v>580000</v>
      </c>
      <c r="J806" s="51">
        <f>'Schattenhofer, SI Data'!H80</f>
        <v>388020</v>
      </c>
      <c r="K806" s="51">
        <f>'Schattenhofer, SI Data'!M80</f>
        <v>6380</v>
      </c>
      <c r="L806" s="51">
        <f>J806+K806</f>
        <v>394400</v>
      </c>
      <c r="M806" s="63">
        <f>L806/I806</f>
        <v>0.68</v>
      </c>
      <c r="N806" s="63">
        <f>K806/L806</f>
        <v>1.6176470588235296E-2</v>
      </c>
      <c r="O806" s="63" t="s">
        <v>396</v>
      </c>
      <c r="P806" s="51" t="s">
        <v>416</v>
      </c>
      <c r="Q806" s="51" t="s">
        <v>534</v>
      </c>
      <c r="R806" s="51" t="s">
        <v>246</v>
      </c>
      <c r="S806" s="51" t="s">
        <v>909</v>
      </c>
      <c r="T806" s="20" t="s">
        <v>317</v>
      </c>
      <c r="U806" s="20" t="s">
        <v>318</v>
      </c>
      <c r="V806" s="20" t="s">
        <v>444</v>
      </c>
    </row>
    <row r="807" spans="1:22">
      <c r="A807" s="20" t="s">
        <v>500</v>
      </c>
      <c r="B807" s="20">
        <f>'Schattenhofer, SI Data'!A142</f>
        <v>24</v>
      </c>
      <c r="C807" s="20">
        <f>'Schattenhofer, SI Data'!E142</f>
        <v>110</v>
      </c>
      <c r="I807" s="51">
        <f>'Schattenhofer, SI Data'!F142</f>
        <v>700000</v>
      </c>
      <c r="J807" s="51">
        <f>'Schattenhofer, SI Data'!H142</f>
        <v>296800</v>
      </c>
      <c r="K807" s="51">
        <f>'Schattenhofer, SI Data'!M142</f>
        <v>3500</v>
      </c>
      <c r="L807" s="51">
        <f>J807+K807</f>
        <v>300300</v>
      </c>
      <c r="M807" s="63">
        <f>L807/I807</f>
        <v>0.42899999999999999</v>
      </c>
      <c r="N807" s="63">
        <f>K807/L807</f>
        <v>1.1655011655011656E-2</v>
      </c>
      <c r="O807" s="63" t="s">
        <v>396</v>
      </c>
      <c r="P807" s="51" t="s">
        <v>416</v>
      </c>
      <c r="Q807" s="51" t="s">
        <v>534</v>
      </c>
      <c r="R807" s="51" t="s">
        <v>246</v>
      </c>
      <c r="S807" s="51" t="s">
        <v>909</v>
      </c>
      <c r="T807" s="20" t="s">
        <v>317</v>
      </c>
      <c r="U807" s="20" t="s">
        <v>318</v>
      </c>
      <c r="V807" s="20" t="s">
        <v>444</v>
      </c>
    </row>
    <row r="808" spans="1:22">
      <c r="A808" s="20" t="s">
        <v>500</v>
      </c>
      <c r="B808" s="20">
        <f>'Schattenhofer, SI Data'!A235</f>
        <v>39</v>
      </c>
      <c r="C808" s="20">
        <f>'Schattenhofer, SI Data'!E235</f>
        <v>110</v>
      </c>
      <c r="I808" s="51">
        <f>'Schattenhofer, SI Data'!F235</f>
        <v>550000</v>
      </c>
      <c r="J808" s="51">
        <f>'Schattenhofer, SI Data'!H235</f>
        <v>339350</v>
      </c>
      <c r="K808" s="51">
        <f>'Schattenhofer, SI Data'!M235</f>
        <v>38500</v>
      </c>
      <c r="L808" s="51">
        <f>J808+K808</f>
        <v>377850</v>
      </c>
      <c r="M808" s="63">
        <f>L808/I808</f>
        <v>0.68700000000000006</v>
      </c>
      <c r="N808" s="63">
        <f>K808/L808</f>
        <v>0.10189228529839883</v>
      </c>
      <c r="O808" s="63" t="s">
        <v>396</v>
      </c>
      <c r="P808" s="51" t="s">
        <v>416</v>
      </c>
      <c r="Q808" s="51" t="s">
        <v>534</v>
      </c>
      <c r="R808" s="51" t="s">
        <v>246</v>
      </c>
      <c r="S808" s="51" t="s">
        <v>909</v>
      </c>
      <c r="T808" s="20" t="s">
        <v>317</v>
      </c>
      <c r="U808" s="20" t="s">
        <v>318</v>
      </c>
      <c r="V808" s="20" t="s">
        <v>444</v>
      </c>
    </row>
    <row r="809" spans="1:22">
      <c r="A809" s="20" t="s">
        <v>500</v>
      </c>
      <c r="B809" s="20">
        <f>'Schattenhofer, SI Data'!A278</f>
        <v>46</v>
      </c>
      <c r="C809" s="20">
        <f>'Schattenhofer, SI Data'!E278</f>
        <v>110</v>
      </c>
      <c r="I809" s="51">
        <f>'Schattenhofer, SI Data'!F278</f>
        <v>540000</v>
      </c>
      <c r="J809" s="51">
        <f>'Schattenhofer, SI Data'!H278</f>
        <v>420120</v>
      </c>
      <c r="K809" s="51">
        <f>'Schattenhofer, SI Data'!M278</f>
        <v>2160</v>
      </c>
      <c r="L809" s="51">
        <f>J809+K809</f>
        <v>422280</v>
      </c>
      <c r="M809" s="63">
        <f>L809/I809</f>
        <v>0.78200000000000003</v>
      </c>
      <c r="N809" s="63">
        <f>K809/L809</f>
        <v>5.1150895140664966E-3</v>
      </c>
      <c r="O809" s="63" t="s">
        <v>396</v>
      </c>
      <c r="P809" s="51" t="s">
        <v>416</v>
      </c>
      <c r="Q809" s="51" t="s">
        <v>534</v>
      </c>
      <c r="R809" s="51" t="s">
        <v>246</v>
      </c>
      <c r="S809" s="51" t="s">
        <v>909</v>
      </c>
      <c r="T809" s="20" t="s">
        <v>317</v>
      </c>
      <c r="U809" s="20" t="s">
        <v>318</v>
      </c>
      <c r="V809" s="20" t="s">
        <v>444</v>
      </c>
    </row>
    <row r="810" spans="1:22">
      <c r="A810" s="20" t="s">
        <v>500</v>
      </c>
      <c r="B810" s="20">
        <f>'Schattenhofer, SI Data'!A325</f>
        <v>53</v>
      </c>
      <c r="C810" s="20">
        <f>'Schattenhofer, SI Data'!E325</f>
        <v>110</v>
      </c>
      <c r="I810" s="51">
        <f>'Schattenhofer, SI Data'!F325</f>
        <v>630000</v>
      </c>
      <c r="J810" s="51">
        <f>'Schattenhofer, SI Data'!H325</f>
        <v>398790</v>
      </c>
      <c r="K810" s="51">
        <f>'Schattenhofer, SI Data'!M325</f>
        <v>23310</v>
      </c>
      <c r="L810" s="51">
        <f>J810+K810</f>
        <v>422100</v>
      </c>
      <c r="M810" s="63">
        <f>L810/I810</f>
        <v>0.67</v>
      </c>
      <c r="N810" s="63">
        <f>K810/L810</f>
        <v>5.5223880597014927E-2</v>
      </c>
      <c r="O810" s="63" t="s">
        <v>396</v>
      </c>
      <c r="P810" s="51" t="s">
        <v>416</v>
      </c>
      <c r="Q810" s="51" t="s">
        <v>534</v>
      </c>
      <c r="R810" s="51" t="s">
        <v>246</v>
      </c>
      <c r="S810" s="51" t="s">
        <v>909</v>
      </c>
      <c r="T810" s="20" t="s">
        <v>317</v>
      </c>
      <c r="U810" s="20" t="s">
        <v>318</v>
      </c>
      <c r="V810" s="20" t="s">
        <v>444</v>
      </c>
    </row>
    <row r="811" spans="1:22">
      <c r="A811" s="20" t="s">
        <v>500</v>
      </c>
      <c r="B811" s="20">
        <f>'Schattenhofer, SI Data'!A50</f>
        <v>8</v>
      </c>
      <c r="C811" s="20">
        <f>'Schattenhofer, SI Data'!E50</f>
        <v>115</v>
      </c>
      <c r="I811" s="51">
        <f>'Schattenhofer, SI Data'!F50</f>
        <v>480000</v>
      </c>
      <c r="J811" s="51">
        <f>'Schattenhofer, SI Data'!H50</f>
        <v>319200</v>
      </c>
      <c r="K811" s="51">
        <f>'Schattenhofer, SI Data'!M50</f>
        <v>6240</v>
      </c>
      <c r="L811" s="51">
        <f>J811+K811</f>
        <v>325440</v>
      </c>
      <c r="M811" s="63">
        <f>L811/I811</f>
        <v>0.67800000000000005</v>
      </c>
      <c r="N811" s="63">
        <f>K811/L811</f>
        <v>1.9174041297935103E-2</v>
      </c>
      <c r="O811" s="63" t="s">
        <v>396</v>
      </c>
      <c r="P811" s="51" t="s">
        <v>416</v>
      </c>
      <c r="Q811" s="51" t="s">
        <v>534</v>
      </c>
      <c r="R811" s="51" t="s">
        <v>246</v>
      </c>
      <c r="S811" s="51" t="s">
        <v>909</v>
      </c>
      <c r="T811" s="20" t="s">
        <v>317</v>
      </c>
      <c r="U811" s="20" t="s">
        <v>318</v>
      </c>
      <c r="V811" s="20" t="s">
        <v>444</v>
      </c>
    </row>
    <row r="812" spans="1:22">
      <c r="A812" s="20" t="s">
        <v>500</v>
      </c>
      <c r="B812" s="20">
        <f>'Schattenhofer, SI Data'!A73</f>
        <v>13</v>
      </c>
      <c r="C812" s="20">
        <f>'Schattenhofer, SI Data'!E73</f>
        <v>115</v>
      </c>
      <c r="I812" s="51">
        <f>'Schattenhofer, SI Data'!F73</f>
        <v>440000</v>
      </c>
      <c r="J812" s="51">
        <f>'Schattenhofer, SI Data'!H73</f>
        <v>236720</v>
      </c>
      <c r="K812" s="51">
        <f>'Schattenhofer, SI Data'!M73</f>
        <v>1320</v>
      </c>
      <c r="L812" s="51">
        <f>J812+K812</f>
        <v>238040</v>
      </c>
      <c r="M812" s="63">
        <f>L812/I812</f>
        <v>0.54100000000000004</v>
      </c>
      <c r="N812" s="63">
        <f>K812/L812</f>
        <v>5.5452865064695009E-3</v>
      </c>
      <c r="O812" s="63" t="s">
        <v>396</v>
      </c>
      <c r="P812" s="51" t="s">
        <v>416</v>
      </c>
      <c r="Q812" s="51" t="s">
        <v>534</v>
      </c>
      <c r="R812" s="51" t="s">
        <v>246</v>
      </c>
      <c r="S812" s="51" t="s">
        <v>909</v>
      </c>
      <c r="T812" s="20" t="s">
        <v>317</v>
      </c>
      <c r="U812" s="20" t="s">
        <v>318</v>
      </c>
      <c r="V812" s="20" t="s">
        <v>444</v>
      </c>
    </row>
    <row r="813" spans="1:22">
      <c r="A813" s="20" t="s">
        <v>500</v>
      </c>
      <c r="B813" s="20">
        <f>'Schattenhofer, SI Data'!A136</f>
        <v>23</v>
      </c>
      <c r="C813" s="20">
        <f>'Schattenhofer, SI Data'!E136</f>
        <v>115</v>
      </c>
      <c r="I813" s="51">
        <f>'Schattenhofer, SI Data'!F136</f>
        <v>660000</v>
      </c>
      <c r="J813" s="51">
        <f>'Schattenhofer, SI Data'!H136</f>
        <v>445500</v>
      </c>
      <c r="K813" s="51">
        <f>'Schattenhofer, SI Data'!M136</f>
        <v>3300</v>
      </c>
      <c r="L813" s="51">
        <f>J813+K813</f>
        <v>448800</v>
      </c>
      <c r="M813" s="63">
        <f>L813/I813</f>
        <v>0.68</v>
      </c>
      <c r="N813" s="63">
        <f>K813/L813</f>
        <v>7.3529411764705881E-3</v>
      </c>
      <c r="O813" s="63" t="s">
        <v>396</v>
      </c>
      <c r="P813" s="51" t="s">
        <v>416</v>
      </c>
      <c r="Q813" s="51" t="s">
        <v>534</v>
      </c>
      <c r="R813" s="51" t="s">
        <v>246</v>
      </c>
      <c r="S813" s="51" t="s">
        <v>909</v>
      </c>
      <c r="T813" s="20" t="s">
        <v>317</v>
      </c>
      <c r="U813" s="20" t="s">
        <v>318</v>
      </c>
      <c r="V813" s="20" t="s">
        <v>444</v>
      </c>
    </row>
    <row r="814" spans="1:22">
      <c r="A814" s="20" t="s">
        <v>500</v>
      </c>
      <c r="B814" s="20">
        <f>'Schattenhofer, SI Data'!A229</f>
        <v>38</v>
      </c>
      <c r="C814" s="20">
        <f>'Schattenhofer, SI Data'!E229</f>
        <v>115</v>
      </c>
      <c r="I814" s="51">
        <f>'Schattenhofer, SI Data'!F229</f>
        <v>780000</v>
      </c>
      <c r="J814" s="51">
        <f>'Schattenhofer, SI Data'!H229</f>
        <v>486720</v>
      </c>
      <c r="K814" s="51">
        <f>'Schattenhofer, SI Data'!M229</f>
        <v>49140</v>
      </c>
      <c r="L814" s="51">
        <f>J814+K814</f>
        <v>535860</v>
      </c>
      <c r="M814" s="63">
        <f>L814/I814</f>
        <v>0.68700000000000006</v>
      </c>
      <c r="N814" s="63">
        <f>K814/L814</f>
        <v>9.1703056768558958E-2</v>
      </c>
      <c r="O814" s="63" t="s">
        <v>396</v>
      </c>
      <c r="P814" s="51" t="s">
        <v>416</v>
      </c>
      <c r="Q814" s="51" t="s">
        <v>534</v>
      </c>
      <c r="R814" s="51" t="s">
        <v>246</v>
      </c>
      <c r="S814" s="51" t="s">
        <v>909</v>
      </c>
      <c r="T814" s="20" t="s">
        <v>317</v>
      </c>
      <c r="U814" s="20" t="s">
        <v>318</v>
      </c>
      <c r="V814" s="20" t="s">
        <v>444</v>
      </c>
    </row>
    <row r="815" spans="1:22">
      <c r="A815" s="20" t="s">
        <v>500</v>
      </c>
      <c r="B815" s="20">
        <f>'Schattenhofer, SI Data'!A317</f>
        <v>52</v>
      </c>
      <c r="C815" s="20">
        <f>'Schattenhofer, SI Data'!E317</f>
        <v>115</v>
      </c>
      <c r="I815" s="51">
        <f>'Schattenhofer, SI Data'!F317</f>
        <v>690000</v>
      </c>
      <c r="J815" s="51">
        <f>'Schattenhofer, SI Data'!H317</f>
        <v>427800</v>
      </c>
      <c r="K815" s="51">
        <f>'Schattenhofer, SI Data'!M317</f>
        <v>37260</v>
      </c>
      <c r="L815" s="51">
        <f>J815+K815</f>
        <v>465060</v>
      </c>
      <c r="M815" s="63">
        <f>L815/I815</f>
        <v>0.67400000000000004</v>
      </c>
      <c r="N815" s="63">
        <f>K815/L815</f>
        <v>8.0118694362017809E-2</v>
      </c>
      <c r="O815" s="63" t="s">
        <v>396</v>
      </c>
      <c r="P815" s="51" t="s">
        <v>416</v>
      </c>
      <c r="Q815" s="51" t="s">
        <v>534</v>
      </c>
      <c r="R815" s="51" t="s">
        <v>246</v>
      </c>
      <c r="S815" s="51" t="s">
        <v>909</v>
      </c>
      <c r="T815" s="20" t="s">
        <v>317</v>
      </c>
      <c r="U815" s="20" t="s">
        <v>318</v>
      </c>
      <c r="V815" s="20" t="s">
        <v>444</v>
      </c>
    </row>
    <row r="816" spans="1:22">
      <c r="A816" s="20" t="s">
        <v>500</v>
      </c>
      <c r="B816" s="20">
        <f>'Schattenhofer, SI Data'!A61</f>
        <v>11</v>
      </c>
      <c r="C816" s="20">
        <f>'Schattenhofer, SI Data'!E61</f>
        <v>120</v>
      </c>
      <c r="I816" s="51">
        <f>'Schattenhofer, SI Data'!F61</f>
        <v>440000</v>
      </c>
      <c r="J816" s="51">
        <f>'Schattenhofer, SI Data'!H61</f>
        <v>289080</v>
      </c>
      <c r="K816" s="51">
        <f>'Schattenhofer, SI Data'!M61</f>
        <v>8800</v>
      </c>
      <c r="L816" s="51">
        <f>J816+K816</f>
        <v>297880</v>
      </c>
      <c r="M816" s="63">
        <f>L816/I816</f>
        <v>0.67700000000000005</v>
      </c>
      <c r="N816" s="63">
        <f>K816/L816</f>
        <v>2.9542097488921712E-2</v>
      </c>
      <c r="O816" s="63" t="s">
        <v>396</v>
      </c>
      <c r="P816" s="51" t="s">
        <v>416</v>
      </c>
      <c r="Q816" s="51" t="s">
        <v>534</v>
      </c>
      <c r="R816" s="51" t="s">
        <v>246</v>
      </c>
      <c r="S816" s="51" t="s">
        <v>909</v>
      </c>
      <c r="T816" s="20" t="s">
        <v>317</v>
      </c>
      <c r="U816" s="20" t="s">
        <v>318</v>
      </c>
      <c r="V816" s="20" t="s">
        <v>444</v>
      </c>
    </row>
    <row r="817" spans="1:22">
      <c r="A817" s="20" t="s">
        <v>500</v>
      </c>
      <c r="B817" s="20">
        <f>'Schattenhofer, SI Data'!A93</f>
        <v>16</v>
      </c>
      <c r="C817" s="20">
        <f>'Schattenhofer, SI Data'!E93</f>
        <v>120</v>
      </c>
      <c r="I817" s="51">
        <f>'Schattenhofer, SI Data'!F93</f>
        <v>310000</v>
      </c>
      <c r="J817" s="51">
        <f>'Schattenhofer, SI Data'!H93</f>
        <v>177940</v>
      </c>
      <c r="K817" s="51">
        <f>'Schattenhofer, SI Data'!M93</f>
        <v>620</v>
      </c>
      <c r="L817" s="51">
        <f>J817+K817</f>
        <v>178560</v>
      </c>
      <c r="M817" s="63">
        <f>L817/I817</f>
        <v>0.57599999999999996</v>
      </c>
      <c r="N817" s="63">
        <f>K817/L817</f>
        <v>3.472222222222222E-3</v>
      </c>
      <c r="O817" s="63" t="s">
        <v>396</v>
      </c>
      <c r="P817" s="51" t="s">
        <v>416</v>
      </c>
      <c r="Q817" s="51" t="s">
        <v>534</v>
      </c>
      <c r="R817" s="51" t="s">
        <v>246</v>
      </c>
      <c r="S817" s="51" t="s">
        <v>909</v>
      </c>
      <c r="T817" s="20" t="s">
        <v>317</v>
      </c>
      <c r="U817" s="20" t="s">
        <v>318</v>
      </c>
      <c r="V817" s="20" t="s">
        <v>444</v>
      </c>
    </row>
    <row r="818" spans="1:22">
      <c r="A818" s="20" t="s">
        <v>500</v>
      </c>
      <c r="B818" s="20">
        <f>'Schattenhofer, SI Data'!A143</f>
        <v>24</v>
      </c>
      <c r="C818" s="20">
        <f>'Schattenhofer, SI Data'!E143</f>
        <v>120</v>
      </c>
      <c r="I818" s="51">
        <f>'Schattenhofer, SI Data'!F143</f>
        <v>600000</v>
      </c>
      <c r="J818" s="51">
        <f>'Schattenhofer, SI Data'!H143</f>
        <v>363600</v>
      </c>
      <c r="K818" s="51">
        <f>'Schattenhofer, SI Data'!M143</f>
        <v>2400</v>
      </c>
      <c r="L818" s="51">
        <f>J818+K818</f>
        <v>366000</v>
      </c>
      <c r="M818" s="63">
        <f>L818/I818</f>
        <v>0.61</v>
      </c>
      <c r="N818" s="63">
        <f>K818/L818</f>
        <v>6.5573770491803279E-3</v>
      </c>
      <c r="O818" s="63" t="s">
        <v>396</v>
      </c>
      <c r="P818" s="51" t="s">
        <v>416</v>
      </c>
      <c r="Q818" s="51" t="s">
        <v>534</v>
      </c>
      <c r="R818" s="51" t="s">
        <v>246</v>
      </c>
      <c r="S818" s="51" t="s">
        <v>909</v>
      </c>
      <c r="T818" s="20" t="s">
        <v>317</v>
      </c>
      <c r="U818" s="20" t="s">
        <v>318</v>
      </c>
      <c r="V818" s="20" t="s">
        <v>444</v>
      </c>
    </row>
    <row r="819" spans="1:22">
      <c r="A819" s="20" t="s">
        <v>500</v>
      </c>
      <c r="B819" s="20">
        <f>'Schattenhofer, SI Data'!A150</f>
        <v>25</v>
      </c>
      <c r="C819" s="20">
        <f>'Schattenhofer, SI Data'!E150</f>
        <v>120</v>
      </c>
      <c r="I819" s="51">
        <f>'Schattenhofer, SI Data'!F150</f>
        <v>680000</v>
      </c>
      <c r="J819" s="51">
        <f>'Schattenhofer, SI Data'!H150</f>
        <v>331839.99999999994</v>
      </c>
      <c r="K819" s="51">
        <f>'Schattenhofer, SI Data'!M150</f>
        <v>12240</v>
      </c>
      <c r="L819" s="51">
        <f>J819+K819</f>
        <v>344079.99999999994</v>
      </c>
      <c r="M819" s="63">
        <f>L819/I819</f>
        <v>0.50599999999999989</v>
      </c>
      <c r="N819" s="63">
        <f>K819/L819</f>
        <v>3.5573122529644272E-2</v>
      </c>
      <c r="O819" s="63" t="s">
        <v>396</v>
      </c>
      <c r="P819" s="51" t="s">
        <v>416</v>
      </c>
      <c r="Q819" s="51" t="s">
        <v>534</v>
      </c>
      <c r="R819" s="51" t="s">
        <v>246</v>
      </c>
      <c r="S819" s="51" t="s">
        <v>909</v>
      </c>
      <c r="T819" s="20" t="s">
        <v>317</v>
      </c>
      <c r="U819" s="20" t="s">
        <v>318</v>
      </c>
      <c r="V819" s="20" t="s">
        <v>444</v>
      </c>
    </row>
    <row r="820" spans="1:22">
      <c r="A820" s="20" t="s">
        <v>500</v>
      </c>
      <c r="B820" s="20">
        <f>'Schattenhofer, SI Data'!A196</f>
        <v>32</v>
      </c>
      <c r="C820" s="20">
        <f>'Schattenhofer, SI Data'!E196</f>
        <v>120</v>
      </c>
      <c r="I820" s="51">
        <f>'Schattenhofer, SI Data'!F196</f>
        <v>310000</v>
      </c>
      <c r="J820" s="51">
        <f>'Schattenhofer, SI Data'!H196</f>
        <v>169260</v>
      </c>
      <c r="K820" s="51">
        <f>'Schattenhofer, SI Data'!M196</f>
        <v>54250</v>
      </c>
      <c r="L820" s="51">
        <f>J820+K820</f>
        <v>223510</v>
      </c>
      <c r="M820" s="63">
        <f>L820/I820</f>
        <v>0.72099999999999997</v>
      </c>
      <c r="N820" s="63">
        <f>K820/L820</f>
        <v>0.24271844660194175</v>
      </c>
      <c r="O820" s="63" t="s">
        <v>396</v>
      </c>
      <c r="P820" s="51" t="s">
        <v>416</v>
      </c>
      <c r="Q820" s="51" t="s">
        <v>534</v>
      </c>
      <c r="R820" s="51" t="s">
        <v>246</v>
      </c>
      <c r="S820" s="51" t="s">
        <v>909</v>
      </c>
      <c r="T820" s="20" t="s">
        <v>317</v>
      </c>
      <c r="U820" s="20" t="s">
        <v>318</v>
      </c>
      <c r="V820" s="20" t="s">
        <v>444</v>
      </c>
    </row>
    <row r="821" spans="1:22">
      <c r="A821" s="20" t="s">
        <v>500</v>
      </c>
      <c r="B821" s="20">
        <f>'Schattenhofer, SI Data'!A239</f>
        <v>40</v>
      </c>
      <c r="C821" s="20">
        <f>'Schattenhofer, SI Data'!E239</f>
        <v>120</v>
      </c>
      <c r="I821" s="51">
        <f>'Schattenhofer, SI Data'!F239</f>
        <v>400000</v>
      </c>
      <c r="J821" s="51">
        <f>'Schattenhofer, SI Data'!H239</f>
        <v>244000</v>
      </c>
      <c r="K821" s="51">
        <f>'Schattenhofer, SI Data'!M239</f>
        <v>2000</v>
      </c>
      <c r="L821" s="51">
        <f>J821+K821</f>
        <v>246000</v>
      </c>
      <c r="M821" s="63">
        <f>L821/I821</f>
        <v>0.61499999999999999</v>
      </c>
      <c r="N821" s="63">
        <f>K821/L821</f>
        <v>8.130081300813009E-3</v>
      </c>
      <c r="O821" s="63" t="s">
        <v>396</v>
      </c>
      <c r="P821" s="51" t="s">
        <v>416</v>
      </c>
      <c r="Q821" s="51" t="s">
        <v>534</v>
      </c>
      <c r="R821" s="51" t="s">
        <v>246</v>
      </c>
      <c r="S821" s="51" t="s">
        <v>909</v>
      </c>
      <c r="T821" s="20" t="s">
        <v>317</v>
      </c>
      <c r="U821" s="20" t="s">
        <v>318</v>
      </c>
      <c r="V821" s="20" t="s">
        <v>444</v>
      </c>
    </row>
    <row r="822" spans="1:22">
      <c r="A822" s="20" t="s">
        <v>500</v>
      </c>
      <c r="B822" s="20">
        <f>'Schattenhofer, SI Data'!A248</f>
        <v>41</v>
      </c>
      <c r="C822" s="20">
        <f>'Schattenhofer, SI Data'!E248</f>
        <v>120</v>
      </c>
      <c r="I822" s="51">
        <f>'Schattenhofer, SI Data'!F248</f>
        <v>630000</v>
      </c>
      <c r="J822" s="51">
        <f>'Schattenhofer, SI Data'!H248</f>
        <v>465570</v>
      </c>
      <c r="K822" s="51">
        <f>'Schattenhofer, SI Data'!M248</f>
        <v>4410</v>
      </c>
      <c r="L822" s="51">
        <f>J822+K822</f>
        <v>469980</v>
      </c>
      <c r="M822" s="63">
        <f>L822/I822</f>
        <v>0.746</v>
      </c>
      <c r="N822" s="63">
        <f>K822/L822</f>
        <v>9.3833780160857902E-3</v>
      </c>
      <c r="O822" s="63" t="s">
        <v>396</v>
      </c>
      <c r="P822" s="51" t="s">
        <v>416</v>
      </c>
      <c r="Q822" s="51" t="s">
        <v>534</v>
      </c>
      <c r="R822" s="51" t="s">
        <v>246</v>
      </c>
      <c r="S822" s="51" t="s">
        <v>909</v>
      </c>
      <c r="T822" s="20" t="s">
        <v>317</v>
      </c>
      <c r="U822" s="20" t="s">
        <v>318</v>
      </c>
      <c r="V822" s="20" t="s">
        <v>444</v>
      </c>
    </row>
    <row r="823" spans="1:22">
      <c r="A823" s="20" t="s">
        <v>500</v>
      </c>
      <c r="B823" s="20">
        <f>'Schattenhofer, SI Data'!A255</f>
        <v>42</v>
      </c>
      <c r="C823" s="20">
        <f>'Schattenhofer, SI Data'!E255</f>
        <v>120</v>
      </c>
      <c r="I823" s="51">
        <f>'Schattenhofer, SI Data'!F255</f>
        <v>410000</v>
      </c>
      <c r="J823" s="51">
        <f>'Schattenhofer, SI Data'!H255</f>
        <v>280850</v>
      </c>
      <c r="K823" s="51">
        <f>'Schattenhofer, SI Data'!M255</f>
        <v>25420</v>
      </c>
      <c r="L823" s="51">
        <f>J823+K823</f>
        <v>306270</v>
      </c>
      <c r="M823" s="63">
        <f>L823/I823</f>
        <v>0.747</v>
      </c>
      <c r="N823" s="63">
        <f>K823/L823</f>
        <v>8.2998661311914329E-2</v>
      </c>
      <c r="O823" s="63" t="s">
        <v>396</v>
      </c>
      <c r="P823" s="51" t="s">
        <v>416</v>
      </c>
      <c r="Q823" s="51" t="s">
        <v>534</v>
      </c>
      <c r="R823" s="51" t="s">
        <v>246</v>
      </c>
      <c r="S823" s="51" t="s">
        <v>909</v>
      </c>
      <c r="T823" s="20" t="s">
        <v>317</v>
      </c>
      <c r="U823" s="20" t="s">
        <v>318</v>
      </c>
      <c r="V823" s="20" t="s">
        <v>444</v>
      </c>
    </row>
    <row r="824" spans="1:22">
      <c r="A824" s="20" t="s">
        <v>500</v>
      </c>
      <c r="B824" s="20">
        <f>'Schattenhofer, SI Data'!A259</f>
        <v>43</v>
      </c>
      <c r="C824" s="20">
        <f>'Schattenhofer, SI Data'!E259</f>
        <v>120</v>
      </c>
      <c r="I824" s="51">
        <f>'Schattenhofer, SI Data'!F259</f>
        <v>570000</v>
      </c>
      <c r="J824" s="51">
        <f>'Schattenhofer, SI Data'!H259</f>
        <v>404130</v>
      </c>
      <c r="K824" s="51">
        <f>'Schattenhofer, SI Data'!M259</f>
        <v>14250</v>
      </c>
      <c r="L824" s="51">
        <f>J824+K824</f>
        <v>418380</v>
      </c>
      <c r="M824" s="63">
        <f>L824/I824</f>
        <v>0.73399999999999999</v>
      </c>
      <c r="N824" s="63">
        <f>K824/L824</f>
        <v>3.4059945504087197E-2</v>
      </c>
      <c r="O824" s="63" t="s">
        <v>396</v>
      </c>
      <c r="P824" s="51" t="s">
        <v>416</v>
      </c>
      <c r="Q824" s="51" t="s">
        <v>534</v>
      </c>
      <c r="R824" s="51" t="s">
        <v>246</v>
      </c>
      <c r="S824" s="51" t="s">
        <v>909</v>
      </c>
      <c r="T824" s="20" t="s">
        <v>317</v>
      </c>
      <c r="U824" s="20" t="s">
        <v>318</v>
      </c>
      <c r="V824" s="20" t="s">
        <v>444</v>
      </c>
    </row>
    <row r="825" spans="1:22">
      <c r="A825" s="20" t="s">
        <v>500</v>
      </c>
      <c r="B825" s="20">
        <f>'Schattenhofer, SI Data'!A293</f>
        <v>48</v>
      </c>
      <c r="C825" s="20">
        <f>'Schattenhofer, SI Data'!E293</f>
        <v>120</v>
      </c>
      <c r="I825" s="51">
        <f>'Schattenhofer, SI Data'!F293</f>
        <v>660000</v>
      </c>
      <c r="J825" s="51">
        <f>'Schattenhofer, SI Data'!H293</f>
        <v>511500</v>
      </c>
      <c r="K825" s="51">
        <f>'Schattenhofer, SI Data'!M293</f>
        <v>14520.000000000002</v>
      </c>
      <c r="L825" s="51">
        <f>J825+K825</f>
        <v>526020</v>
      </c>
      <c r="M825" s="63">
        <f>L825/I825</f>
        <v>0.79700000000000004</v>
      </c>
      <c r="N825" s="63">
        <f>K825/L825</f>
        <v>2.7603513174404019E-2</v>
      </c>
      <c r="O825" s="63" t="s">
        <v>396</v>
      </c>
      <c r="P825" s="51" t="s">
        <v>416</v>
      </c>
      <c r="Q825" s="51" t="s">
        <v>534</v>
      </c>
      <c r="R825" s="51" t="s">
        <v>246</v>
      </c>
      <c r="S825" s="51" t="s">
        <v>909</v>
      </c>
      <c r="T825" s="20" t="s">
        <v>317</v>
      </c>
      <c r="U825" s="20" t="s">
        <v>318</v>
      </c>
      <c r="V825" s="20" t="s">
        <v>444</v>
      </c>
    </row>
    <row r="826" spans="1:22">
      <c r="A826" s="20" t="s">
        <v>500</v>
      </c>
      <c r="B826" s="20">
        <f>'Schattenhofer, SI Data'!A388</f>
        <v>64</v>
      </c>
      <c r="C826" s="20">
        <f>'Schattenhofer, SI Data'!E388</f>
        <v>120</v>
      </c>
      <c r="I826" s="51">
        <f>'Schattenhofer, SI Data'!F388</f>
        <v>340000</v>
      </c>
      <c r="J826" s="51">
        <f>'Schattenhofer, SI Data'!H388</f>
        <v>191760</v>
      </c>
      <c r="K826" s="51">
        <f>'Schattenhofer, SI Data'!M388</f>
        <v>20060.000000000004</v>
      </c>
      <c r="L826" s="51">
        <f>J826+K826</f>
        <v>211820</v>
      </c>
      <c r="M826" s="63">
        <f>L826/I826</f>
        <v>0.623</v>
      </c>
      <c r="N826" s="63">
        <f>K826/L826</f>
        <v>9.4703049759229552E-2</v>
      </c>
      <c r="O826" s="63" t="s">
        <v>396</v>
      </c>
      <c r="P826" s="51" t="s">
        <v>416</v>
      </c>
      <c r="Q826" s="51" t="s">
        <v>534</v>
      </c>
      <c r="R826" s="51" t="s">
        <v>246</v>
      </c>
      <c r="S826" s="51" t="s">
        <v>909</v>
      </c>
      <c r="T826" s="20" t="s">
        <v>317</v>
      </c>
      <c r="U826" s="20" t="s">
        <v>318</v>
      </c>
      <c r="V826" s="20" t="s">
        <v>444</v>
      </c>
    </row>
    <row r="827" spans="1:22">
      <c r="A827" s="20" t="s">
        <v>500</v>
      </c>
      <c r="B827" s="20">
        <f>'Schattenhofer, SI Data'!A33</f>
        <v>5</v>
      </c>
      <c r="C827" s="20">
        <f>'Schattenhofer, SI Data'!E33</f>
        <v>125</v>
      </c>
      <c r="I827" s="51">
        <f>'Schattenhofer, SI Data'!F33</f>
        <v>410000</v>
      </c>
      <c r="J827" s="51">
        <f>'Schattenhofer, SI Data'!H33</f>
        <v>241080</v>
      </c>
      <c r="K827" s="51">
        <f>'Schattenhofer, SI Data'!M33</f>
        <v>43869.999999999993</v>
      </c>
      <c r="L827" s="51">
        <f>J827+K827</f>
        <v>284950</v>
      </c>
      <c r="M827" s="63">
        <f>L827/I827</f>
        <v>0.69499999999999995</v>
      </c>
      <c r="N827" s="63">
        <f>K827/L827</f>
        <v>0.15395683453237408</v>
      </c>
      <c r="O827" s="63" t="s">
        <v>396</v>
      </c>
      <c r="P827" s="51" t="s">
        <v>416</v>
      </c>
      <c r="Q827" s="51" t="s">
        <v>534</v>
      </c>
      <c r="R827" s="51" t="s">
        <v>246</v>
      </c>
      <c r="S827" s="51" t="s">
        <v>909</v>
      </c>
      <c r="T827" s="20" t="s">
        <v>317</v>
      </c>
      <c r="U827" s="20" t="s">
        <v>318</v>
      </c>
      <c r="V827" s="20" t="s">
        <v>444</v>
      </c>
    </row>
    <row r="828" spans="1:22">
      <c r="A828" s="20" t="s">
        <v>500</v>
      </c>
      <c r="B828" s="20">
        <f>'Schattenhofer, SI Data'!A45</f>
        <v>7</v>
      </c>
      <c r="C828" s="20">
        <f>'Schattenhofer, SI Data'!E45</f>
        <v>125</v>
      </c>
      <c r="I828" s="51">
        <f>'Schattenhofer, SI Data'!F45</f>
        <v>680000</v>
      </c>
      <c r="J828" s="51">
        <f>'Schattenhofer, SI Data'!H45</f>
        <v>352240</v>
      </c>
      <c r="K828" s="51">
        <f>'Schattenhofer, SI Data'!M45</f>
        <v>46920</v>
      </c>
      <c r="L828" s="51">
        <f>J828+K828</f>
        <v>399160</v>
      </c>
      <c r="M828" s="63">
        <f>L828/I828</f>
        <v>0.58699999999999997</v>
      </c>
      <c r="N828" s="63">
        <f>K828/L828</f>
        <v>0.11754684838160136</v>
      </c>
      <c r="O828" s="63" t="s">
        <v>396</v>
      </c>
      <c r="P828" s="51" t="s">
        <v>416</v>
      </c>
      <c r="Q828" s="51" t="s">
        <v>534</v>
      </c>
      <c r="R828" s="51" t="s">
        <v>246</v>
      </c>
      <c r="S828" s="51" t="s">
        <v>909</v>
      </c>
      <c r="T828" s="20" t="s">
        <v>317</v>
      </c>
      <c r="U828" s="20" t="s">
        <v>318</v>
      </c>
      <c r="V828" s="20" t="s">
        <v>444</v>
      </c>
    </row>
    <row r="829" spans="1:22">
      <c r="A829" s="20" t="s">
        <v>500</v>
      </c>
      <c r="B829" s="20">
        <f>'Schattenhofer, SI Data'!A56</f>
        <v>9</v>
      </c>
      <c r="C829" s="20">
        <f>'Schattenhofer, SI Data'!E56</f>
        <v>125</v>
      </c>
      <c r="I829" s="51">
        <f>'Schattenhofer, SI Data'!F56</f>
        <v>410000</v>
      </c>
      <c r="J829" s="51">
        <f>'Schattenhofer, SI Data'!H56</f>
        <v>211560</v>
      </c>
      <c r="K829" s="51">
        <f>'Schattenhofer, SI Data'!M56</f>
        <v>11890</v>
      </c>
      <c r="L829" s="51">
        <f>J829+K829</f>
        <v>223450</v>
      </c>
      <c r="M829" s="63">
        <f>L829/I829</f>
        <v>0.54500000000000004</v>
      </c>
      <c r="N829" s="63">
        <f>K829/L829</f>
        <v>5.321100917431193E-2</v>
      </c>
      <c r="O829" s="63" t="s">
        <v>396</v>
      </c>
      <c r="P829" s="51" t="s">
        <v>416</v>
      </c>
      <c r="Q829" s="51" t="s">
        <v>534</v>
      </c>
      <c r="R829" s="51" t="s">
        <v>246</v>
      </c>
      <c r="S829" s="51" t="s">
        <v>909</v>
      </c>
      <c r="T829" s="20" t="s">
        <v>317</v>
      </c>
      <c r="U829" s="20" t="s">
        <v>318</v>
      </c>
      <c r="V829" s="20" t="s">
        <v>444</v>
      </c>
    </row>
    <row r="830" spans="1:22">
      <c r="A830" s="20" t="s">
        <v>500</v>
      </c>
      <c r="B830" s="20">
        <f>'Schattenhofer, SI Data'!A67</f>
        <v>12</v>
      </c>
      <c r="C830" s="20">
        <f>'Schattenhofer, SI Data'!E67</f>
        <v>125</v>
      </c>
      <c r="I830" s="51">
        <f>'Schattenhofer, SI Data'!F67</f>
        <v>620000</v>
      </c>
      <c r="J830" s="51">
        <f>'Schattenhofer, SI Data'!H67</f>
        <v>373240</v>
      </c>
      <c r="K830" s="51">
        <f>'Schattenhofer, SI Data'!M67</f>
        <v>3100</v>
      </c>
      <c r="L830" s="51">
        <f>J830+K830</f>
        <v>376340</v>
      </c>
      <c r="M830" s="63">
        <f>L830/I830</f>
        <v>0.60699999999999998</v>
      </c>
      <c r="N830" s="63">
        <f>K830/L830</f>
        <v>8.2372322899505763E-3</v>
      </c>
      <c r="O830" s="63" t="s">
        <v>396</v>
      </c>
      <c r="P830" s="51" t="s">
        <v>416</v>
      </c>
      <c r="Q830" s="51" t="s">
        <v>534</v>
      </c>
      <c r="R830" s="51" t="s">
        <v>246</v>
      </c>
      <c r="S830" s="51" t="s">
        <v>909</v>
      </c>
      <c r="T830" s="20" t="s">
        <v>317</v>
      </c>
      <c r="U830" s="20" t="s">
        <v>318</v>
      </c>
      <c r="V830" s="20" t="s">
        <v>444</v>
      </c>
    </row>
    <row r="831" spans="1:22">
      <c r="A831" s="20" t="s">
        <v>500</v>
      </c>
      <c r="B831" s="20">
        <f>'Schattenhofer, SI Data'!A88</f>
        <v>15</v>
      </c>
      <c r="C831" s="20">
        <f>'Schattenhofer, SI Data'!E88</f>
        <v>125</v>
      </c>
      <c r="I831" s="51">
        <f>'Schattenhofer, SI Data'!F88</f>
        <v>370000</v>
      </c>
      <c r="J831" s="51">
        <f>'Schattenhofer, SI Data'!H88</f>
        <v>222000</v>
      </c>
      <c r="K831" s="51">
        <f>'Schattenhofer, SI Data'!M88</f>
        <v>5550</v>
      </c>
      <c r="L831" s="51">
        <f>J831+K831</f>
        <v>227550</v>
      </c>
      <c r="M831" s="63">
        <f>L831/I831</f>
        <v>0.61499999999999999</v>
      </c>
      <c r="N831" s="63">
        <f>K831/L831</f>
        <v>2.4390243902439025E-2</v>
      </c>
      <c r="O831" s="63" t="s">
        <v>396</v>
      </c>
      <c r="P831" s="51" t="s">
        <v>416</v>
      </c>
      <c r="Q831" s="51" t="s">
        <v>534</v>
      </c>
      <c r="R831" s="51" t="s">
        <v>246</v>
      </c>
      <c r="S831" s="51" t="s">
        <v>909</v>
      </c>
      <c r="T831" s="20" t="s">
        <v>317</v>
      </c>
      <c r="U831" s="20" t="s">
        <v>318</v>
      </c>
      <c r="V831" s="20" t="s">
        <v>444</v>
      </c>
    </row>
    <row r="832" spans="1:22">
      <c r="A832" s="20" t="s">
        <v>500</v>
      </c>
      <c r="B832" s="20">
        <f>'Schattenhofer, SI Data'!A112</f>
        <v>19</v>
      </c>
      <c r="C832" s="20">
        <f>'Schattenhofer, SI Data'!E112</f>
        <v>125</v>
      </c>
      <c r="I832" s="51">
        <f>'Schattenhofer, SI Data'!F112</f>
        <v>550000</v>
      </c>
      <c r="J832" s="51">
        <f>'Schattenhofer, SI Data'!H112</f>
        <v>375650</v>
      </c>
      <c r="K832" s="51">
        <f>'Schattenhofer, SI Data'!M112</f>
        <v>6600</v>
      </c>
      <c r="L832" s="51">
        <f>J832+K832</f>
        <v>382250</v>
      </c>
      <c r="M832" s="63">
        <f>L832/I832</f>
        <v>0.69499999999999995</v>
      </c>
      <c r="N832" s="63">
        <f>K832/L832</f>
        <v>1.7266187050359712E-2</v>
      </c>
      <c r="O832" s="63" t="s">
        <v>396</v>
      </c>
      <c r="P832" s="51" t="s">
        <v>416</v>
      </c>
      <c r="Q832" s="51" t="s">
        <v>534</v>
      </c>
      <c r="R832" s="51" t="s">
        <v>246</v>
      </c>
      <c r="S832" s="51" t="s">
        <v>909</v>
      </c>
      <c r="T832" s="20" t="s">
        <v>317</v>
      </c>
      <c r="U832" s="20" t="s">
        <v>318</v>
      </c>
      <c r="V832" s="20" t="s">
        <v>444</v>
      </c>
    </row>
    <row r="833" spans="1:22">
      <c r="A833" s="20" t="s">
        <v>500</v>
      </c>
      <c r="B833" s="20">
        <f>'Schattenhofer, SI Data'!A124</f>
        <v>21</v>
      </c>
      <c r="C833" s="20">
        <f>'Schattenhofer, SI Data'!E124</f>
        <v>125</v>
      </c>
      <c r="I833" s="51">
        <f>'Schattenhofer, SI Data'!F124</f>
        <v>550000</v>
      </c>
      <c r="J833" s="51">
        <f>'Schattenhofer, SI Data'!H124</f>
        <v>348700</v>
      </c>
      <c r="K833" s="51">
        <f>'Schattenhofer, SI Data'!M124</f>
        <v>9900</v>
      </c>
      <c r="L833" s="51">
        <f>J833+K833</f>
        <v>358600</v>
      </c>
      <c r="M833" s="63">
        <f>L833/I833</f>
        <v>0.65200000000000002</v>
      </c>
      <c r="N833" s="63">
        <f>K833/L833</f>
        <v>2.7607361963190184E-2</v>
      </c>
      <c r="O833" s="63" t="s">
        <v>396</v>
      </c>
      <c r="P833" s="51" t="s">
        <v>416</v>
      </c>
      <c r="Q833" s="51" t="s">
        <v>534</v>
      </c>
      <c r="R833" s="51" t="s">
        <v>246</v>
      </c>
      <c r="S833" s="51" t="s">
        <v>909</v>
      </c>
      <c r="T833" s="20" t="s">
        <v>317</v>
      </c>
      <c r="U833" s="20" t="s">
        <v>318</v>
      </c>
      <c r="V833" s="20" t="s">
        <v>444</v>
      </c>
    </row>
    <row r="834" spans="1:22">
      <c r="A834" s="20" t="s">
        <v>500</v>
      </c>
      <c r="B834" s="20">
        <f>'Schattenhofer, SI Data'!A286</f>
        <v>47</v>
      </c>
      <c r="C834" s="20">
        <f>'Schattenhofer, SI Data'!E286</f>
        <v>125</v>
      </c>
      <c r="I834" s="51">
        <f>'Schattenhofer, SI Data'!F286</f>
        <v>580000</v>
      </c>
      <c r="J834" s="51">
        <f>'Schattenhofer, SI Data'!H286</f>
        <v>395560</v>
      </c>
      <c r="K834" s="51">
        <f>'Schattenhofer, SI Data'!M286</f>
        <v>17980</v>
      </c>
      <c r="L834" s="51">
        <f>J834+K834</f>
        <v>413540</v>
      </c>
      <c r="M834" s="63">
        <f>L834/I834</f>
        <v>0.71299999999999997</v>
      </c>
      <c r="N834" s="63">
        <f>K834/L834</f>
        <v>4.3478260869565216E-2</v>
      </c>
      <c r="O834" s="63" t="s">
        <v>396</v>
      </c>
      <c r="P834" s="51" t="s">
        <v>416</v>
      </c>
      <c r="Q834" s="51" t="s">
        <v>534</v>
      </c>
      <c r="R834" s="51" t="s">
        <v>246</v>
      </c>
      <c r="S834" s="51" t="s">
        <v>909</v>
      </c>
      <c r="T834" s="20" t="s">
        <v>317</v>
      </c>
      <c r="U834" s="20" t="s">
        <v>318</v>
      </c>
      <c r="V834" s="20" t="s">
        <v>444</v>
      </c>
    </row>
    <row r="835" spans="1:22">
      <c r="A835" s="20" t="s">
        <v>500</v>
      </c>
      <c r="B835" s="20">
        <f>'Schattenhofer, SI Data'!A51</f>
        <v>8</v>
      </c>
      <c r="C835" s="20">
        <f>'Schattenhofer, SI Data'!E51</f>
        <v>130</v>
      </c>
      <c r="I835" s="51">
        <f>'Schattenhofer, SI Data'!F51</f>
        <v>330000</v>
      </c>
      <c r="J835" s="51">
        <f>'Schattenhofer, SI Data'!H51</f>
        <v>190410</v>
      </c>
      <c r="K835" s="51">
        <f>'Schattenhofer, SI Data'!M51</f>
        <v>22440</v>
      </c>
      <c r="L835" s="51">
        <f>J835+K835</f>
        <v>212850</v>
      </c>
      <c r="M835" s="63">
        <f>L835/I835</f>
        <v>0.64500000000000002</v>
      </c>
      <c r="N835" s="63">
        <f>K835/L835</f>
        <v>0.10542635658914729</v>
      </c>
      <c r="O835" s="63" t="s">
        <v>396</v>
      </c>
      <c r="P835" s="51" t="s">
        <v>416</v>
      </c>
      <c r="Q835" s="51" t="s">
        <v>534</v>
      </c>
      <c r="R835" s="51" t="s">
        <v>246</v>
      </c>
      <c r="S835" s="51" t="s">
        <v>909</v>
      </c>
      <c r="T835" s="20" t="s">
        <v>317</v>
      </c>
      <c r="U835" s="20" t="s">
        <v>318</v>
      </c>
      <c r="V835" s="20" t="s">
        <v>444</v>
      </c>
    </row>
    <row r="836" spans="1:22">
      <c r="A836" s="20" t="s">
        <v>500</v>
      </c>
      <c r="B836" s="20">
        <f>'Schattenhofer, SI Data'!A62</f>
        <v>11</v>
      </c>
      <c r="C836" s="20">
        <f>'Schattenhofer, SI Data'!E62</f>
        <v>130</v>
      </c>
      <c r="I836" s="51">
        <f>'Schattenhofer, SI Data'!F62</f>
        <v>440000</v>
      </c>
      <c r="J836" s="51">
        <f>'Schattenhofer, SI Data'!H62</f>
        <v>246840</v>
      </c>
      <c r="K836" s="51">
        <f>'Schattenhofer, SI Data'!M62</f>
        <v>5280.0000000000009</v>
      </c>
      <c r="L836" s="51">
        <f>J836+K836</f>
        <v>252120</v>
      </c>
      <c r="M836" s="63">
        <f>L836/I836</f>
        <v>0.57299999999999995</v>
      </c>
      <c r="N836" s="63">
        <f>K836/L836</f>
        <v>2.0942408376963356E-2</v>
      </c>
      <c r="O836" s="63" t="s">
        <v>396</v>
      </c>
      <c r="P836" s="51" t="s">
        <v>416</v>
      </c>
      <c r="Q836" s="51" t="s">
        <v>534</v>
      </c>
      <c r="R836" s="51" t="s">
        <v>246</v>
      </c>
      <c r="S836" s="51" t="s">
        <v>909</v>
      </c>
      <c r="T836" s="20" t="s">
        <v>317</v>
      </c>
      <c r="U836" s="20" t="s">
        <v>318</v>
      </c>
      <c r="V836" s="20" t="s">
        <v>444</v>
      </c>
    </row>
    <row r="837" spans="1:22">
      <c r="A837" s="20" t="s">
        <v>500</v>
      </c>
      <c r="B837" s="20">
        <f>'Schattenhofer, SI Data'!A81</f>
        <v>14</v>
      </c>
      <c r="C837" s="20">
        <f>'Schattenhofer, SI Data'!E81</f>
        <v>130</v>
      </c>
      <c r="I837" s="51">
        <f>'Schattenhofer, SI Data'!F81</f>
        <v>450000</v>
      </c>
      <c r="J837" s="51">
        <f>'Schattenhofer, SI Data'!H81</f>
        <v>264600</v>
      </c>
      <c r="K837" s="51">
        <f>'Schattenhofer, SI Data'!M81</f>
        <v>1350</v>
      </c>
      <c r="L837" s="51">
        <f>J837+K837</f>
        <v>265950</v>
      </c>
      <c r="M837" s="63">
        <f>L837/I837</f>
        <v>0.59099999999999997</v>
      </c>
      <c r="N837" s="63">
        <f>K837/L837</f>
        <v>5.076142131979695E-3</v>
      </c>
      <c r="O837" s="63" t="s">
        <v>396</v>
      </c>
      <c r="P837" s="51" t="s">
        <v>416</v>
      </c>
      <c r="Q837" s="51" t="s">
        <v>534</v>
      </c>
      <c r="R837" s="51" t="s">
        <v>246</v>
      </c>
      <c r="S837" s="51" t="s">
        <v>909</v>
      </c>
      <c r="T837" s="20" t="s">
        <v>317</v>
      </c>
      <c r="U837" s="20" t="s">
        <v>318</v>
      </c>
      <c r="V837" s="20" t="s">
        <v>444</v>
      </c>
    </row>
    <row r="838" spans="1:22">
      <c r="A838" s="20" t="s">
        <v>500</v>
      </c>
      <c r="B838" s="20">
        <f>'Schattenhofer, SI Data'!A99</f>
        <v>17</v>
      </c>
      <c r="C838" s="20">
        <f>'Schattenhofer, SI Data'!E99</f>
        <v>130</v>
      </c>
      <c r="I838" s="51">
        <f>'Schattenhofer, SI Data'!F99</f>
        <v>450000</v>
      </c>
      <c r="J838" s="51">
        <f>'Schattenhofer, SI Data'!H99</f>
        <v>252900</v>
      </c>
      <c r="K838" s="51">
        <f>'Schattenhofer, SI Data'!M99</f>
        <v>900</v>
      </c>
      <c r="L838" s="51">
        <f>J838+K838</f>
        <v>253800</v>
      </c>
      <c r="M838" s="63">
        <f>L838/I838</f>
        <v>0.56399999999999995</v>
      </c>
      <c r="N838" s="63">
        <f>K838/L838</f>
        <v>3.5460992907801418E-3</v>
      </c>
      <c r="O838" s="63" t="s">
        <v>396</v>
      </c>
      <c r="P838" s="51" t="s">
        <v>416</v>
      </c>
      <c r="Q838" s="51" t="s">
        <v>534</v>
      </c>
      <c r="R838" s="51" t="s">
        <v>246</v>
      </c>
      <c r="S838" s="51" t="s">
        <v>909</v>
      </c>
      <c r="T838" s="20" t="s">
        <v>317</v>
      </c>
      <c r="U838" s="20" t="s">
        <v>318</v>
      </c>
      <c r="V838" s="20" t="s">
        <v>444</v>
      </c>
    </row>
    <row r="839" spans="1:22">
      <c r="A839" s="20" t="s">
        <v>500</v>
      </c>
      <c r="B839" s="20">
        <f>'Schattenhofer, SI Data'!A105</f>
        <v>18</v>
      </c>
      <c r="C839" s="20">
        <f>'Schattenhofer, SI Data'!E105</f>
        <v>130</v>
      </c>
      <c r="I839" s="51">
        <f>'Schattenhofer, SI Data'!F105</f>
        <v>330000</v>
      </c>
      <c r="J839" s="51">
        <f>'Schattenhofer, SI Data'!H105</f>
        <v>182490</v>
      </c>
      <c r="K839" s="51">
        <f>'Schattenhofer, SI Data'!M105</f>
        <v>1650</v>
      </c>
      <c r="L839" s="51">
        <f>J839+K839</f>
        <v>184140</v>
      </c>
      <c r="M839" s="63">
        <f>L839/I839</f>
        <v>0.55800000000000005</v>
      </c>
      <c r="N839" s="63">
        <f>K839/L839</f>
        <v>8.9605734767025085E-3</v>
      </c>
      <c r="O839" s="63" t="s">
        <v>396</v>
      </c>
      <c r="P839" s="51" t="s">
        <v>416</v>
      </c>
      <c r="Q839" s="51" t="s">
        <v>534</v>
      </c>
      <c r="R839" s="51" t="s">
        <v>246</v>
      </c>
      <c r="S839" s="51" t="s">
        <v>909</v>
      </c>
      <c r="T839" s="20" t="s">
        <v>317</v>
      </c>
      <c r="U839" s="20" t="s">
        <v>318</v>
      </c>
      <c r="V839" s="20" t="s">
        <v>444</v>
      </c>
    </row>
    <row r="840" spans="1:22">
      <c r="A840" s="20" t="s">
        <v>500</v>
      </c>
      <c r="B840" s="20">
        <f>'Schattenhofer, SI Data'!A118</f>
        <v>20</v>
      </c>
      <c r="C840" s="20">
        <f>'Schattenhofer, SI Data'!E118</f>
        <v>130</v>
      </c>
      <c r="I840" s="51">
        <f>'Schattenhofer, SI Data'!F118</f>
        <v>540000</v>
      </c>
      <c r="J840" s="51">
        <f>'Schattenhofer, SI Data'!H118</f>
        <v>305100</v>
      </c>
      <c r="K840" s="51">
        <f>'Schattenhofer, SI Data'!M118</f>
        <v>3780</v>
      </c>
      <c r="L840" s="51">
        <f>J840+K840</f>
        <v>308880</v>
      </c>
      <c r="M840" s="63">
        <f>L840/I840</f>
        <v>0.57199999999999995</v>
      </c>
      <c r="N840" s="63">
        <f>K840/L840</f>
        <v>1.2237762237762238E-2</v>
      </c>
      <c r="O840" s="63" t="s">
        <v>396</v>
      </c>
      <c r="P840" s="51" t="s">
        <v>416</v>
      </c>
      <c r="Q840" s="51" t="s">
        <v>534</v>
      </c>
      <c r="R840" s="51" t="s">
        <v>246</v>
      </c>
      <c r="S840" s="51" t="s">
        <v>909</v>
      </c>
      <c r="T840" s="20" t="s">
        <v>317</v>
      </c>
      <c r="U840" s="20" t="s">
        <v>318</v>
      </c>
      <c r="V840" s="20" t="s">
        <v>444</v>
      </c>
    </row>
    <row r="841" spans="1:22">
      <c r="A841" s="20" t="s">
        <v>500</v>
      </c>
      <c r="B841" s="20">
        <f>'Schattenhofer, SI Data'!A130</f>
        <v>22</v>
      </c>
      <c r="C841" s="20">
        <f>'Schattenhofer, SI Data'!E130</f>
        <v>130</v>
      </c>
      <c r="I841" s="51">
        <f>'Schattenhofer, SI Data'!F130</f>
        <v>460000</v>
      </c>
      <c r="J841" s="51">
        <f>'Schattenhofer, SI Data'!H130</f>
        <v>262200</v>
      </c>
      <c r="K841" s="51">
        <f>'Schattenhofer, SI Data'!M130</f>
        <v>1840</v>
      </c>
      <c r="L841" s="51">
        <f>J841+K841</f>
        <v>264040</v>
      </c>
      <c r="M841" s="63">
        <f>L841/I841</f>
        <v>0.57399999999999995</v>
      </c>
      <c r="N841" s="63">
        <f>K841/L841</f>
        <v>6.9686411149825784E-3</v>
      </c>
      <c r="O841" s="63" t="s">
        <v>396</v>
      </c>
      <c r="P841" s="51" t="s">
        <v>416</v>
      </c>
      <c r="Q841" s="51" t="s">
        <v>534</v>
      </c>
      <c r="R841" s="51" t="s">
        <v>246</v>
      </c>
      <c r="S841" s="51" t="s">
        <v>909</v>
      </c>
      <c r="T841" s="20" t="s">
        <v>317</v>
      </c>
      <c r="U841" s="20" t="s">
        <v>318</v>
      </c>
      <c r="V841" s="20" t="s">
        <v>444</v>
      </c>
    </row>
    <row r="842" spans="1:22">
      <c r="A842" s="20" t="s">
        <v>500</v>
      </c>
      <c r="B842" s="20">
        <f>'Schattenhofer, SI Data'!A144</f>
        <v>24</v>
      </c>
      <c r="C842" s="20">
        <f>'Schattenhofer, SI Data'!E144</f>
        <v>130</v>
      </c>
      <c r="I842" s="51">
        <f>'Schattenhofer, SI Data'!F144</f>
        <v>490000</v>
      </c>
      <c r="J842" s="51">
        <f>'Schattenhofer, SI Data'!H144</f>
        <v>276360</v>
      </c>
      <c r="K842" s="51">
        <f>'Schattenhofer, SI Data'!M144</f>
        <v>15680</v>
      </c>
      <c r="L842" s="51">
        <f>J842+K842</f>
        <v>292040</v>
      </c>
      <c r="M842" s="63">
        <f>L842/I842</f>
        <v>0.59599999999999997</v>
      </c>
      <c r="N842" s="63">
        <f>K842/L842</f>
        <v>5.3691275167785234E-2</v>
      </c>
      <c r="O842" s="63" t="s">
        <v>396</v>
      </c>
      <c r="P842" s="51" t="s">
        <v>416</v>
      </c>
      <c r="Q842" s="51" t="s">
        <v>534</v>
      </c>
      <c r="R842" s="51" t="s">
        <v>246</v>
      </c>
      <c r="S842" s="51" t="s">
        <v>909</v>
      </c>
      <c r="T842" s="20" t="s">
        <v>317</v>
      </c>
      <c r="U842" s="20" t="s">
        <v>318</v>
      </c>
      <c r="V842" s="20" t="s">
        <v>444</v>
      </c>
    </row>
    <row r="843" spans="1:22">
      <c r="A843" s="20" t="s">
        <v>500</v>
      </c>
      <c r="B843" s="20">
        <f>'Schattenhofer, SI Data'!A260</f>
        <v>43</v>
      </c>
      <c r="C843" s="20">
        <f>'Schattenhofer, SI Data'!E260</f>
        <v>130</v>
      </c>
      <c r="I843" s="51">
        <f>'Schattenhofer, SI Data'!F260</f>
        <v>470000</v>
      </c>
      <c r="J843" s="51">
        <f>'Schattenhofer, SI Data'!H260</f>
        <v>343100</v>
      </c>
      <c r="K843" s="51">
        <f>'Schattenhofer, SI Data'!M260</f>
        <v>22090</v>
      </c>
      <c r="L843" s="51">
        <f>J843+K843</f>
        <v>365190</v>
      </c>
      <c r="M843" s="63">
        <f>L843/I843</f>
        <v>0.77700000000000002</v>
      </c>
      <c r="N843" s="63">
        <f>K843/L843</f>
        <v>6.0489060489060491E-2</v>
      </c>
      <c r="O843" s="63" t="s">
        <v>396</v>
      </c>
      <c r="P843" s="51" t="s">
        <v>416</v>
      </c>
      <c r="Q843" s="51" t="s">
        <v>534</v>
      </c>
      <c r="R843" s="51" t="s">
        <v>246</v>
      </c>
      <c r="S843" s="51" t="s">
        <v>909</v>
      </c>
      <c r="T843" s="20" t="s">
        <v>317</v>
      </c>
      <c r="U843" s="20" t="s">
        <v>318</v>
      </c>
      <c r="V843" s="20" t="s">
        <v>444</v>
      </c>
    </row>
    <row r="844" spans="1:22">
      <c r="A844" s="20" t="s">
        <v>500</v>
      </c>
      <c r="B844" s="20">
        <f>'Schattenhofer, SI Data'!A287</f>
        <v>47</v>
      </c>
      <c r="C844" s="20">
        <f>'Schattenhofer, SI Data'!E287</f>
        <v>130</v>
      </c>
      <c r="I844" s="51">
        <f>'Schattenhofer, SI Data'!F287</f>
        <v>480000</v>
      </c>
      <c r="J844" s="51">
        <f>'Schattenhofer, SI Data'!H287</f>
        <v>365760</v>
      </c>
      <c r="K844" s="51">
        <f>'Schattenhofer, SI Data'!M287</f>
        <v>18720</v>
      </c>
      <c r="L844" s="51">
        <f>J844+K844</f>
        <v>384480</v>
      </c>
      <c r="M844" s="63">
        <f>L844/I844</f>
        <v>0.80100000000000005</v>
      </c>
      <c r="N844" s="63">
        <f>K844/L844</f>
        <v>4.8689138576779027E-2</v>
      </c>
      <c r="O844" s="63" t="s">
        <v>396</v>
      </c>
      <c r="P844" s="51" t="s">
        <v>416</v>
      </c>
      <c r="Q844" s="51" t="s">
        <v>534</v>
      </c>
      <c r="R844" s="51" t="s">
        <v>246</v>
      </c>
      <c r="S844" s="51" t="s">
        <v>909</v>
      </c>
      <c r="T844" s="20" t="s">
        <v>317</v>
      </c>
      <c r="U844" s="20" t="s">
        <v>318</v>
      </c>
      <c r="V844" s="20" t="s">
        <v>444</v>
      </c>
    </row>
    <row r="845" spans="1:22">
      <c r="A845" s="20" t="s">
        <v>500</v>
      </c>
      <c r="B845" s="20">
        <f>'Schattenhofer, SI Data'!A137</f>
        <v>23</v>
      </c>
      <c r="C845" s="20">
        <f>'Schattenhofer, SI Data'!E137</f>
        <v>132</v>
      </c>
      <c r="I845" s="51">
        <f>'Schattenhofer, SI Data'!F137</f>
        <v>540000</v>
      </c>
      <c r="J845" s="51">
        <f>'Schattenhofer, SI Data'!H137</f>
        <v>327240</v>
      </c>
      <c r="K845" s="51">
        <f>'Schattenhofer, SI Data'!M137</f>
        <v>4320</v>
      </c>
      <c r="L845" s="51">
        <f>J845+K845</f>
        <v>331560</v>
      </c>
      <c r="M845" s="63">
        <f>L845/I845</f>
        <v>0.61399999999999999</v>
      </c>
      <c r="N845" s="63">
        <f>K845/L845</f>
        <v>1.3029315960912053E-2</v>
      </c>
      <c r="O845" s="63" t="s">
        <v>396</v>
      </c>
      <c r="P845" s="51" t="s">
        <v>416</v>
      </c>
      <c r="Q845" s="51" t="s">
        <v>534</v>
      </c>
      <c r="R845" s="51" t="s">
        <v>246</v>
      </c>
      <c r="S845" s="51" t="s">
        <v>909</v>
      </c>
      <c r="T845" s="20" t="s">
        <v>317</v>
      </c>
      <c r="U845" s="20" t="s">
        <v>318</v>
      </c>
      <c r="V845" s="20" t="s">
        <v>444</v>
      </c>
    </row>
    <row r="846" spans="1:22">
      <c r="A846" s="20" t="s">
        <v>500</v>
      </c>
      <c r="B846" s="20">
        <f>'Schattenhofer, SI Data'!A74</f>
        <v>13</v>
      </c>
      <c r="C846" s="20">
        <f>'Schattenhofer, SI Data'!E74</f>
        <v>135</v>
      </c>
      <c r="I846" s="51">
        <f>'Schattenhofer, SI Data'!F74</f>
        <v>330000</v>
      </c>
      <c r="J846" s="51">
        <f>'Schattenhofer, SI Data'!H74</f>
        <v>189420</v>
      </c>
      <c r="K846" s="51">
        <f>'Schattenhofer, SI Data'!M74</f>
        <v>6930</v>
      </c>
      <c r="L846" s="51">
        <f>J846+K846</f>
        <v>196350</v>
      </c>
      <c r="M846" s="63">
        <f>L846/I846</f>
        <v>0.59499999999999997</v>
      </c>
      <c r="N846" s="63">
        <f>K846/L846</f>
        <v>3.5294117647058823E-2</v>
      </c>
      <c r="O846" s="63" t="s">
        <v>396</v>
      </c>
      <c r="P846" s="51" t="s">
        <v>416</v>
      </c>
      <c r="Q846" s="51" t="s">
        <v>534</v>
      </c>
      <c r="R846" s="51" t="s">
        <v>246</v>
      </c>
      <c r="S846" s="51" t="s">
        <v>909</v>
      </c>
      <c r="T846" s="20" t="s">
        <v>317</v>
      </c>
      <c r="U846" s="20" t="s">
        <v>318</v>
      </c>
      <c r="V846" s="20" t="s">
        <v>444</v>
      </c>
    </row>
    <row r="847" spans="1:22">
      <c r="A847" s="20" t="s">
        <v>500</v>
      </c>
      <c r="B847" s="20">
        <f>'Schattenhofer, SI Data'!A249</f>
        <v>41</v>
      </c>
      <c r="C847" s="20">
        <f>'Schattenhofer, SI Data'!E249</f>
        <v>135</v>
      </c>
      <c r="I847" s="51">
        <f>'Schattenhofer, SI Data'!F249</f>
        <v>530000</v>
      </c>
      <c r="J847" s="51">
        <f>'Schattenhofer, SI Data'!H249</f>
        <v>310050</v>
      </c>
      <c r="K847" s="51">
        <f>'Schattenhofer, SI Data'!M249</f>
        <v>16960</v>
      </c>
      <c r="L847" s="51">
        <f>J847+K847</f>
        <v>327010</v>
      </c>
      <c r="M847" s="63">
        <f>L847/I847</f>
        <v>0.61699999999999999</v>
      </c>
      <c r="N847" s="63">
        <f>K847/L847</f>
        <v>5.1863857374392218E-2</v>
      </c>
      <c r="O847" s="63" t="s">
        <v>396</v>
      </c>
      <c r="P847" s="51" t="s">
        <v>416</v>
      </c>
      <c r="Q847" s="51" t="s">
        <v>534</v>
      </c>
      <c r="R847" s="51" t="s">
        <v>246</v>
      </c>
      <c r="S847" s="51" t="s">
        <v>909</v>
      </c>
      <c r="T847" s="20" t="s">
        <v>317</v>
      </c>
      <c r="U847" s="20" t="s">
        <v>318</v>
      </c>
      <c r="V847" s="20" t="s">
        <v>444</v>
      </c>
    </row>
    <row r="848" spans="1:22" ht="13" customHeight="1">
      <c r="A848" s="20" t="s">
        <v>500</v>
      </c>
      <c r="B848" s="20">
        <f>'Schattenhofer, SI Data'!A279</f>
        <v>46</v>
      </c>
      <c r="C848" s="20">
        <f>'Schattenhofer, SI Data'!E279</f>
        <v>135</v>
      </c>
      <c r="I848" s="51">
        <f>'Schattenhofer, SI Data'!F279</f>
        <v>470000</v>
      </c>
      <c r="J848" s="51">
        <f>'Schattenhofer, SI Data'!H279</f>
        <v>313960</v>
      </c>
      <c r="K848" s="51">
        <f>'Schattenhofer, SI Data'!M279</f>
        <v>19740</v>
      </c>
      <c r="L848" s="51">
        <f>J848+K848</f>
        <v>333700</v>
      </c>
      <c r="M848" s="63">
        <f>L848/I848</f>
        <v>0.71</v>
      </c>
      <c r="N848" s="63">
        <f>K848/L848</f>
        <v>5.9154929577464786E-2</v>
      </c>
      <c r="O848" s="63" t="s">
        <v>396</v>
      </c>
      <c r="P848" s="51" t="s">
        <v>416</v>
      </c>
      <c r="Q848" s="51" t="s">
        <v>534</v>
      </c>
      <c r="R848" s="51" t="s">
        <v>246</v>
      </c>
      <c r="S848" s="51" t="s">
        <v>909</v>
      </c>
      <c r="T848" s="20" t="s">
        <v>317</v>
      </c>
      <c r="U848" s="20" t="s">
        <v>318</v>
      </c>
      <c r="V848" s="20" t="s">
        <v>444</v>
      </c>
    </row>
    <row r="849" spans="1:22">
      <c r="A849" s="20" t="s">
        <v>500</v>
      </c>
      <c r="B849" s="20">
        <f>'Schattenhofer, SI Data'!A294</f>
        <v>48</v>
      </c>
      <c r="C849" s="20">
        <f>'Schattenhofer, SI Data'!E294</f>
        <v>135</v>
      </c>
      <c r="I849" s="51">
        <f>'Schattenhofer, SI Data'!F294</f>
        <v>460000</v>
      </c>
      <c r="J849" s="51">
        <f>'Schattenhofer, SI Data'!H294</f>
        <v>298540.00000000006</v>
      </c>
      <c r="K849" s="51">
        <f>'Schattenhofer, SI Data'!M294</f>
        <v>23920</v>
      </c>
      <c r="L849" s="51">
        <f>J849+K849</f>
        <v>322460.00000000006</v>
      </c>
      <c r="M849" s="63">
        <f>L849/I849</f>
        <v>0.70100000000000018</v>
      </c>
      <c r="N849" s="63">
        <f>K849/L849</f>
        <v>7.4179743223965755E-2</v>
      </c>
      <c r="O849" s="63" t="s">
        <v>396</v>
      </c>
      <c r="P849" s="51" t="s">
        <v>416</v>
      </c>
      <c r="Q849" s="51" t="s">
        <v>534</v>
      </c>
      <c r="R849" s="51" t="s">
        <v>246</v>
      </c>
      <c r="S849" s="51" t="s">
        <v>909</v>
      </c>
      <c r="T849" s="20" t="s">
        <v>317</v>
      </c>
      <c r="U849" s="20" t="s">
        <v>318</v>
      </c>
      <c r="V849" s="20" t="s">
        <v>444</v>
      </c>
    </row>
    <row r="850" spans="1:22">
      <c r="A850" s="20" t="s">
        <v>500</v>
      </c>
      <c r="B850" s="20">
        <f>'Schattenhofer, SI Data'!A63</f>
        <v>11</v>
      </c>
      <c r="C850" s="20">
        <f>'Schattenhofer, SI Data'!E63</f>
        <v>140</v>
      </c>
      <c r="I850" s="51">
        <f>'Schattenhofer, SI Data'!F63</f>
        <v>390000</v>
      </c>
      <c r="J850" s="51">
        <f>'Schattenhofer, SI Data'!H63</f>
        <v>193440</v>
      </c>
      <c r="K850" s="51">
        <f>'Schattenhofer, SI Data'!M63</f>
        <v>10530</v>
      </c>
      <c r="L850" s="51">
        <f>J850+K850</f>
        <v>203970</v>
      </c>
      <c r="M850" s="63">
        <f>L850/I850</f>
        <v>0.52300000000000002</v>
      </c>
      <c r="N850" s="63">
        <f>K850/L850</f>
        <v>5.1625239005736137E-2</v>
      </c>
      <c r="O850" s="63" t="s">
        <v>396</v>
      </c>
      <c r="P850" s="51" t="s">
        <v>416</v>
      </c>
      <c r="Q850" s="51" t="s">
        <v>534</v>
      </c>
      <c r="R850" s="51" t="s">
        <v>246</v>
      </c>
      <c r="S850" s="51" t="s">
        <v>909</v>
      </c>
      <c r="T850" s="20" t="s">
        <v>317</v>
      </c>
      <c r="U850" s="20" t="s">
        <v>318</v>
      </c>
      <c r="V850" s="20" t="s">
        <v>444</v>
      </c>
    </row>
    <row r="851" spans="1:22">
      <c r="A851" s="20" t="s">
        <v>500</v>
      </c>
      <c r="B851" s="20">
        <f>'Schattenhofer, SI Data'!A94</f>
        <v>16</v>
      </c>
      <c r="C851" s="20">
        <f>'Schattenhofer, SI Data'!E94</f>
        <v>140</v>
      </c>
      <c r="I851" s="51">
        <f>'Schattenhofer, SI Data'!F94</f>
        <v>350000</v>
      </c>
      <c r="J851" s="51">
        <f>'Schattenhofer, SI Data'!H94</f>
        <v>166950.00000000003</v>
      </c>
      <c r="K851" s="51">
        <f>'Schattenhofer, SI Data'!M94</f>
        <v>19599.999999999996</v>
      </c>
      <c r="L851" s="51">
        <f>J851+K851</f>
        <v>186550.00000000003</v>
      </c>
      <c r="M851" s="63">
        <f>L851/I851</f>
        <v>0.53300000000000003</v>
      </c>
      <c r="N851" s="63">
        <f>K851/L851</f>
        <v>0.10506566604127576</v>
      </c>
      <c r="O851" s="63" t="s">
        <v>396</v>
      </c>
      <c r="P851" s="51" t="s">
        <v>416</v>
      </c>
      <c r="Q851" s="51" t="s">
        <v>534</v>
      </c>
      <c r="R851" s="51" t="s">
        <v>246</v>
      </c>
      <c r="S851" s="51" t="s">
        <v>909</v>
      </c>
      <c r="T851" s="20" t="s">
        <v>317</v>
      </c>
      <c r="U851" s="20" t="s">
        <v>318</v>
      </c>
      <c r="V851" s="20" t="s">
        <v>444</v>
      </c>
    </row>
    <row r="852" spans="1:22">
      <c r="A852" s="20" t="s">
        <v>500</v>
      </c>
      <c r="B852" s="20">
        <f>'Schattenhofer, SI Data'!A119</f>
        <v>20</v>
      </c>
      <c r="C852" s="20">
        <f>'Schattenhofer, SI Data'!E119</f>
        <v>140</v>
      </c>
      <c r="I852" s="51">
        <f>'Schattenhofer, SI Data'!F119</f>
        <v>430000</v>
      </c>
      <c r="J852" s="51">
        <f>'Schattenhofer, SI Data'!H119</f>
        <v>213710</v>
      </c>
      <c r="K852" s="51">
        <f>'Schattenhofer, SI Data'!M119</f>
        <v>1290</v>
      </c>
      <c r="L852" s="51">
        <f>J852+K852</f>
        <v>215000</v>
      </c>
      <c r="M852" s="63">
        <f>L852/I852</f>
        <v>0.5</v>
      </c>
      <c r="N852" s="63">
        <f>K852/L852</f>
        <v>6.0000000000000001E-3</v>
      </c>
      <c r="O852" s="63" t="s">
        <v>396</v>
      </c>
      <c r="P852" s="51" t="s">
        <v>416</v>
      </c>
      <c r="Q852" s="51" t="s">
        <v>534</v>
      </c>
      <c r="R852" s="51" t="s">
        <v>246</v>
      </c>
      <c r="S852" s="51" t="s">
        <v>909</v>
      </c>
      <c r="T852" s="20" t="s">
        <v>317</v>
      </c>
      <c r="U852" s="20" t="s">
        <v>318</v>
      </c>
      <c r="V852" s="20" t="s">
        <v>444</v>
      </c>
    </row>
    <row r="853" spans="1:22">
      <c r="A853" s="20" t="s">
        <v>500</v>
      </c>
      <c r="B853" s="20">
        <f>'Schattenhofer, SI Data'!A131</f>
        <v>22</v>
      </c>
      <c r="C853" s="20">
        <f>'Schattenhofer, SI Data'!E131</f>
        <v>140</v>
      </c>
      <c r="I853" s="51">
        <f>'Schattenhofer, SI Data'!F131</f>
        <v>410000</v>
      </c>
      <c r="J853" s="51">
        <f>'Schattenhofer, SI Data'!H131</f>
        <v>252560</v>
      </c>
      <c r="K853" s="51">
        <f>'Schattenhofer, SI Data'!M131</f>
        <v>2460</v>
      </c>
      <c r="L853" s="51">
        <f>J853+K853</f>
        <v>255020</v>
      </c>
      <c r="M853" s="63">
        <f>L853/I853</f>
        <v>0.622</v>
      </c>
      <c r="N853" s="63">
        <f>K853/L853</f>
        <v>9.6463022508038593E-3</v>
      </c>
      <c r="O853" s="63" t="s">
        <v>396</v>
      </c>
      <c r="P853" s="51" t="s">
        <v>416</v>
      </c>
      <c r="Q853" s="51" t="s">
        <v>534</v>
      </c>
      <c r="R853" s="51" t="s">
        <v>246</v>
      </c>
      <c r="S853" s="51" t="s">
        <v>909</v>
      </c>
      <c r="T853" s="20" t="s">
        <v>317</v>
      </c>
      <c r="U853" s="20" t="s">
        <v>318</v>
      </c>
      <c r="V853" s="20" t="s">
        <v>444</v>
      </c>
    </row>
    <row r="854" spans="1:22">
      <c r="A854" s="20" t="s">
        <v>500</v>
      </c>
      <c r="B854" s="20">
        <f>'Schattenhofer, SI Data'!A240</f>
        <v>40</v>
      </c>
      <c r="C854" s="20">
        <f>'Schattenhofer, SI Data'!E240</f>
        <v>140</v>
      </c>
      <c r="I854" s="51">
        <f>'Schattenhofer, SI Data'!F240</f>
        <v>490000</v>
      </c>
      <c r="J854" s="51">
        <f>'Schattenhofer, SI Data'!H240</f>
        <v>291060</v>
      </c>
      <c r="K854" s="51">
        <f>'Schattenhofer, SI Data'!M240</f>
        <v>21560</v>
      </c>
      <c r="L854" s="51">
        <f>J854+K854</f>
        <v>312620</v>
      </c>
      <c r="M854" s="63">
        <f>L854/I854</f>
        <v>0.63800000000000001</v>
      </c>
      <c r="N854" s="63">
        <f>K854/L854</f>
        <v>6.8965517241379309E-2</v>
      </c>
      <c r="O854" s="63" t="s">
        <v>396</v>
      </c>
      <c r="P854" s="51" t="s">
        <v>416</v>
      </c>
      <c r="Q854" s="51" t="s">
        <v>534</v>
      </c>
      <c r="R854" s="51" t="s">
        <v>246</v>
      </c>
      <c r="S854" s="51" t="s">
        <v>909</v>
      </c>
      <c r="T854" s="20" t="s">
        <v>317</v>
      </c>
      <c r="U854" s="20" t="s">
        <v>318</v>
      </c>
      <c r="V854" s="20" t="s">
        <v>444</v>
      </c>
    </row>
    <row r="855" spans="1:22">
      <c r="A855" s="20" t="s">
        <v>500</v>
      </c>
      <c r="B855" s="20">
        <f>'Schattenhofer, SI Data'!A261</f>
        <v>43</v>
      </c>
      <c r="C855" s="20">
        <f>'Schattenhofer, SI Data'!E261</f>
        <v>140</v>
      </c>
      <c r="I855" s="51">
        <f>'Schattenhofer, SI Data'!F261</f>
        <v>340000</v>
      </c>
      <c r="J855" s="51">
        <f>'Schattenhofer, SI Data'!H261</f>
        <v>235960.00000000003</v>
      </c>
      <c r="K855" s="51">
        <f>'Schattenhofer, SI Data'!M261</f>
        <v>23800</v>
      </c>
      <c r="L855" s="51">
        <f>J855+K855</f>
        <v>259760.00000000003</v>
      </c>
      <c r="M855" s="63">
        <f>L855/I855</f>
        <v>0.76400000000000012</v>
      </c>
      <c r="N855" s="63">
        <f>K855/L855</f>
        <v>9.1623036649214645E-2</v>
      </c>
      <c r="O855" s="63" t="s">
        <v>396</v>
      </c>
      <c r="P855" s="51" t="s">
        <v>416</v>
      </c>
      <c r="Q855" s="51" t="s">
        <v>534</v>
      </c>
      <c r="R855" s="51" t="s">
        <v>246</v>
      </c>
      <c r="S855" s="51" t="s">
        <v>909</v>
      </c>
      <c r="T855" s="20" t="s">
        <v>317</v>
      </c>
      <c r="U855" s="20" t="s">
        <v>318</v>
      </c>
      <c r="V855" s="20" t="s">
        <v>444</v>
      </c>
    </row>
    <row r="856" spans="1:22">
      <c r="A856" s="20" t="s">
        <v>500</v>
      </c>
      <c r="B856" s="20">
        <f>'Schattenhofer, SI Data'!A272</f>
        <v>45</v>
      </c>
      <c r="C856" s="20">
        <f>'Schattenhofer, SI Data'!E272</f>
        <v>140</v>
      </c>
      <c r="I856" s="51">
        <f>'Schattenhofer, SI Data'!F272</f>
        <v>480000</v>
      </c>
      <c r="J856" s="51">
        <f>'Schattenhofer, SI Data'!H272</f>
        <v>336000</v>
      </c>
      <c r="K856" s="51">
        <f>'Schattenhofer, SI Data'!M272</f>
        <v>12960</v>
      </c>
      <c r="L856" s="51">
        <f>J856+K856</f>
        <v>348960</v>
      </c>
      <c r="M856" s="63">
        <f>L856/I856</f>
        <v>0.72699999999999998</v>
      </c>
      <c r="N856" s="63">
        <f>K856/L856</f>
        <v>3.7138927097661624E-2</v>
      </c>
      <c r="O856" s="63" t="s">
        <v>396</v>
      </c>
      <c r="P856" s="51" t="s">
        <v>416</v>
      </c>
      <c r="Q856" s="51" t="s">
        <v>534</v>
      </c>
      <c r="R856" s="51" t="s">
        <v>246</v>
      </c>
      <c r="S856" s="51" t="s">
        <v>909</v>
      </c>
      <c r="T856" s="20" t="s">
        <v>317</v>
      </c>
      <c r="U856" s="20" t="s">
        <v>318</v>
      </c>
      <c r="V856" s="20" t="s">
        <v>444</v>
      </c>
    </row>
    <row r="857" spans="1:22">
      <c r="A857" s="20" t="s">
        <v>500</v>
      </c>
      <c r="B857" s="20">
        <f>'Schattenhofer, SI Data'!A21</f>
        <v>3</v>
      </c>
      <c r="C857" s="20">
        <f>'Schattenhofer, SI Data'!E21</f>
        <v>144</v>
      </c>
      <c r="I857" s="51">
        <f>'Schattenhofer, SI Data'!F21</f>
        <v>300000</v>
      </c>
      <c r="J857" s="51">
        <f>'Schattenhofer, SI Data'!H21</f>
        <v>127500</v>
      </c>
      <c r="K857" s="51">
        <f>'Schattenhofer, SI Data'!M21</f>
        <v>55200</v>
      </c>
      <c r="L857" s="51">
        <f>J857+K857</f>
        <v>182700</v>
      </c>
      <c r="M857" s="63">
        <f>L857/I857</f>
        <v>0.60899999999999999</v>
      </c>
      <c r="N857" s="63">
        <f>K857/L857</f>
        <v>0.30213464696223319</v>
      </c>
      <c r="O857" s="63" t="s">
        <v>396</v>
      </c>
      <c r="P857" s="51" t="s">
        <v>416</v>
      </c>
      <c r="Q857" s="51" t="s">
        <v>534</v>
      </c>
      <c r="R857" s="51" t="s">
        <v>246</v>
      </c>
      <c r="S857" s="51" t="s">
        <v>909</v>
      </c>
      <c r="T857" s="20" t="s">
        <v>317</v>
      </c>
      <c r="U857" s="20" t="s">
        <v>318</v>
      </c>
      <c r="V857" s="20" t="s">
        <v>444</v>
      </c>
    </row>
    <row r="858" spans="1:22">
      <c r="A858" s="20" t="s">
        <v>500</v>
      </c>
      <c r="B858" s="20">
        <f>'Schattenhofer, SI Data'!A138</f>
        <v>23</v>
      </c>
      <c r="C858" s="20">
        <f>'Schattenhofer, SI Data'!E138</f>
        <v>145</v>
      </c>
      <c r="I858" s="51">
        <f>'Schattenhofer, SI Data'!F138</f>
        <v>460000</v>
      </c>
      <c r="J858" s="51">
        <f>'Schattenhofer, SI Data'!H138</f>
        <v>233220</v>
      </c>
      <c r="K858" s="51">
        <f>'Schattenhofer, SI Data'!M138</f>
        <v>17940</v>
      </c>
      <c r="L858" s="51">
        <f>J858+K858</f>
        <v>251160</v>
      </c>
      <c r="M858" s="63">
        <f>L858/I858</f>
        <v>0.54600000000000004</v>
      </c>
      <c r="N858" s="63">
        <f>K858/L858</f>
        <v>7.1428571428571425E-2</v>
      </c>
      <c r="O858" s="63" t="s">
        <v>396</v>
      </c>
      <c r="P858" s="51" t="s">
        <v>416</v>
      </c>
      <c r="Q858" s="51" t="s">
        <v>534</v>
      </c>
      <c r="R858" s="51" t="s">
        <v>246</v>
      </c>
      <c r="S858" s="51" t="s">
        <v>909</v>
      </c>
      <c r="T858" s="20" t="s">
        <v>317</v>
      </c>
      <c r="U858" s="20" t="s">
        <v>318</v>
      </c>
      <c r="V858" s="20" t="s">
        <v>444</v>
      </c>
    </row>
    <row r="859" spans="1:22">
      <c r="A859" s="20" t="s">
        <v>500</v>
      </c>
      <c r="B859" s="20">
        <f>'Schattenhofer, SI Data'!A273</f>
        <v>45</v>
      </c>
      <c r="C859" s="20">
        <f>'Schattenhofer, SI Data'!E273</f>
        <v>145</v>
      </c>
      <c r="I859" s="51">
        <f>'Schattenhofer, SI Data'!F273</f>
        <v>510000</v>
      </c>
      <c r="J859" s="51">
        <f>'Schattenhofer, SI Data'!H273</f>
        <v>337620</v>
      </c>
      <c r="K859" s="51">
        <f>'Schattenhofer, SI Data'!M273</f>
        <v>20909.999999999996</v>
      </c>
      <c r="L859" s="51">
        <f>J859+K859</f>
        <v>358530</v>
      </c>
      <c r="M859" s="63">
        <f>L859/I859</f>
        <v>0.70299999999999996</v>
      </c>
      <c r="N859" s="63">
        <f>K859/L859</f>
        <v>5.8321479374110946E-2</v>
      </c>
      <c r="O859" s="63" t="s">
        <v>396</v>
      </c>
      <c r="P859" s="51" t="s">
        <v>416</v>
      </c>
      <c r="Q859" s="51" t="s">
        <v>534</v>
      </c>
      <c r="R859" s="51" t="s">
        <v>246</v>
      </c>
      <c r="S859" s="51" t="s">
        <v>909</v>
      </c>
      <c r="T859" s="20" t="s">
        <v>317</v>
      </c>
      <c r="U859" s="20" t="s">
        <v>318</v>
      </c>
      <c r="V859" s="20" t="s">
        <v>444</v>
      </c>
    </row>
    <row r="860" spans="1:22">
      <c r="A860" s="20" t="s">
        <v>500</v>
      </c>
      <c r="B860" s="20">
        <f>'Schattenhofer, SI Data'!A280</f>
        <v>46</v>
      </c>
      <c r="C860" s="20">
        <f>'Schattenhofer, SI Data'!E280</f>
        <v>145</v>
      </c>
      <c r="I860" s="51">
        <f>'Schattenhofer, SI Data'!F280</f>
        <v>380000</v>
      </c>
      <c r="J860" s="51">
        <f>'Schattenhofer, SI Data'!H280</f>
        <v>229140</v>
      </c>
      <c r="K860" s="51">
        <f>'Schattenhofer, SI Data'!M280</f>
        <v>36859.999999999993</v>
      </c>
      <c r="L860" s="51">
        <f>J860+K860</f>
        <v>266000</v>
      </c>
      <c r="M860" s="63">
        <f>L860/I860</f>
        <v>0.7</v>
      </c>
      <c r="N860" s="63">
        <f>K860/L860</f>
        <v>0.13857142857142854</v>
      </c>
      <c r="O860" s="63" t="s">
        <v>396</v>
      </c>
      <c r="P860" s="51" t="s">
        <v>416</v>
      </c>
      <c r="Q860" s="51" t="s">
        <v>534</v>
      </c>
      <c r="R860" s="51" t="s">
        <v>246</v>
      </c>
      <c r="S860" s="51" t="s">
        <v>909</v>
      </c>
      <c r="T860" s="20" t="s">
        <v>317</v>
      </c>
      <c r="U860" s="20" t="s">
        <v>318</v>
      </c>
      <c r="V860" s="20" t="s">
        <v>444</v>
      </c>
    </row>
    <row r="861" spans="1:22">
      <c r="A861" s="20" t="s">
        <v>500</v>
      </c>
      <c r="B861" s="20">
        <f>'Schattenhofer, SI Data'!A16</f>
        <v>2</v>
      </c>
      <c r="C861" s="20">
        <f>'Schattenhofer, SI Data'!E16</f>
        <v>150</v>
      </c>
      <c r="I861" s="51">
        <f>'Schattenhofer, SI Data'!F16</f>
        <v>430000</v>
      </c>
      <c r="J861" s="51">
        <f>'Schattenhofer, SI Data'!H16</f>
        <v>205970</v>
      </c>
      <c r="K861" s="51">
        <f>'Schattenhofer, SI Data'!M16</f>
        <v>113090</v>
      </c>
      <c r="L861" s="51">
        <f>J861+K861</f>
        <v>319060</v>
      </c>
      <c r="M861" s="63">
        <f>L861/I861</f>
        <v>0.74199999999999999</v>
      </c>
      <c r="N861" s="63">
        <f>K861/L861</f>
        <v>0.35444743935309975</v>
      </c>
      <c r="O861" s="63" t="s">
        <v>396</v>
      </c>
      <c r="P861" s="51" t="s">
        <v>416</v>
      </c>
      <c r="Q861" s="51" t="s">
        <v>534</v>
      </c>
      <c r="R861" s="51" t="s">
        <v>246</v>
      </c>
      <c r="S861" s="51" t="s">
        <v>909</v>
      </c>
      <c r="T861" s="20" t="s">
        <v>317</v>
      </c>
      <c r="U861" s="20" t="s">
        <v>318</v>
      </c>
      <c r="V861" s="20" t="s">
        <v>444</v>
      </c>
    </row>
    <row r="862" spans="1:22">
      <c r="A862" s="20" t="s">
        <v>500</v>
      </c>
      <c r="B862" s="20">
        <f>'Schattenhofer, SI Data'!A27</f>
        <v>4</v>
      </c>
      <c r="C862" s="20">
        <f>'Schattenhofer, SI Data'!E27</f>
        <v>150</v>
      </c>
      <c r="I862" s="51">
        <f>'Schattenhofer, SI Data'!F27</f>
        <v>350000</v>
      </c>
      <c r="J862" s="51">
        <f>'Schattenhofer, SI Data'!H27</f>
        <v>161350</v>
      </c>
      <c r="K862" s="51">
        <f>'Schattenhofer, SI Data'!M27</f>
        <v>52500</v>
      </c>
      <c r="L862" s="51">
        <f>J862+K862</f>
        <v>213850</v>
      </c>
      <c r="M862" s="63">
        <f>L862/I862</f>
        <v>0.61099999999999999</v>
      </c>
      <c r="N862" s="63">
        <f>K862/L862</f>
        <v>0.24549918166939444</v>
      </c>
      <c r="O862" s="63" t="s">
        <v>396</v>
      </c>
      <c r="P862" s="51" t="s">
        <v>416</v>
      </c>
      <c r="Q862" s="51" t="s">
        <v>534</v>
      </c>
      <c r="R862" s="51" t="s">
        <v>246</v>
      </c>
      <c r="S862" s="51" t="s">
        <v>909</v>
      </c>
      <c r="T862" s="20" t="s">
        <v>317</v>
      </c>
      <c r="U862" s="20" t="s">
        <v>318</v>
      </c>
      <c r="V862" s="20" t="s">
        <v>444</v>
      </c>
    </row>
    <row r="863" spans="1:22">
      <c r="A863" s="20" t="s">
        <v>500</v>
      </c>
      <c r="B863" s="20">
        <f>'Schattenhofer, SI Data'!A57</f>
        <v>9</v>
      </c>
      <c r="C863" s="20">
        <f>'Schattenhofer, SI Data'!E57</f>
        <v>150</v>
      </c>
      <c r="I863" s="51">
        <f>'Schattenhofer, SI Data'!F57</f>
        <v>410000</v>
      </c>
      <c r="J863" s="51">
        <f>'Schattenhofer, SI Data'!H57</f>
        <v>201310</v>
      </c>
      <c r="K863" s="51">
        <f>'Schattenhofer, SI Data'!M57</f>
        <v>25010</v>
      </c>
      <c r="L863" s="51">
        <f>J863+K863</f>
        <v>226320</v>
      </c>
      <c r="M863" s="63">
        <f>L863/I863</f>
        <v>0.55200000000000005</v>
      </c>
      <c r="N863" s="63">
        <f>K863/L863</f>
        <v>0.1105072463768116</v>
      </c>
      <c r="O863" s="63" t="s">
        <v>396</v>
      </c>
      <c r="P863" s="51" t="s">
        <v>416</v>
      </c>
      <c r="Q863" s="51" t="s">
        <v>534</v>
      </c>
      <c r="R863" s="51" t="s">
        <v>246</v>
      </c>
      <c r="S863" s="51" t="s">
        <v>909</v>
      </c>
      <c r="T863" s="20" t="s">
        <v>317</v>
      </c>
      <c r="U863" s="20" t="s">
        <v>318</v>
      </c>
      <c r="V863" s="20" t="s">
        <v>444</v>
      </c>
    </row>
    <row r="864" spans="1:22">
      <c r="A864" s="20" t="s">
        <v>500</v>
      </c>
      <c r="B864" s="20">
        <f>'Schattenhofer, SI Data'!A68</f>
        <v>12</v>
      </c>
      <c r="C864" s="20">
        <f>'Schattenhofer, SI Data'!E68</f>
        <v>150</v>
      </c>
      <c r="I864" s="51">
        <f>'Schattenhofer, SI Data'!F68</f>
        <v>370000</v>
      </c>
      <c r="J864" s="51">
        <f>'Schattenhofer, SI Data'!H68</f>
        <v>182410</v>
      </c>
      <c r="K864" s="51">
        <f>'Schattenhofer, SI Data'!M68</f>
        <v>56610</v>
      </c>
      <c r="L864" s="51">
        <f>J864+K864</f>
        <v>239020</v>
      </c>
      <c r="M864" s="63">
        <f>L864/I864</f>
        <v>0.64600000000000002</v>
      </c>
      <c r="N864" s="63">
        <f>K864/L864</f>
        <v>0.23684210526315788</v>
      </c>
      <c r="O864" s="63" t="s">
        <v>396</v>
      </c>
      <c r="P864" s="51" t="s">
        <v>416</v>
      </c>
      <c r="Q864" s="51" t="s">
        <v>534</v>
      </c>
      <c r="R864" s="51" t="s">
        <v>246</v>
      </c>
      <c r="S864" s="51" t="s">
        <v>909</v>
      </c>
      <c r="T864" s="20" t="s">
        <v>317</v>
      </c>
      <c r="U864" s="20" t="s">
        <v>318</v>
      </c>
      <c r="V864" s="20" t="s">
        <v>444</v>
      </c>
    </row>
    <row r="865" spans="1:22">
      <c r="A865" s="20" t="s">
        <v>500</v>
      </c>
      <c r="B865" s="20">
        <f>'Schattenhofer, SI Data'!A82</f>
        <v>14</v>
      </c>
      <c r="C865" s="20">
        <f>'Schattenhofer, SI Data'!E82</f>
        <v>150</v>
      </c>
      <c r="I865" s="51">
        <f>'Schattenhofer, SI Data'!F82</f>
        <v>430000</v>
      </c>
      <c r="J865" s="51">
        <f>'Schattenhofer, SI Data'!H82</f>
        <v>218870</v>
      </c>
      <c r="K865" s="51">
        <f>'Schattenhofer, SI Data'!M82</f>
        <v>6020</v>
      </c>
      <c r="L865" s="51">
        <f>J865+K865</f>
        <v>224890</v>
      </c>
      <c r="M865" s="63">
        <f>L865/I865</f>
        <v>0.52300000000000002</v>
      </c>
      <c r="N865" s="63">
        <f>K865/L865</f>
        <v>2.676864244741874E-2</v>
      </c>
      <c r="O865" s="63" t="s">
        <v>396</v>
      </c>
      <c r="P865" s="51" t="s">
        <v>416</v>
      </c>
      <c r="Q865" s="51" t="s">
        <v>534</v>
      </c>
      <c r="R865" s="51" t="s">
        <v>246</v>
      </c>
      <c r="S865" s="51" t="s">
        <v>909</v>
      </c>
      <c r="T865" s="20" t="s">
        <v>317</v>
      </c>
      <c r="U865" s="20" t="s">
        <v>318</v>
      </c>
      <c r="V865" s="20" t="s">
        <v>444</v>
      </c>
    </row>
    <row r="866" spans="1:22">
      <c r="A866" s="20" t="s">
        <v>500</v>
      </c>
      <c r="B866" s="20">
        <f>'Schattenhofer, SI Data'!A100</f>
        <v>17</v>
      </c>
      <c r="C866" s="20">
        <f>'Schattenhofer, SI Data'!E100</f>
        <v>150</v>
      </c>
      <c r="I866" s="51">
        <f>'Schattenhofer, SI Data'!F100</f>
        <v>350000</v>
      </c>
      <c r="J866" s="51">
        <f>'Schattenhofer, SI Data'!H100</f>
        <v>203000</v>
      </c>
      <c r="K866" s="51">
        <f>'Schattenhofer, SI Data'!M100</f>
        <v>8050</v>
      </c>
      <c r="L866" s="51">
        <f>J866+K866</f>
        <v>211050</v>
      </c>
      <c r="M866" s="63">
        <f>L866/I866</f>
        <v>0.60299999999999998</v>
      </c>
      <c r="N866" s="63">
        <f>K866/L866</f>
        <v>3.8142620232172471E-2</v>
      </c>
      <c r="O866" s="63" t="s">
        <v>396</v>
      </c>
      <c r="P866" s="51" t="s">
        <v>416</v>
      </c>
      <c r="Q866" s="51" t="s">
        <v>534</v>
      </c>
      <c r="R866" s="51" t="s">
        <v>246</v>
      </c>
      <c r="S866" s="51" t="s">
        <v>909</v>
      </c>
      <c r="T866" s="20" t="s">
        <v>317</v>
      </c>
      <c r="U866" s="20" t="s">
        <v>318</v>
      </c>
      <c r="V866" s="20" t="s">
        <v>444</v>
      </c>
    </row>
    <row r="867" spans="1:22">
      <c r="A867" s="20" t="s">
        <v>500</v>
      </c>
      <c r="B867" s="20">
        <f>'Schattenhofer, SI Data'!A106</f>
        <v>18</v>
      </c>
      <c r="C867" s="20">
        <f>'Schattenhofer, SI Data'!E106</f>
        <v>150</v>
      </c>
      <c r="I867" s="51">
        <f>'Schattenhofer, SI Data'!F106</f>
        <v>330000</v>
      </c>
      <c r="J867" s="51">
        <f>'Schattenhofer, SI Data'!H106</f>
        <v>152130</v>
      </c>
      <c r="K867" s="51">
        <f>'Schattenhofer, SI Data'!M106</f>
        <v>15179.999999999998</v>
      </c>
      <c r="L867" s="51">
        <f>J867+K867</f>
        <v>167310</v>
      </c>
      <c r="M867" s="63">
        <f>L867/I867</f>
        <v>0.50700000000000001</v>
      </c>
      <c r="N867" s="63">
        <f>K867/L867</f>
        <v>9.0729783037475337E-2</v>
      </c>
      <c r="O867" s="63" t="s">
        <v>396</v>
      </c>
      <c r="P867" s="51" t="s">
        <v>416</v>
      </c>
      <c r="Q867" s="51" t="s">
        <v>534</v>
      </c>
      <c r="R867" s="51" t="s">
        <v>246</v>
      </c>
      <c r="S867" s="51" t="s">
        <v>909</v>
      </c>
      <c r="T867" s="20" t="s">
        <v>317</v>
      </c>
      <c r="U867" s="20" t="s">
        <v>318</v>
      </c>
      <c r="V867" s="20" t="s">
        <v>444</v>
      </c>
    </row>
    <row r="868" spans="1:22">
      <c r="A868" s="20" t="s">
        <v>500</v>
      </c>
      <c r="B868" s="20">
        <f>'Schattenhofer, SI Data'!A113</f>
        <v>19</v>
      </c>
      <c r="C868" s="20">
        <f>'Schattenhofer, SI Data'!E113</f>
        <v>150</v>
      </c>
      <c r="I868" s="51">
        <f>'Schattenhofer, SI Data'!F113</f>
        <v>400000</v>
      </c>
      <c r="J868" s="51">
        <f>'Schattenhofer, SI Data'!H113</f>
        <v>231600</v>
      </c>
      <c r="K868" s="51">
        <f>'Schattenhofer, SI Data'!M113</f>
        <v>9200.0000000000018</v>
      </c>
      <c r="L868" s="51">
        <f>J868+K868</f>
        <v>240800</v>
      </c>
      <c r="M868" s="63">
        <f>L868/I868</f>
        <v>0.60199999999999998</v>
      </c>
      <c r="N868" s="63">
        <f>K868/L868</f>
        <v>3.820598006644519E-2</v>
      </c>
      <c r="O868" s="63" t="s">
        <v>396</v>
      </c>
      <c r="P868" s="51" t="s">
        <v>416</v>
      </c>
      <c r="Q868" s="51" t="s">
        <v>534</v>
      </c>
      <c r="R868" s="51" t="s">
        <v>246</v>
      </c>
      <c r="S868" s="51" t="s">
        <v>909</v>
      </c>
      <c r="T868" s="20" t="s">
        <v>317</v>
      </c>
      <c r="U868" s="20" t="s">
        <v>318</v>
      </c>
      <c r="V868" s="20" t="s">
        <v>444</v>
      </c>
    </row>
    <row r="869" spans="1:22">
      <c r="A869" s="20" t="s">
        <v>500</v>
      </c>
      <c r="B869" s="20">
        <f>'Schattenhofer, SI Data'!A120</f>
        <v>20</v>
      </c>
      <c r="C869" s="20">
        <f>'Schattenhofer, SI Data'!E120</f>
        <v>150</v>
      </c>
      <c r="I869" s="51">
        <f>'Schattenhofer, SI Data'!F120</f>
        <v>350000</v>
      </c>
      <c r="J869" s="51">
        <f>'Schattenhofer, SI Data'!H120</f>
        <v>184800</v>
      </c>
      <c r="K869" s="51">
        <f>'Schattenhofer, SI Data'!M120</f>
        <v>5600</v>
      </c>
      <c r="L869" s="51">
        <f>J869+K869</f>
        <v>190400</v>
      </c>
      <c r="M869" s="63">
        <f>L869/I869</f>
        <v>0.54400000000000004</v>
      </c>
      <c r="N869" s="63">
        <f>K869/L869</f>
        <v>2.9411764705882353E-2</v>
      </c>
      <c r="O869" s="63" t="s">
        <v>396</v>
      </c>
      <c r="P869" s="51" t="s">
        <v>416</v>
      </c>
      <c r="Q869" s="51" t="s">
        <v>534</v>
      </c>
      <c r="R869" s="51" t="s">
        <v>246</v>
      </c>
      <c r="S869" s="51" t="s">
        <v>909</v>
      </c>
      <c r="T869" s="20" t="s">
        <v>317</v>
      </c>
      <c r="U869" s="20" t="s">
        <v>318</v>
      </c>
      <c r="V869" s="20" t="s">
        <v>444</v>
      </c>
    </row>
    <row r="870" spans="1:22">
      <c r="A870" s="20" t="s">
        <v>500</v>
      </c>
      <c r="B870" s="20">
        <f>'Schattenhofer, SI Data'!A125</f>
        <v>21</v>
      </c>
      <c r="C870" s="20">
        <f>'Schattenhofer, SI Data'!E125</f>
        <v>150</v>
      </c>
      <c r="I870" s="51">
        <f>'Schattenhofer, SI Data'!F125</f>
        <v>400000</v>
      </c>
      <c r="J870" s="51">
        <f>'Schattenhofer, SI Data'!H125</f>
        <v>227200</v>
      </c>
      <c r="K870" s="51">
        <f>'Schattenhofer, SI Data'!M125</f>
        <v>5200</v>
      </c>
      <c r="L870" s="51">
        <f>J870+K870</f>
        <v>232400</v>
      </c>
      <c r="M870" s="63">
        <f>L870/I870</f>
        <v>0.58099999999999996</v>
      </c>
      <c r="N870" s="63">
        <f>K870/L870</f>
        <v>2.2375215146299483E-2</v>
      </c>
      <c r="O870" s="63" t="s">
        <v>396</v>
      </c>
      <c r="P870" s="51" t="s">
        <v>416</v>
      </c>
      <c r="Q870" s="51" t="s">
        <v>534</v>
      </c>
      <c r="R870" s="51" t="s">
        <v>246</v>
      </c>
      <c r="S870" s="51" t="s">
        <v>909</v>
      </c>
      <c r="T870" s="20" t="s">
        <v>317</v>
      </c>
      <c r="U870" s="20" t="s">
        <v>318</v>
      </c>
      <c r="V870" s="20" t="s">
        <v>444</v>
      </c>
    </row>
    <row r="871" spans="1:22">
      <c r="A871" s="20" t="s">
        <v>500</v>
      </c>
      <c r="B871" s="20">
        <f>'Schattenhofer, SI Data'!A132</f>
        <v>22</v>
      </c>
      <c r="C871" s="20">
        <f>'Schattenhofer, SI Data'!E132</f>
        <v>150</v>
      </c>
      <c r="I871" s="51">
        <f>'Schattenhofer, SI Data'!F132</f>
        <v>360000</v>
      </c>
      <c r="J871" s="51">
        <f>'Schattenhofer, SI Data'!H132</f>
        <v>203400</v>
      </c>
      <c r="K871" s="51">
        <f>'Schattenhofer, SI Data'!M132</f>
        <v>9360</v>
      </c>
      <c r="L871" s="51">
        <f>J871+K871</f>
        <v>212760</v>
      </c>
      <c r="M871" s="63">
        <f>L871/I871</f>
        <v>0.59099999999999997</v>
      </c>
      <c r="N871" s="63">
        <f>K871/L871</f>
        <v>4.3993231810490696E-2</v>
      </c>
      <c r="O871" s="63" t="s">
        <v>396</v>
      </c>
      <c r="P871" s="51" t="s">
        <v>416</v>
      </c>
      <c r="Q871" s="51" t="s">
        <v>534</v>
      </c>
      <c r="R871" s="51" t="s">
        <v>246</v>
      </c>
      <c r="S871" s="51" t="s">
        <v>909</v>
      </c>
      <c r="T871" s="20" t="s">
        <v>317</v>
      </c>
      <c r="U871" s="20" t="s">
        <v>318</v>
      </c>
      <c r="V871" s="20" t="s">
        <v>444</v>
      </c>
    </row>
    <row r="872" spans="1:22">
      <c r="A872" s="20" t="s">
        <v>500</v>
      </c>
      <c r="B872" s="20">
        <f>'Schattenhofer, SI Data'!A177</f>
        <v>29</v>
      </c>
      <c r="C872" s="20">
        <f>'Schattenhofer, SI Data'!E177</f>
        <v>150</v>
      </c>
      <c r="I872" s="51">
        <f>'Schattenhofer, SI Data'!F177</f>
        <v>310000</v>
      </c>
      <c r="J872" s="51">
        <f>'Schattenhofer, SI Data'!H177</f>
        <v>173600</v>
      </c>
      <c r="K872" s="51">
        <f>'Schattenhofer, SI Data'!M177</f>
        <v>66650</v>
      </c>
      <c r="L872" s="51">
        <f>J872+K872</f>
        <v>240250</v>
      </c>
      <c r="M872" s="63">
        <f>L872/I872</f>
        <v>0.77500000000000002</v>
      </c>
      <c r="N872" s="63">
        <f>K872/L872</f>
        <v>0.27741935483870966</v>
      </c>
      <c r="O872" s="63" t="s">
        <v>396</v>
      </c>
      <c r="P872" s="51" t="s">
        <v>416</v>
      </c>
      <c r="Q872" s="51" t="s">
        <v>534</v>
      </c>
      <c r="R872" s="51" t="s">
        <v>246</v>
      </c>
      <c r="S872" s="51" t="s">
        <v>909</v>
      </c>
      <c r="T872" s="20" t="s">
        <v>317</v>
      </c>
      <c r="U872" s="20" t="s">
        <v>318</v>
      </c>
      <c r="V872" s="20" t="s">
        <v>444</v>
      </c>
    </row>
    <row r="873" spans="1:22">
      <c r="A873" s="20" t="s">
        <v>500</v>
      </c>
      <c r="B873" s="20">
        <f>'Schattenhofer, SI Data'!A191</f>
        <v>31</v>
      </c>
      <c r="C873" s="20">
        <f>'Schattenhofer, SI Data'!E191</f>
        <v>150</v>
      </c>
      <c r="I873" s="51">
        <f>'Schattenhofer, SI Data'!F191</f>
        <v>310000</v>
      </c>
      <c r="J873" s="51">
        <f>'Schattenhofer, SI Data'!H191</f>
        <v>175460</v>
      </c>
      <c r="K873" s="51">
        <f>'Schattenhofer, SI Data'!M191</f>
        <v>52390</v>
      </c>
      <c r="L873" s="51">
        <f>J873+K873</f>
        <v>227850</v>
      </c>
      <c r="M873" s="63">
        <f>L873/I873</f>
        <v>0.73499999999999999</v>
      </c>
      <c r="N873" s="63">
        <f>K873/L873</f>
        <v>0.22993197278911565</v>
      </c>
      <c r="O873" s="63" t="s">
        <v>396</v>
      </c>
      <c r="P873" s="51" t="s">
        <v>416</v>
      </c>
      <c r="Q873" s="51" t="s">
        <v>534</v>
      </c>
      <c r="R873" s="51" t="s">
        <v>246</v>
      </c>
      <c r="S873" s="51" t="s">
        <v>909</v>
      </c>
      <c r="T873" s="20" t="s">
        <v>317</v>
      </c>
      <c r="U873" s="20" t="s">
        <v>318</v>
      </c>
      <c r="V873" s="20" t="s">
        <v>444</v>
      </c>
    </row>
    <row r="874" spans="1:22">
      <c r="A874" s="20" t="s">
        <v>500</v>
      </c>
      <c r="B874" s="20">
        <f>'Schattenhofer, SI Data'!A274</f>
        <v>45</v>
      </c>
      <c r="C874" s="20">
        <f>'Schattenhofer, SI Data'!E274</f>
        <v>150</v>
      </c>
      <c r="I874" s="51">
        <f>'Schattenhofer, SI Data'!F274</f>
        <v>440000</v>
      </c>
      <c r="J874" s="51">
        <f>'Schattenhofer, SI Data'!H274</f>
        <v>299639.99999999994</v>
      </c>
      <c r="K874" s="51">
        <f>'Schattenhofer, SI Data'!M274</f>
        <v>24640</v>
      </c>
      <c r="L874" s="51">
        <f>J874+K874</f>
        <v>324279.99999999994</v>
      </c>
      <c r="M874" s="63">
        <f>L874/I874</f>
        <v>0.73699999999999988</v>
      </c>
      <c r="N874" s="63">
        <f>K874/L874</f>
        <v>7.5983717774762566E-2</v>
      </c>
      <c r="O874" s="63" t="s">
        <v>396</v>
      </c>
      <c r="P874" s="51" t="s">
        <v>416</v>
      </c>
      <c r="Q874" s="51" t="s">
        <v>534</v>
      </c>
      <c r="R874" s="51" t="s">
        <v>246</v>
      </c>
      <c r="S874" s="51" t="s">
        <v>909</v>
      </c>
      <c r="T874" s="20" t="s">
        <v>317</v>
      </c>
      <c r="U874" s="20" t="s">
        <v>318</v>
      </c>
      <c r="V874" s="20" t="s">
        <v>444</v>
      </c>
    </row>
    <row r="875" spans="1:22">
      <c r="A875" s="20" t="s">
        <v>500</v>
      </c>
      <c r="B875" s="20">
        <f>'Schattenhofer, SI Data'!A288</f>
        <v>47</v>
      </c>
      <c r="C875" s="20">
        <f>'Schattenhofer, SI Data'!E288</f>
        <v>150</v>
      </c>
      <c r="I875" s="51">
        <f>'Schattenhofer, SI Data'!F288</f>
        <v>300000</v>
      </c>
      <c r="J875" s="51">
        <f>'Schattenhofer, SI Data'!H288</f>
        <v>224100</v>
      </c>
      <c r="K875" s="51">
        <f>'Schattenhofer, SI Data'!M288</f>
        <v>27900</v>
      </c>
      <c r="L875" s="51">
        <f>J875+K875</f>
        <v>252000</v>
      </c>
      <c r="M875" s="63">
        <f>L875/I875</f>
        <v>0.84</v>
      </c>
      <c r="N875" s="63">
        <f>K875/L875</f>
        <v>0.11071428571428571</v>
      </c>
      <c r="O875" s="63" t="s">
        <v>396</v>
      </c>
      <c r="P875" s="51" t="s">
        <v>416</v>
      </c>
      <c r="Q875" s="51" t="s">
        <v>534</v>
      </c>
      <c r="R875" s="51" t="s">
        <v>246</v>
      </c>
      <c r="S875" s="51" t="s">
        <v>909</v>
      </c>
      <c r="T875" s="20" t="s">
        <v>317</v>
      </c>
      <c r="U875" s="20" t="s">
        <v>318</v>
      </c>
      <c r="V875" s="20" t="s">
        <v>444</v>
      </c>
    </row>
    <row r="876" spans="1:22">
      <c r="A876" s="20" t="s">
        <v>500</v>
      </c>
      <c r="B876" s="20">
        <f>'Schattenhofer, SI Data'!A350</f>
        <v>58</v>
      </c>
      <c r="C876" s="20">
        <f>'Schattenhofer, SI Data'!E350</f>
        <v>150</v>
      </c>
      <c r="I876" s="51">
        <f>'Schattenhofer, SI Data'!F350</f>
        <v>430000</v>
      </c>
      <c r="J876" s="51">
        <f>'Schattenhofer, SI Data'!H350</f>
        <v>183180</v>
      </c>
      <c r="K876" s="51">
        <f>'Schattenhofer, SI Data'!M350</f>
        <v>69660.000000000015</v>
      </c>
      <c r="L876" s="51">
        <f>J876+K876</f>
        <v>252840</v>
      </c>
      <c r="M876" s="63">
        <f>L876/I876</f>
        <v>0.58799999999999997</v>
      </c>
      <c r="N876" s="63">
        <f>K876/L876</f>
        <v>0.27551020408163274</v>
      </c>
      <c r="O876" s="63" t="s">
        <v>396</v>
      </c>
      <c r="P876" s="51" t="s">
        <v>416</v>
      </c>
      <c r="Q876" s="51" t="s">
        <v>534</v>
      </c>
      <c r="R876" s="51" t="s">
        <v>246</v>
      </c>
      <c r="S876" s="51" t="s">
        <v>909</v>
      </c>
      <c r="T876" s="20" t="s">
        <v>317</v>
      </c>
      <c r="U876" s="20" t="s">
        <v>318</v>
      </c>
      <c r="V876" s="20" t="s">
        <v>444</v>
      </c>
    </row>
    <row r="877" spans="1:22">
      <c r="A877" s="20" t="s">
        <v>500</v>
      </c>
      <c r="B877" s="20">
        <f>'Schattenhofer, SI Data'!A241</f>
        <v>40</v>
      </c>
      <c r="C877" s="20">
        <f>'Schattenhofer, SI Data'!E241</f>
        <v>160</v>
      </c>
      <c r="I877" s="51">
        <f>'Schattenhofer, SI Data'!F241</f>
        <v>300000</v>
      </c>
      <c r="J877" s="51">
        <f>'Schattenhofer, SI Data'!H241</f>
        <v>178500</v>
      </c>
      <c r="K877" s="51">
        <f>'Schattenhofer, SI Data'!M241</f>
        <v>23700</v>
      </c>
      <c r="L877" s="51">
        <f>J877+K877</f>
        <v>202200</v>
      </c>
      <c r="M877" s="63">
        <f>L877/I877</f>
        <v>0.67400000000000004</v>
      </c>
      <c r="N877" s="63">
        <f>K877/L877</f>
        <v>0.1172106824925816</v>
      </c>
      <c r="O877" s="63" t="s">
        <v>396</v>
      </c>
      <c r="P877" s="51" t="s">
        <v>416</v>
      </c>
      <c r="Q877" s="51" t="s">
        <v>534</v>
      </c>
      <c r="R877" s="51" t="s">
        <v>246</v>
      </c>
      <c r="S877" s="51" t="s">
        <v>909</v>
      </c>
      <c r="T877" s="20" t="s">
        <v>317</v>
      </c>
      <c r="U877" s="20" t="s">
        <v>318</v>
      </c>
      <c r="V877" s="20" t="s">
        <v>444</v>
      </c>
    </row>
    <row r="878" spans="1:22">
      <c r="A878" s="20" t="s">
        <v>500</v>
      </c>
      <c r="B878" s="20">
        <f>'Schattenhofer, SI Data'!A126</f>
        <v>21</v>
      </c>
      <c r="C878" s="20">
        <f>'Schattenhofer, SI Data'!E126</f>
        <v>165</v>
      </c>
      <c r="I878" s="51">
        <f>'Schattenhofer, SI Data'!F126</f>
        <v>340000</v>
      </c>
      <c r="J878" s="51">
        <f>'Schattenhofer, SI Data'!H126</f>
        <v>189380</v>
      </c>
      <c r="K878" s="51">
        <f>'Schattenhofer, SI Data'!M126</f>
        <v>18360</v>
      </c>
      <c r="L878" s="51">
        <f>J878+K878</f>
        <v>207740</v>
      </c>
      <c r="M878" s="63">
        <f>L878/I878</f>
        <v>0.61099999999999999</v>
      </c>
      <c r="N878" s="63">
        <f>K878/L878</f>
        <v>8.8379705400982E-2</v>
      </c>
      <c r="O878" s="63" t="s">
        <v>396</v>
      </c>
      <c r="P878" s="51" t="s">
        <v>416</v>
      </c>
      <c r="Q878" s="51" t="s">
        <v>534</v>
      </c>
      <c r="R878" s="51" t="s">
        <v>246</v>
      </c>
      <c r="S878" s="51" t="s">
        <v>909</v>
      </c>
      <c r="T878" s="20" t="s">
        <v>317</v>
      </c>
      <c r="U878" s="20" t="s">
        <v>318</v>
      </c>
      <c r="V878" s="20" t="s">
        <v>444</v>
      </c>
    </row>
    <row r="879" spans="1:22">
      <c r="A879" s="20" t="s">
        <v>500</v>
      </c>
      <c r="B879" s="20">
        <f>'Schattenhofer, SI Data'!A10</f>
        <v>1</v>
      </c>
      <c r="C879" s="20">
        <f>'Schattenhofer, SI Data'!E10</f>
        <v>175</v>
      </c>
      <c r="I879" s="51">
        <f>'Schattenhofer, SI Data'!F10</f>
        <v>930000</v>
      </c>
      <c r="J879" s="51">
        <f>'Schattenhofer, SI Data'!H10</f>
        <v>438960</v>
      </c>
      <c r="K879" s="51">
        <f>'Schattenhofer, SI Data'!M10</f>
        <v>240870</v>
      </c>
      <c r="L879" s="51">
        <f>J879+K879</f>
        <v>679830</v>
      </c>
      <c r="M879" s="63">
        <f>L879/I879</f>
        <v>0.73099999999999998</v>
      </c>
      <c r="N879" s="63">
        <f>K879/L879</f>
        <v>0.3543091655266758</v>
      </c>
      <c r="O879" s="63" t="s">
        <v>396</v>
      </c>
      <c r="P879" s="51" t="s">
        <v>416</v>
      </c>
      <c r="Q879" s="51" t="s">
        <v>534</v>
      </c>
      <c r="R879" s="51" t="s">
        <v>246</v>
      </c>
      <c r="S879" s="51" t="s">
        <v>909</v>
      </c>
      <c r="T879" s="20" t="s">
        <v>317</v>
      </c>
      <c r="U879" s="20" t="s">
        <v>318</v>
      </c>
      <c r="V879" s="20" t="s">
        <v>444</v>
      </c>
    </row>
    <row r="880" spans="1:22">
      <c r="A880" s="20" t="s">
        <v>500</v>
      </c>
      <c r="B880" s="20">
        <f>'Schattenhofer, SI Data'!A159</f>
        <v>26</v>
      </c>
      <c r="C880" s="20">
        <f>'Schattenhofer, SI Data'!E159</f>
        <v>180</v>
      </c>
      <c r="I880" s="51">
        <f>'Schattenhofer, SI Data'!F159</f>
        <v>230000</v>
      </c>
      <c r="J880" s="51">
        <f>'Schattenhofer, SI Data'!H159</f>
        <v>129490</v>
      </c>
      <c r="K880" s="51">
        <f>'Schattenhofer, SI Data'!M159</f>
        <v>43930</v>
      </c>
      <c r="L880" s="51">
        <f>J880+K880</f>
        <v>173420</v>
      </c>
      <c r="M880" s="63">
        <f>L880/I880</f>
        <v>0.754</v>
      </c>
      <c r="N880" s="63">
        <f>K880/L880</f>
        <v>0.25331564986737398</v>
      </c>
      <c r="O880" s="63" t="s">
        <v>396</v>
      </c>
      <c r="P880" s="51" t="s">
        <v>416</v>
      </c>
      <c r="Q880" s="51" t="s">
        <v>534</v>
      </c>
      <c r="R880" s="51" t="s">
        <v>246</v>
      </c>
      <c r="S880" s="51" t="s">
        <v>909</v>
      </c>
      <c r="T880" s="20" t="s">
        <v>317</v>
      </c>
      <c r="U880" s="20" t="s">
        <v>318</v>
      </c>
      <c r="V880" s="20" t="s">
        <v>444</v>
      </c>
    </row>
    <row r="881" spans="1:22">
      <c r="A881" s="20" t="s">
        <v>500</v>
      </c>
      <c r="B881" s="20">
        <f>'Schattenhofer, SI Data'!A205</f>
        <v>33</v>
      </c>
      <c r="C881" s="20">
        <f>'Schattenhofer, SI Data'!E205</f>
        <v>180</v>
      </c>
      <c r="I881" s="51">
        <f>'Schattenhofer, SI Data'!F205</f>
        <v>250000</v>
      </c>
      <c r="J881" s="51">
        <f>'Schattenhofer, SI Data'!H205</f>
        <v>129250</v>
      </c>
      <c r="K881" s="51">
        <f>'Schattenhofer, SI Data'!M205</f>
        <v>29750</v>
      </c>
      <c r="L881" s="51">
        <f>J881+K881</f>
        <v>159000</v>
      </c>
      <c r="M881" s="63">
        <f>L881/I881</f>
        <v>0.63600000000000001</v>
      </c>
      <c r="N881" s="63">
        <f>K881/L881</f>
        <v>0.1871069182389937</v>
      </c>
      <c r="O881" s="63" t="s">
        <v>396</v>
      </c>
      <c r="P881" s="51" t="s">
        <v>416</v>
      </c>
      <c r="Q881" s="51" t="s">
        <v>534</v>
      </c>
      <c r="R881" s="51" t="s">
        <v>246</v>
      </c>
      <c r="S881" s="51" t="s">
        <v>909</v>
      </c>
      <c r="T881" s="20" t="s">
        <v>317</v>
      </c>
      <c r="U881" s="20" t="s">
        <v>318</v>
      </c>
      <c r="V881" s="20" t="s">
        <v>444</v>
      </c>
    </row>
    <row r="882" spans="1:22">
      <c r="A882" s="20" t="s">
        <v>500</v>
      </c>
      <c r="B882" s="20">
        <f>'Schattenhofer, SI Data'!A376</f>
        <v>62</v>
      </c>
      <c r="C882" s="20">
        <f>'Schattenhofer, SI Data'!E376</f>
        <v>180</v>
      </c>
      <c r="I882" s="51">
        <f>'Schattenhofer, SI Data'!F376</f>
        <v>360000</v>
      </c>
      <c r="J882" s="51">
        <f>'Schattenhofer, SI Data'!H376</f>
        <v>189720</v>
      </c>
      <c r="K882" s="51">
        <f>'Schattenhofer, SI Data'!M376</f>
        <v>64080</v>
      </c>
      <c r="L882" s="51">
        <f>J882+K882</f>
        <v>253800</v>
      </c>
      <c r="M882" s="63">
        <f>L882/I882</f>
        <v>0.70499999999999996</v>
      </c>
      <c r="N882" s="63">
        <f>K882/L882</f>
        <v>0.25248226950354608</v>
      </c>
      <c r="O882" s="63" t="s">
        <v>396</v>
      </c>
      <c r="P882" s="51" t="s">
        <v>416</v>
      </c>
      <c r="Q882" s="51" t="s">
        <v>534</v>
      </c>
      <c r="R882" s="51" t="s">
        <v>246</v>
      </c>
      <c r="S882" s="51" t="s">
        <v>909</v>
      </c>
      <c r="T882" s="20" t="s">
        <v>317</v>
      </c>
      <c r="U882" s="20" t="s">
        <v>318</v>
      </c>
      <c r="V882" s="20" t="s">
        <v>444</v>
      </c>
    </row>
    <row r="883" spans="1:22">
      <c r="A883" s="20" t="s">
        <v>500</v>
      </c>
      <c r="B883" s="20">
        <f>'Schattenhofer, SI Data'!A22</f>
        <v>3</v>
      </c>
      <c r="C883" s="20">
        <f>'Schattenhofer, SI Data'!E22</f>
        <v>200</v>
      </c>
      <c r="I883" s="51">
        <f>'Schattenhofer, SI Data'!F22</f>
        <v>270000</v>
      </c>
      <c r="J883" s="51">
        <f>'Schattenhofer, SI Data'!H22</f>
        <v>119070</v>
      </c>
      <c r="K883" s="51">
        <f>'Schattenhofer, SI Data'!M22</f>
        <v>52110</v>
      </c>
      <c r="L883" s="51">
        <f>J883+K883</f>
        <v>171180</v>
      </c>
      <c r="M883" s="63">
        <f>L883/I883</f>
        <v>0.63400000000000001</v>
      </c>
      <c r="N883" s="63">
        <f>K883/L883</f>
        <v>0.30441640378548895</v>
      </c>
      <c r="O883" s="63" t="s">
        <v>396</v>
      </c>
      <c r="P883" s="51" t="s">
        <v>416</v>
      </c>
      <c r="Q883" s="51" t="s">
        <v>534</v>
      </c>
      <c r="R883" s="51" t="s">
        <v>246</v>
      </c>
      <c r="S883" s="51" t="s">
        <v>909</v>
      </c>
      <c r="T883" s="20" t="s">
        <v>317</v>
      </c>
      <c r="U883" s="20" t="s">
        <v>318</v>
      </c>
      <c r="V883" s="20" t="s">
        <v>444</v>
      </c>
    </row>
    <row r="884" spans="1:22">
      <c r="A884" s="20" t="s">
        <v>500</v>
      </c>
      <c r="B884" s="20">
        <f>'Schattenhofer, SI Data'!A52</f>
        <v>8</v>
      </c>
      <c r="C884" s="20">
        <f>'Schattenhofer, SI Data'!E52</f>
        <v>200</v>
      </c>
      <c r="I884" s="51">
        <f>'Schattenhofer, SI Data'!F52</f>
        <v>200000</v>
      </c>
      <c r="J884" s="51">
        <f>'Schattenhofer, SI Data'!H52</f>
        <v>89600</v>
      </c>
      <c r="K884" s="51">
        <f>'Schattenhofer, SI Data'!M52</f>
        <v>27000</v>
      </c>
      <c r="L884" s="51">
        <f>J884+K884</f>
        <v>116600</v>
      </c>
      <c r="M884" s="63">
        <f>L884/I884</f>
        <v>0.58299999999999996</v>
      </c>
      <c r="N884" s="63">
        <f>K884/L884</f>
        <v>0.23156089193825044</v>
      </c>
      <c r="O884" s="63" t="s">
        <v>396</v>
      </c>
      <c r="P884" s="51" t="s">
        <v>416</v>
      </c>
      <c r="Q884" s="51" t="s">
        <v>534</v>
      </c>
      <c r="R884" s="51" t="s">
        <v>246</v>
      </c>
      <c r="S884" s="51" t="s">
        <v>909</v>
      </c>
      <c r="T884" s="20" t="s">
        <v>317</v>
      </c>
      <c r="U884" s="20" t="s">
        <v>318</v>
      </c>
      <c r="V884" s="20" t="s">
        <v>444</v>
      </c>
    </row>
    <row r="885" spans="1:22">
      <c r="A885" s="20" t="s">
        <v>500</v>
      </c>
      <c r="B885" s="20">
        <f>'Schattenhofer, SI Data'!A75</f>
        <v>13</v>
      </c>
      <c r="C885" s="20">
        <f>'Schattenhofer, SI Data'!E75</f>
        <v>200</v>
      </c>
      <c r="I885" s="51">
        <f>'Schattenhofer, SI Data'!F75</f>
        <v>490000</v>
      </c>
      <c r="J885" s="51">
        <f>'Schattenhofer, SI Data'!H75</f>
        <v>320950</v>
      </c>
      <c r="K885" s="51">
        <f>'Schattenhofer, SI Data'!M75</f>
        <v>29890</v>
      </c>
      <c r="L885" s="51">
        <f>J885+K885</f>
        <v>350840</v>
      </c>
      <c r="M885" s="63">
        <f>L885/I885</f>
        <v>0.71599999999999997</v>
      </c>
      <c r="N885" s="63">
        <f>K885/L885</f>
        <v>8.5195530726256977E-2</v>
      </c>
      <c r="O885" s="63" t="s">
        <v>396</v>
      </c>
      <c r="P885" s="51" t="s">
        <v>416</v>
      </c>
      <c r="Q885" s="51" t="s">
        <v>534</v>
      </c>
      <c r="R885" s="51" t="s">
        <v>246</v>
      </c>
      <c r="S885" s="51" t="s">
        <v>909</v>
      </c>
      <c r="T885" s="20" t="s">
        <v>317</v>
      </c>
      <c r="U885" s="20" t="s">
        <v>318</v>
      </c>
      <c r="V885" s="20" t="s">
        <v>444</v>
      </c>
    </row>
    <row r="886" spans="1:22">
      <c r="A886" s="20" t="s">
        <v>500</v>
      </c>
      <c r="B886" s="20">
        <f>'Schattenhofer, SI Data'!A95</f>
        <v>16</v>
      </c>
      <c r="C886" s="20">
        <f>'Schattenhofer, SI Data'!E95</f>
        <v>200</v>
      </c>
      <c r="I886" s="51">
        <f>'Schattenhofer, SI Data'!F95</f>
        <v>210000</v>
      </c>
      <c r="J886" s="51">
        <f>'Schattenhofer, SI Data'!H95</f>
        <v>105210</v>
      </c>
      <c r="K886" s="51">
        <f>'Schattenhofer, SI Data'!M95</f>
        <v>22050</v>
      </c>
      <c r="L886" s="51">
        <f>J886+K886</f>
        <v>127260</v>
      </c>
      <c r="M886" s="63">
        <f>L886/I886</f>
        <v>0.60599999999999998</v>
      </c>
      <c r="N886" s="63">
        <f>K886/L886</f>
        <v>0.17326732673267325</v>
      </c>
      <c r="O886" s="63" t="s">
        <v>396</v>
      </c>
      <c r="P886" s="51" t="s">
        <v>416</v>
      </c>
      <c r="Q886" s="51" t="s">
        <v>534</v>
      </c>
      <c r="R886" s="51" t="s">
        <v>246</v>
      </c>
      <c r="S886" s="51" t="s">
        <v>909</v>
      </c>
      <c r="T886" s="20" t="s">
        <v>317</v>
      </c>
      <c r="U886" s="20" t="s">
        <v>318</v>
      </c>
      <c r="V886" s="20" t="s">
        <v>444</v>
      </c>
    </row>
    <row r="887" spans="1:22">
      <c r="A887" s="20" t="s">
        <v>500</v>
      </c>
      <c r="B887" s="20">
        <f>'Schattenhofer, SI Data'!A139</f>
        <v>23</v>
      </c>
      <c r="C887" s="20">
        <f>'Schattenhofer, SI Data'!E139</f>
        <v>200</v>
      </c>
      <c r="I887" s="51">
        <f>'Schattenhofer, SI Data'!F139</f>
        <v>190000</v>
      </c>
      <c r="J887" s="51">
        <f>'Schattenhofer, SI Data'!H139</f>
        <v>88540</v>
      </c>
      <c r="K887" s="51">
        <f>'Schattenhofer, SI Data'!M139</f>
        <v>24510</v>
      </c>
      <c r="L887" s="51">
        <f>J887+K887</f>
        <v>113050</v>
      </c>
      <c r="M887" s="63">
        <f>L887/I887</f>
        <v>0.59499999999999997</v>
      </c>
      <c r="N887" s="63">
        <f>K887/L887</f>
        <v>0.21680672268907564</v>
      </c>
      <c r="O887" s="63" t="s">
        <v>396</v>
      </c>
      <c r="P887" s="51" t="s">
        <v>416</v>
      </c>
      <c r="Q887" s="51" t="s">
        <v>534</v>
      </c>
      <c r="R887" s="51" t="s">
        <v>246</v>
      </c>
      <c r="S887" s="51" t="s">
        <v>909</v>
      </c>
      <c r="T887" s="20" t="s">
        <v>317</v>
      </c>
      <c r="U887" s="20" t="s">
        <v>318</v>
      </c>
      <c r="V887" s="20" t="s">
        <v>444</v>
      </c>
    </row>
    <row r="888" spans="1:22">
      <c r="A888" s="20" t="s">
        <v>500</v>
      </c>
      <c r="B888" s="20">
        <f>'Schattenhofer, SI Data'!A151</f>
        <v>25</v>
      </c>
      <c r="C888" s="20">
        <f>'Schattenhofer, SI Data'!E151</f>
        <v>200</v>
      </c>
      <c r="I888" s="51">
        <f>'Schattenhofer, SI Data'!F151</f>
        <v>210000</v>
      </c>
      <c r="J888" s="51">
        <f>'Schattenhofer, SI Data'!H151</f>
        <v>93240</v>
      </c>
      <c r="K888" s="51">
        <f>'Schattenhofer, SI Data'!M151</f>
        <v>34650</v>
      </c>
      <c r="L888" s="51">
        <f>J888+K888</f>
        <v>127890</v>
      </c>
      <c r="M888" s="63">
        <f>L888/I888</f>
        <v>0.60899999999999999</v>
      </c>
      <c r="N888" s="63">
        <f>K888/L888</f>
        <v>0.27093596059113301</v>
      </c>
      <c r="O888" s="63" t="s">
        <v>396</v>
      </c>
      <c r="P888" s="51" t="s">
        <v>416</v>
      </c>
      <c r="Q888" s="51" t="s">
        <v>534</v>
      </c>
      <c r="R888" s="51" t="s">
        <v>246</v>
      </c>
      <c r="S888" s="51" t="s">
        <v>909</v>
      </c>
      <c r="T888" s="20" t="s">
        <v>317</v>
      </c>
      <c r="U888" s="20" t="s">
        <v>318</v>
      </c>
      <c r="V888" s="20" t="s">
        <v>444</v>
      </c>
    </row>
    <row r="889" spans="1:22">
      <c r="A889" s="20" t="s">
        <v>500</v>
      </c>
      <c r="B889" s="20">
        <f>'Schattenhofer, SI Data'!A171</f>
        <v>28</v>
      </c>
      <c r="C889" s="20">
        <f>'Schattenhofer, SI Data'!E171</f>
        <v>200</v>
      </c>
      <c r="I889" s="51">
        <f>'Schattenhofer, SI Data'!F171</f>
        <v>330000</v>
      </c>
      <c r="J889" s="51">
        <f>'Schattenhofer, SI Data'!H171</f>
        <v>169620</v>
      </c>
      <c r="K889" s="51">
        <f>'Schattenhofer, SI Data'!M171</f>
        <v>72930</v>
      </c>
      <c r="L889" s="51">
        <f>J889+K889</f>
        <v>242550</v>
      </c>
      <c r="M889" s="63">
        <f>L889/I889</f>
        <v>0.73499999999999999</v>
      </c>
      <c r="N889" s="63">
        <f>K889/L889</f>
        <v>0.30068027210884352</v>
      </c>
      <c r="O889" s="63" t="s">
        <v>396</v>
      </c>
      <c r="P889" s="51" t="s">
        <v>416</v>
      </c>
      <c r="Q889" s="51" t="s">
        <v>534</v>
      </c>
      <c r="R889" s="51" t="s">
        <v>246</v>
      </c>
      <c r="S889" s="51" t="s">
        <v>909</v>
      </c>
      <c r="T889" s="20" t="s">
        <v>317</v>
      </c>
      <c r="U889" s="20" t="s">
        <v>318</v>
      </c>
      <c r="V889" s="20" t="s">
        <v>444</v>
      </c>
    </row>
    <row r="890" spans="1:22">
      <c r="A890" s="20" t="s">
        <v>500</v>
      </c>
      <c r="B890" s="20">
        <f>'Schattenhofer, SI Data'!A197</f>
        <v>32</v>
      </c>
      <c r="C890" s="20">
        <f>'Schattenhofer, SI Data'!E197</f>
        <v>200</v>
      </c>
      <c r="I890" s="51">
        <f>'Schattenhofer, SI Data'!F197</f>
        <v>270000</v>
      </c>
      <c r="J890" s="51">
        <f>'Schattenhofer, SI Data'!H197</f>
        <v>139590</v>
      </c>
      <c r="K890" s="51">
        <f>'Schattenhofer, SI Data'!M197</f>
        <v>39420</v>
      </c>
      <c r="L890" s="51">
        <f>J890+K890</f>
        <v>179010</v>
      </c>
      <c r="M890" s="63">
        <f>L890/I890</f>
        <v>0.66300000000000003</v>
      </c>
      <c r="N890" s="63">
        <f>K890/L890</f>
        <v>0.22021116138763197</v>
      </c>
      <c r="O890" s="63" t="s">
        <v>396</v>
      </c>
      <c r="P890" s="51" t="s">
        <v>416</v>
      </c>
      <c r="Q890" s="51" t="s">
        <v>534</v>
      </c>
      <c r="R890" s="51" t="s">
        <v>246</v>
      </c>
      <c r="S890" s="51" t="s">
        <v>909</v>
      </c>
      <c r="T890" s="20" t="s">
        <v>317</v>
      </c>
      <c r="U890" s="20" t="s">
        <v>318</v>
      </c>
      <c r="V890" s="20" t="s">
        <v>444</v>
      </c>
    </row>
    <row r="891" spans="1:22">
      <c r="A891" s="20" t="s">
        <v>500</v>
      </c>
      <c r="B891" s="20">
        <f>'Schattenhofer, SI Data'!A217</f>
        <v>35</v>
      </c>
      <c r="C891" s="20">
        <f>'Schattenhofer, SI Data'!E217</f>
        <v>200</v>
      </c>
      <c r="I891" s="51">
        <f>'Schattenhofer, SI Data'!F217</f>
        <v>240000</v>
      </c>
      <c r="J891" s="51">
        <f>'Schattenhofer, SI Data'!H217</f>
        <v>136320</v>
      </c>
      <c r="K891" s="51">
        <f>'Schattenhofer, SI Data'!M217</f>
        <v>63360</v>
      </c>
      <c r="L891" s="51">
        <f>J891+K891</f>
        <v>199680</v>
      </c>
      <c r="M891" s="63">
        <f>L891/I891</f>
        <v>0.83199999999999996</v>
      </c>
      <c r="N891" s="63">
        <f>K891/L891</f>
        <v>0.31730769230769229</v>
      </c>
      <c r="O891" s="63" t="s">
        <v>396</v>
      </c>
      <c r="P891" s="51" t="s">
        <v>416</v>
      </c>
      <c r="Q891" s="51" t="s">
        <v>534</v>
      </c>
      <c r="R891" s="51" t="s">
        <v>246</v>
      </c>
      <c r="S891" s="51" t="s">
        <v>909</v>
      </c>
      <c r="T891" s="20" t="s">
        <v>317</v>
      </c>
      <c r="U891" s="20" t="s">
        <v>318</v>
      </c>
      <c r="V891" s="20" t="s">
        <v>444</v>
      </c>
    </row>
    <row r="892" spans="1:22">
      <c r="A892" s="20" t="s">
        <v>500</v>
      </c>
      <c r="B892" s="20">
        <f>'Schattenhofer, SI Data'!A230</f>
        <v>38</v>
      </c>
      <c r="C892" s="20">
        <f>'Schattenhofer, SI Data'!E230</f>
        <v>200</v>
      </c>
      <c r="I892" s="51">
        <f>'Schattenhofer, SI Data'!F230</f>
        <v>230000</v>
      </c>
      <c r="J892" s="51">
        <f>'Schattenhofer, SI Data'!H230</f>
        <v>111320</v>
      </c>
      <c r="K892" s="51">
        <f>'Schattenhofer, SI Data'!M230</f>
        <v>43470</v>
      </c>
      <c r="L892" s="51">
        <f>J892+K892</f>
        <v>154790</v>
      </c>
      <c r="M892" s="63">
        <f>L892/I892</f>
        <v>0.67300000000000004</v>
      </c>
      <c r="N892" s="63">
        <f>K892/L892</f>
        <v>0.28083209509658247</v>
      </c>
      <c r="O892" s="63" t="s">
        <v>396</v>
      </c>
      <c r="P892" s="51" t="s">
        <v>416</v>
      </c>
      <c r="Q892" s="51" t="s">
        <v>534</v>
      </c>
      <c r="R892" s="51" t="s">
        <v>246</v>
      </c>
      <c r="S892" s="51" t="s">
        <v>909</v>
      </c>
      <c r="T892" s="20" t="s">
        <v>317</v>
      </c>
      <c r="U892" s="20" t="s">
        <v>318</v>
      </c>
      <c r="V892" s="20" t="s">
        <v>444</v>
      </c>
    </row>
    <row r="893" spans="1:22">
      <c r="A893" s="20" t="s">
        <v>500</v>
      </c>
      <c r="B893" s="20">
        <f>'Schattenhofer, SI Data'!A256</f>
        <v>42</v>
      </c>
      <c r="C893" s="20">
        <f>'Schattenhofer, SI Data'!E256</f>
        <v>200</v>
      </c>
      <c r="I893" s="51">
        <f>'Schattenhofer, SI Data'!F256</f>
        <v>200000</v>
      </c>
      <c r="J893" s="51">
        <f>'Schattenhofer, SI Data'!H256</f>
        <v>96400</v>
      </c>
      <c r="K893" s="51">
        <f>'Schattenhofer, SI Data'!M256</f>
        <v>36600.000000000007</v>
      </c>
      <c r="L893" s="51">
        <f>J893+K893</f>
        <v>133000</v>
      </c>
      <c r="M893" s="63">
        <f>L893/I893</f>
        <v>0.66500000000000004</v>
      </c>
      <c r="N893" s="63">
        <f>K893/L893</f>
        <v>0.27518796992481209</v>
      </c>
      <c r="O893" s="63" t="s">
        <v>396</v>
      </c>
      <c r="P893" s="51" t="s">
        <v>416</v>
      </c>
      <c r="Q893" s="51" t="s">
        <v>534</v>
      </c>
      <c r="R893" s="51" t="s">
        <v>246</v>
      </c>
      <c r="S893" s="51" t="s">
        <v>909</v>
      </c>
      <c r="T893" s="20" t="s">
        <v>317</v>
      </c>
      <c r="U893" s="20" t="s">
        <v>318</v>
      </c>
      <c r="V893" s="20" t="s">
        <v>444</v>
      </c>
    </row>
    <row r="894" spans="1:22">
      <c r="A894" s="20" t="s">
        <v>500</v>
      </c>
      <c r="B894" s="20">
        <f>'Schattenhofer, SI Data'!A306</f>
        <v>50</v>
      </c>
      <c r="C894" s="20">
        <f>'Schattenhofer, SI Data'!E306</f>
        <v>200</v>
      </c>
      <c r="I894" s="51">
        <f>'Schattenhofer, SI Data'!F306</f>
        <v>310000</v>
      </c>
      <c r="J894" s="51">
        <f>'Schattenhofer, SI Data'!H306</f>
        <v>146320</v>
      </c>
      <c r="K894" s="51">
        <f>'Schattenhofer, SI Data'!M306</f>
        <v>39990</v>
      </c>
      <c r="L894" s="51">
        <f>J894+K894</f>
        <v>186310</v>
      </c>
      <c r="M894" s="63">
        <f>L894/I894</f>
        <v>0.60099999999999998</v>
      </c>
      <c r="N894" s="63">
        <f>K894/L894</f>
        <v>0.21464226289517471</v>
      </c>
      <c r="O894" s="63" t="s">
        <v>396</v>
      </c>
      <c r="P894" s="51" t="s">
        <v>416</v>
      </c>
      <c r="Q894" s="51" t="s">
        <v>534</v>
      </c>
      <c r="R894" s="51" t="s">
        <v>246</v>
      </c>
      <c r="S894" s="51" t="s">
        <v>909</v>
      </c>
      <c r="T894" s="20" t="s">
        <v>317</v>
      </c>
      <c r="U894" s="20" t="s">
        <v>318</v>
      </c>
      <c r="V894" s="20" t="s">
        <v>444</v>
      </c>
    </row>
    <row r="895" spans="1:22">
      <c r="A895" s="20" t="s">
        <v>500</v>
      </c>
      <c r="B895" s="20">
        <f>'Schattenhofer, SI Data'!A318</f>
        <v>52</v>
      </c>
      <c r="C895" s="20">
        <f>'Schattenhofer, SI Data'!E318</f>
        <v>200</v>
      </c>
      <c r="I895" s="51">
        <f>'Schattenhofer, SI Data'!F318</f>
        <v>280000</v>
      </c>
      <c r="J895" s="51">
        <f>'Schattenhofer, SI Data'!H318</f>
        <v>113960</v>
      </c>
      <c r="K895" s="51">
        <f>'Schattenhofer, SI Data'!M318</f>
        <v>28840</v>
      </c>
      <c r="L895" s="51">
        <f>J895+K895</f>
        <v>142800</v>
      </c>
      <c r="M895" s="63">
        <f>L895/I895</f>
        <v>0.51</v>
      </c>
      <c r="N895" s="63">
        <f>K895/L895</f>
        <v>0.20196078431372549</v>
      </c>
      <c r="O895" s="63" t="s">
        <v>396</v>
      </c>
      <c r="P895" s="51" t="s">
        <v>416</v>
      </c>
      <c r="Q895" s="51" t="s">
        <v>534</v>
      </c>
      <c r="R895" s="51" t="s">
        <v>246</v>
      </c>
      <c r="S895" s="51" t="s">
        <v>909</v>
      </c>
      <c r="T895" s="20" t="s">
        <v>317</v>
      </c>
      <c r="U895" s="20" t="s">
        <v>318</v>
      </c>
      <c r="V895" s="20" t="s">
        <v>444</v>
      </c>
    </row>
    <row r="896" spans="1:22">
      <c r="A896" s="20" t="s">
        <v>500</v>
      </c>
      <c r="B896" s="20">
        <f>'Schattenhofer, SI Data'!A332</f>
        <v>54</v>
      </c>
      <c r="C896" s="20">
        <f>'Schattenhofer, SI Data'!E332</f>
        <v>200</v>
      </c>
      <c r="I896" s="51">
        <f>'Schattenhofer, SI Data'!F332</f>
        <v>360000</v>
      </c>
      <c r="J896" s="51">
        <f>'Schattenhofer, SI Data'!H332</f>
        <v>178920</v>
      </c>
      <c r="K896" s="51">
        <f>'Schattenhofer, SI Data'!M332</f>
        <v>48960</v>
      </c>
      <c r="L896" s="51">
        <f>J896+K896</f>
        <v>227880</v>
      </c>
      <c r="M896" s="63">
        <f>L896/I896</f>
        <v>0.63300000000000001</v>
      </c>
      <c r="N896" s="63">
        <f>K896/L896</f>
        <v>0.21484992101105846</v>
      </c>
      <c r="O896" s="63" t="s">
        <v>396</v>
      </c>
      <c r="P896" s="51" t="s">
        <v>416</v>
      </c>
      <c r="Q896" s="51" t="s">
        <v>534</v>
      </c>
      <c r="R896" s="51" t="s">
        <v>246</v>
      </c>
      <c r="S896" s="51" t="s">
        <v>909</v>
      </c>
      <c r="T896" s="20" t="s">
        <v>317</v>
      </c>
      <c r="U896" s="20" t="s">
        <v>318</v>
      </c>
      <c r="V896" s="20" t="s">
        <v>444</v>
      </c>
    </row>
    <row r="897" spans="1:22">
      <c r="A897" s="20" t="s">
        <v>500</v>
      </c>
      <c r="B897" s="20">
        <f>'Schattenhofer, SI Data'!A362</f>
        <v>60</v>
      </c>
      <c r="C897" s="20">
        <f>'Schattenhofer, SI Data'!E362</f>
        <v>200</v>
      </c>
      <c r="I897" s="51">
        <f>'Schattenhofer, SI Data'!F362</f>
        <v>330000</v>
      </c>
      <c r="J897" s="51">
        <f>'Schattenhofer, SI Data'!H362</f>
        <v>172590</v>
      </c>
      <c r="K897" s="51">
        <f>'Schattenhofer, SI Data'!M362</f>
        <v>48840</v>
      </c>
      <c r="L897" s="51">
        <f>J897+K897</f>
        <v>221430</v>
      </c>
      <c r="M897" s="63">
        <f>L897/I897</f>
        <v>0.67100000000000004</v>
      </c>
      <c r="N897" s="63">
        <f>K897/L897</f>
        <v>0.22056631892697467</v>
      </c>
      <c r="O897" s="63" t="s">
        <v>396</v>
      </c>
      <c r="P897" s="51" t="s">
        <v>416</v>
      </c>
      <c r="Q897" s="51" t="s">
        <v>534</v>
      </c>
      <c r="R897" s="51" t="s">
        <v>246</v>
      </c>
      <c r="S897" s="51" t="s">
        <v>909</v>
      </c>
      <c r="T897" s="20" t="s">
        <v>317</v>
      </c>
      <c r="U897" s="20" t="s">
        <v>318</v>
      </c>
      <c r="V897" s="20" t="s">
        <v>444</v>
      </c>
    </row>
    <row r="898" spans="1:22">
      <c r="A898" s="20" t="s">
        <v>500</v>
      </c>
      <c r="B898" s="20">
        <f>'Schattenhofer, SI Data'!A281</f>
        <v>46</v>
      </c>
      <c r="C898" s="20">
        <f>'Schattenhofer, SI Data'!E281</f>
        <v>202</v>
      </c>
      <c r="I898" s="51">
        <f>'Schattenhofer, SI Data'!F281</f>
        <v>230000</v>
      </c>
      <c r="J898" s="51">
        <f>'Schattenhofer, SI Data'!H281</f>
        <v>106260</v>
      </c>
      <c r="K898" s="51">
        <f>'Schattenhofer, SI Data'!M281</f>
        <v>46000</v>
      </c>
      <c r="L898" s="51">
        <f>J898+K898</f>
        <v>152260</v>
      </c>
      <c r="M898" s="63">
        <f>L898/I898</f>
        <v>0.66200000000000003</v>
      </c>
      <c r="N898" s="63">
        <f>K898/L898</f>
        <v>0.30211480362537763</v>
      </c>
      <c r="O898" s="63" t="s">
        <v>396</v>
      </c>
      <c r="P898" s="51" t="s">
        <v>416</v>
      </c>
      <c r="Q898" s="51" t="s">
        <v>534</v>
      </c>
      <c r="R898" s="51" t="s">
        <v>246</v>
      </c>
      <c r="S898" s="51" t="s">
        <v>909</v>
      </c>
      <c r="T898" s="20" t="s">
        <v>317</v>
      </c>
      <c r="U898" s="20" t="s">
        <v>318</v>
      </c>
      <c r="V898" s="20" t="s">
        <v>444</v>
      </c>
    </row>
    <row r="899" spans="1:22">
      <c r="A899" s="20" t="s">
        <v>500</v>
      </c>
      <c r="B899" s="20">
        <f>'Schattenhofer, SI Data'!A64</f>
        <v>11</v>
      </c>
      <c r="C899" s="20">
        <f>'Schattenhofer, SI Data'!E64</f>
        <v>220</v>
      </c>
      <c r="I899" s="51">
        <f>'Schattenhofer, SI Data'!F64</f>
        <v>220000</v>
      </c>
      <c r="J899" s="51">
        <f>'Schattenhofer, SI Data'!H64</f>
        <v>109780</v>
      </c>
      <c r="K899" s="51">
        <f>'Schattenhofer, SI Data'!M64</f>
        <v>25300</v>
      </c>
      <c r="L899" s="51">
        <f>J899+K899</f>
        <v>135080</v>
      </c>
      <c r="M899" s="63">
        <f>L899/I899</f>
        <v>0.61399999999999999</v>
      </c>
      <c r="N899" s="63">
        <f>K899/L899</f>
        <v>0.18729641693811075</v>
      </c>
      <c r="O899" s="63" t="s">
        <v>396</v>
      </c>
      <c r="P899" s="51" t="s">
        <v>416</v>
      </c>
      <c r="Q899" s="51" t="s">
        <v>534</v>
      </c>
      <c r="R899" s="51" t="s">
        <v>246</v>
      </c>
      <c r="S899" s="51" t="s">
        <v>909</v>
      </c>
      <c r="T899" s="20" t="s">
        <v>317</v>
      </c>
      <c r="U899" s="20" t="s">
        <v>318</v>
      </c>
      <c r="V899" s="20" t="s">
        <v>444</v>
      </c>
    </row>
    <row r="900" spans="1:22">
      <c r="A900" s="20" t="s">
        <v>500</v>
      </c>
      <c r="B900" s="20">
        <f>'Schattenhofer, SI Data'!A89</f>
        <v>15</v>
      </c>
      <c r="C900" s="20">
        <f>'Schattenhofer, SI Data'!E89</f>
        <v>220</v>
      </c>
      <c r="I900" s="51">
        <f>'Schattenhofer, SI Data'!F89</f>
        <v>220000</v>
      </c>
      <c r="J900" s="51">
        <f>'Schattenhofer, SI Data'!H89</f>
        <v>92840</v>
      </c>
      <c r="K900" s="51">
        <f>'Schattenhofer, SI Data'!M89</f>
        <v>29920</v>
      </c>
      <c r="L900" s="51">
        <f>J900+K900</f>
        <v>122760</v>
      </c>
      <c r="M900" s="63">
        <f>L900/I900</f>
        <v>0.55800000000000005</v>
      </c>
      <c r="N900" s="63">
        <f>K900/L900</f>
        <v>0.24372759856630824</v>
      </c>
      <c r="O900" s="63" t="s">
        <v>396</v>
      </c>
      <c r="P900" s="51" t="s">
        <v>416</v>
      </c>
      <c r="Q900" s="51" t="s">
        <v>534</v>
      </c>
      <c r="R900" s="51" t="s">
        <v>246</v>
      </c>
      <c r="S900" s="51" t="s">
        <v>909</v>
      </c>
      <c r="T900" s="20" t="s">
        <v>317</v>
      </c>
      <c r="U900" s="20" t="s">
        <v>318</v>
      </c>
      <c r="V900" s="20" t="s">
        <v>444</v>
      </c>
    </row>
    <row r="901" spans="1:22">
      <c r="A901" s="20" t="s">
        <v>500</v>
      </c>
      <c r="B901" s="20">
        <f>'Schattenhofer, SI Data'!A28</f>
        <v>4</v>
      </c>
      <c r="C901" s="20">
        <f>'Schattenhofer, SI Data'!E28</f>
        <v>225</v>
      </c>
      <c r="I901" s="51">
        <f>'Schattenhofer, SI Data'!F28</f>
        <v>250000</v>
      </c>
      <c r="J901" s="51">
        <f>'Schattenhofer, SI Data'!H28</f>
        <v>106750</v>
      </c>
      <c r="K901" s="51">
        <f>'Schattenhofer, SI Data'!M28</f>
        <v>57000</v>
      </c>
      <c r="L901" s="51">
        <f>J901+K901</f>
        <v>163750</v>
      </c>
      <c r="M901" s="63">
        <f>L901/I901</f>
        <v>0.65500000000000003</v>
      </c>
      <c r="N901" s="63">
        <f>K901/L901</f>
        <v>0.34809160305343512</v>
      </c>
      <c r="O901" s="63" t="s">
        <v>396</v>
      </c>
      <c r="P901" s="51" t="s">
        <v>416</v>
      </c>
      <c r="Q901" s="51" t="s">
        <v>534</v>
      </c>
      <c r="R901" s="51" t="s">
        <v>246</v>
      </c>
      <c r="S901" s="51" t="s">
        <v>909</v>
      </c>
      <c r="T901" s="20" t="s">
        <v>317</v>
      </c>
      <c r="U901" s="20" t="s">
        <v>318</v>
      </c>
      <c r="V901" s="20" t="s">
        <v>444</v>
      </c>
    </row>
    <row r="902" spans="1:22">
      <c r="A902" s="20" t="s">
        <v>500</v>
      </c>
      <c r="B902" s="20">
        <f>'Schattenhofer, SI Data'!A34</f>
        <v>5</v>
      </c>
      <c r="C902" s="20">
        <f>'Schattenhofer, SI Data'!E34</f>
        <v>225</v>
      </c>
      <c r="I902" s="51">
        <f>'Schattenhofer, SI Data'!F34</f>
        <v>280000</v>
      </c>
      <c r="J902" s="51">
        <f>'Schattenhofer, SI Data'!H34</f>
        <v>147560</v>
      </c>
      <c r="K902" s="51">
        <f>'Schattenhofer, SI Data'!M34</f>
        <v>43120</v>
      </c>
      <c r="L902" s="51">
        <f>J902+K902</f>
        <v>190680</v>
      </c>
      <c r="M902" s="63">
        <f>L902/I902</f>
        <v>0.68100000000000005</v>
      </c>
      <c r="N902" s="63">
        <f>K902/L902</f>
        <v>0.2261380323054332</v>
      </c>
      <c r="O902" s="63" t="s">
        <v>396</v>
      </c>
      <c r="P902" s="51" t="s">
        <v>416</v>
      </c>
      <c r="Q902" s="51" t="s">
        <v>534</v>
      </c>
      <c r="R902" s="51" t="s">
        <v>246</v>
      </c>
      <c r="S902" s="51" t="s">
        <v>909</v>
      </c>
      <c r="T902" s="20" t="s">
        <v>317</v>
      </c>
      <c r="U902" s="20" t="s">
        <v>318</v>
      </c>
      <c r="V902" s="20" t="s">
        <v>444</v>
      </c>
    </row>
    <row r="903" spans="1:22">
      <c r="A903" s="20" t="s">
        <v>500</v>
      </c>
      <c r="B903" s="20">
        <f>'Schattenhofer, SI Data'!A46</f>
        <v>7</v>
      </c>
      <c r="C903" s="20">
        <f>'Schattenhofer, SI Data'!E46</f>
        <v>225</v>
      </c>
      <c r="I903" s="51">
        <f>'Schattenhofer, SI Data'!F46</f>
        <v>170000</v>
      </c>
      <c r="J903" s="51">
        <f>'Schattenhofer, SI Data'!H46</f>
        <v>81940.000000000015</v>
      </c>
      <c r="K903" s="51">
        <f>'Schattenhofer, SI Data'!M46</f>
        <v>21930</v>
      </c>
      <c r="L903" s="51">
        <f>J903+K903</f>
        <v>103870.00000000001</v>
      </c>
      <c r="M903" s="63">
        <f>L903/I903</f>
        <v>0.6110000000000001</v>
      </c>
      <c r="N903" s="63">
        <f>K903/L903</f>
        <v>0.21112929623567919</v>
      </c>
      <c r="O903" s="63" t="s">
        <v>396</v>
      </c>
      <c r="P903" s="51" t="s">
        <v>416</v>
      </c>
      <c r="Q903" s="51" t="s">
        <v>534</v>
      </c>
      <c r="R903" s="51" t="s">
        <v>246</v>
      </c>
      <c r="S903" s="51" t="s">
        <v>909</v>
      </c>
      <c r="T903" s="20" t="s">
        <v>317</v>
      </c>
      <c r="U903" s="20" t="s">
        <v>318</v>
      </c>
      <c r="V903" s="20" t="s">
        <v>444</v>
      </c>
    </row>
    <row r="904" spans="1:22">
      <c r="A904" s="20" t="s">
        <v>500</v>
      </c>
      <c r="B904" s="20">
        <f>'Schattenhofer, SI Data'!A58</f>
        <v>9</v>
      </c>
      <c r="C904" s="20">
        <f>'Schattenhofer, SI Data'!E58</f>
        <v>225</v>
      </c>
      <c r="I904" s="51">
        <f>'Schattenhofer, SI Data'!F58</f>
        <v>230000</v>
      </c>
      <c r="J904" s="51">
        <f>'Schattenhofer, SI Data'!H58</f>
        <v>97290</v>
      </c>
      <c r="K904" s="51">
        <f>'Schattenhofer, SI Data'!M58</f>
        <v>47380</v>
      </c>
      <c r="L904" s="51">
        <f>J904+K904</f>
        <v>144670</v>
      </c>
      <c r="M904" s="63">
        <f>L904/I904</f>
        <v>0.629</v>
      </c>
      <c r="N904" s="63">
        <f>K904/L904</f>
        <v>0.32750397456279812</v>
      </c>
      <c r="O904" s="63" t="s">
        <v>396</v>
      </c>
      <c r="P904" s="51" t="s">
        <v>416</v>
      </c>
      <c r="Q904" s="51" t="s">
        <v>534</v>
      </c>
      <c r="R904" s="51" t="s">
        <v>246</v>
      </c>
      <c r="S904" s="51" t="s">
        <v>909</v>
      </c>
      <c r="T904" s="20" t="s">
        <v>317</v>
      </c>
      <c r="U904" s="20" t="s">
        <v>318</v>
      </c>
      <c r="V904" s="20" t="s">
        <v>444</v>
      </c>
    </row>
    <row r="905" spans="1:22">
      <c r="A905" s="20" t="s">
        <v>500</v>
      </c>
      <c r="B905" s="20">
        <f>'Schattenhofer, SI Data'!A69</f>
        <v>12</v>
      </c>
      <c r="C905" s="20">
        <f>'Schattenhofer, SI Data'!E69</f>
        <v>225</v>
      </c>
      <c r="I905" s="51">
        <f>'Schattenhofer, SI Data'!F69</f>
        <v>260000</v>
      </c>
      <c r="J905" s="51">
        <f>'Schattenhofer, SI Data'!H69</f>
        <v>131300</v>
      </c>
      <c r="K905" s="51">
        <f>'Schattenhofer, SI Data'!M69</f>
        <v>31980</v>
      </c>
      <c r="L905" s="51">
        <f>J905+K905</f>
        <v>163280</v>
      </c>
      <c r="M905" s="63">
        <f>L905/I905</f>
        <v>0.628</v>
      </c>
      <c r="N905" s="63">
        <f>K905/L905</f>
        <v>0.19585987261146498</v>
      </c>
      <c r="O905" s="63" t="s">
        <v>396</v>
      </c>
      <c r="P905" s="51" t="s">
        <v>416</v>
      </c>
      <c r="Q905" s="51" t="s">
        <v>534</v>
      </c>
      <c r="R905" s="51" t="s">
        <v>246</v>
      </c>
      <c r="S905" s="51" t="s">
        <v>909</v>
      </c>
      <c r="T905" s="20" t="s">
        <v>317</v>
      </c>
      <c r="U905" s="20" t="s">
        <v>318</v>
      </c>
      <c r="V905" s="20" t="s">
        <v>444</v>
      </c>
    </row>
    <row r="906" spans="1:22">
      <c r="A906" s="20" t="s">
        <v>500</v>
      </c>
      <c r="B906" s="20">
        <f>'Schattenhofer, SI Data'!A83</f>
        <v>14</v>
      </c>
      <c r="C906" s="20">
        <f>'Schattenhofer, SI Data'!E83</f>
        <v>225</v>
      </c>
      <c r="I906" s="51">
        <f>'Schattenhofer, SI Data'!F83</f>
        <v>200000</v>
      </c>
      <c r="J906" s="51">
        <f>'Schattenhofer, SI Data'!H83</f>
        <v>93000</v>
      </c>
      <c r="K906" s="51">
        <f>'Schattenhofer, SI Data'!M83</f>
        <v>24600</v>
      </c>
      <c r="L906" s="51">
        <f>J906+K906</f>
        <v>117600</v>
      </c>
      <c r="M906" s="63">
        <f>L906/I906</f>
        <v>0.58799999999999997</v>
      </c>
      <c r="N906" s="63">
        <f>K906/L906</f>
        <v>0.20918367346938777</v>
      </c>
      <c r="O906" s="63" t="s">
        <v>396</v>
      </c>
      <c r="P906" s="51" t="s">
        <v>416</v>
      </c>
      <c r="Q906" s="51" t="s">
        <v>534</v>
      </c>
      <c r="R906" s="51" t="s">
        <v>246</v>
      </c>
      <c r="S906" s="51" t="s">
        <v>909</v>
      </c>
      <c r="T906" s="20" t="s">
        <v>317</v>
      </c>
      <c r="U906" s="20" t="s">
        <v>318</v>
      </c>
      <c r="V906" s="20" t="s">
        <v>444</v>
      </c>
    </row>
    <row r="907" spans="1:22">
      <c r="A907" s="20" t="s">
        <v>500</v>
      </c>
      <c r="B907" s="20">
        <f>'Schattenhofer, SI Data'!A107</f>
        <v>18</v>
      </c>
      <c r="C907" s="20">
        <f>'Schattenhofer, SI Data'!E107</f>
        <v>225</v>
      </c>
      <c r="I907" s="51">
        <f>'Schattenhofer, SI Data'!F107</f>
        <v>220000</v>
      </c>
      <c r="J907" s="51">
        <f>'Schattenhofer, SI Data'!H107</f>
        <v>99000</v>
      </c>
      <c r="K907" s="51">
        <f>'Schattenhofer, SI Data'!M107</f>
        <v>32120</v>
      </c>
      <c r="L907" s="51">
        <f>J907+K907</f>
        <v>131120</v>
      </c>
      <c r="M907" s="63">
        <f>L907/I907</f>
        <v>0.59599999999999997</v>
      </c>
      <c r="N907" s="63">
        <f>K907/L907</f>
        <v>0.24496644295302014</v>
      </c>
      <c r="O907" s="63" t="s">
        <v>396</v>
      </c>
      <c r="P907" s="51" t="s">
        <v>416</v>
      </c>
      <c r="Q907" s="51" t="s">
        <v>534</v>
      </c>
      <c r="R907" s="51" t="s">
        <v>246</v>
      </c>
      <c r="S907" s="51" t="s">
        <v>909</v>
      </c>
      <c r="T907" s="20" t="s">
        <v>317</v>
      </c>
      <c r="U907" s="20" t="s">
        <v>318</v>
      </c>
      <c r="V907" s="20" t="s">
        <v>444</v>
      </c>
    </row>
    <row r="908" spans="1:22">
      <c r="A908" s="20" t="s">
        <v>500</v>
      </c>
      <c r="B908" s="20">
        <f>'Schattenhofer, SI Data'!A114</f>
        <v>19</v>
      </c>
      <c r="C908" s="20">
        <f>'Schattenhofer, SI Data'!E114</f>
        <v>225</v>
      </c>
      <c r="I908" s="51">
        <f>'Schattenhofer, SI Data'!F114</f>
        <v>170000</v>
      </c>
      <c r="J908" s="51">
        <f>'Schattenhofer, SI Data'!H114</f>
        <v>85000</v>
      </c>
      <c r="K908" s="51">
        <f>'Schattenhofer, SI Data'!M114</f>
        <v>18190</v>
      </c>
      <c r="L908" s="51">
        <f>J908+K908</f>
        <v>103190</v>
      </c>
      <c r="M908" s="63">
        <f>L908/I908</f>
        <v>0.60699999999999998</v>
      </c>
      <c r="N908" s="63">
        <f>K908/L908</f>
        <v>0.17627677100494235</v>
      </c>
      <c r="O908" s="63" t="s">
        <v>396</v>
      </c>
      <c r="P908" s="51" t="s">
        <v>416</v>
      </c>
      <c r="Q908" s="51" t="s">
        <v>534</v>
      </c>
      <c r="R908" s="51" t="s">
        <v>246</v>
      </c>
      <c r="S908" s="51" t="s">
        <v>909</v>
      </c>
      <c r="T908" s="20" t="s">
        <v>317</v>
      </c>
      <c r="U908" s="20" t="s">
        <v>318</v>
      </c>
      <c r="V908" s="20" t="s">
        <v>444</v>
      </c>
    </row>
    <row r="909" spans="1:22">
      <c r="A909" s="20" t="s">
        <v>500</v>
      </c>
      <c r="B909" s="20">
        <f>'Schattenhofer, SI Data'!A121</f>
        <v>20</v>
      </c>
      <c r="C909" s="20">
        <f>'Schattenhofer, SI Data'!E121</f>
        <v>225</v>
      </c>
      <c r="I909" s="51">
        <f>'Schattenhofer, SI Data'!F121</f>
        <v>300000</v>
      </c>
      <c r="J909" s="51">
        <f>'Schattenhofer, SI Data'!H121</f>
        <v>137100</v>
      </c>
      <c r="K909" s="51">
        <f>'Schattenhofer, SI Data'!M121</f>
        <v>37800</v>
      </c>
      <c r="L909" s="51">
        <f>J909+K909</f>
        <v>174900</v>
      </c>
      <c r="M909" s="63">
        <f>L909/I909</f>
        <v>0.58299999999999996</v>
      </c>
      <c r="N909" s="63">
        <f>K909/L909</f>
        <v>0.21612349914236706</v>
      </c>
      <c r="O909" s="63" t="s">
        <v>396</v>
      </c>
      <c r="P909" s="51" t="s">
        <v>416</v>
      </c>
      <c r="Q909" s="51" t="s">
        <v>534</v>
      </c>
      <c r="R909" s="51" t="s">
        <v>246</v>
      </c>
      <c r="S909" s="51" t="s">
        <v>909</v>
      </c>
      <c r="T909" s="20" t="s">
        <v>317</v>
      </c>
      <c r="U909" s="20" t="s">
        <v>318</v>
      </c>
      <c r="V909" s="20" t="s">
        <v>444</v>
      </c>
    </row>
    <row r="910" spans="1:22">
      <c r="A910" s="20" t="s">
        <v>500</v>
      </c>
      <c r="B910" s="20">
        <f>'Schattenhofer, SI Data'!A127</f>
        <v>21</v>
      </c>
      <c r="C910" s="20">
        <f>'Schattenhofer, SI Data'!E127</f>
        <v>225</v>
      </c>
      <c r="I910" s="51">
        <f>'Schattenhofer, SI Data'!F127</f>
        <v>210000</v>
      </c>
      <c r="J910" s="51">
        <f>'Schattenhofer, SI Data'!H127</f>
        <v>92190</v>
      </c>
      <c r="K910" s="51">
        <f>'Schattenhofer, SI Data'!M127</f>
        <v>28980</v>
      </c>
      <c r="L910" s="51">
        <f>J910+K910</f>
        <v>121170</v>
      </c>
      <c r="M910" s="63">
        <f>L910/I910</f>
        <v>0.57699999999999996</v>
      </c>
      <c r="N910" s="63">
        <f>K910/L910</f>
        <v>0.2391681109185442</v>
      </c>
      <c r="O910" s="63" t="s">
        <v>396</v>
      </c>
      <c r="P910" s="51" t="s">
        <v>416</v>
      </c>
      <c r="Q910" s="51" t="s">
        <v>534</v>
      </c>
      <c r="R910" s="51" t="s">
        <v>246</v>
      </c>
      <c r="S910" s="51" t="s">
        <v>909</v>
      </c>
      <c r="T910" s="20" t="s">
        <v>317</v>
      </c>
      <c r="U910" s="20" t="s">
        <v>318</v>
      </c>
      <c r="V910" s="20" t="s">
        <v>444</v>
      </c>
    </row>
    <row r="911" spans="1:22">
      <c r="A911" s="20" t="s">
        <v>500</v>
      </c>
      <c r="B911" s="20">
        <f>'Schattenhofer, SI Data'!A133</f>
        <v>22</v>
      </c>
      <c r="C911" s="20">
        <f>'Schattenhofer, SI Data'!E133</f>
        <v>225</v>
      </c>
      <c r="I911" s="51">
        <f>'Schattenhofer, SI Data'!F133</f>
        <v>170000</v>
      </c>
      <c r="J911" s="51">
        <f>'Schattenhofer, SI Data'!H133</f>
        <v>78200</v>
      </c>
      <c r="K911" s="51">
        <f>'Schattenhofer, SI Data'!M133</f>
        <v>26520</v>
      </c>
      <c r="L911" s="51">
        <f>J911+K911</f>
        <v>104720</v>
      </c>
      <c r="M911" s="63">
        <f>L911/I911</f>
        <v>0.61599999999999999</v>
      </c>
      <c r="N911" s="63">
        <f>K911/L911</f>
        <v>0.25324675324675322</v>
      </c>
      <c r="O911" s="63" t="s">
        <v>396</v>
      </c>
      <c r="P911" s="51" t="s">
        <v>416</v>
      </c>
      <c r="Q911" s="51" t="s">
        <v>534</v>
      </c>
      <c r="R911" s="51" t="s">
        <v>246</v>
      </c>
      <c r="S911" s="51" t="s">
        <v>909</v>
      </c>
      <c r="T911" s="20" t="s">
        <v>317</v>
      </c>
      <c r="U911" s="20" t="s">
        <v>318</v>
      </c>
      <c r="V911" s="20" t="s">
        <v>444</v>
      </c>
    </row>
    <row r="912" spans="1:22">
      <c r="A912" s="20" t="s">
        <v>500</v>
      </c>
      <c r="B912" s="20">
        <f>'Schattenhofer, SI Data'!A145</f>
        <v>24</v>
      </c>
      <c r="C912" s="20">
        <f>'Schattenhofer, SI Data'!E145</f>
        <v>225</v>
      </c>
      <c r="I912" s="51">
        <f>'Schattenhofer, SI Data'!F145</f>
        <v>210000</v>
      </c>
      <c r="J912" s="51">
        <f>'Schattenhofer, SI Data'!H145</f>
        <v>111930</v>
      </c>
      <c r="K912" s="51">
        <f>'Schattenhofer, SI Data'!M145</f>
        <v>30030</v>
      </c>
      <c r="L912" s="51">
        <f>J912+K912</f>
        <v>141960</v>
      </c>
      <c r="M912" s="63">
        <f>L912/I912</f>
        <v>0.67600000000000005</v>
      </c>
      <c r="N912" s="63">
        <f>K912/L912</f>
        <v>0.21153846153846154</v>
      </c>
      <c r="O912" s="63" t="s">
        <v>396</v>
      </c>
      <c r="P912" s="51" t="s">
        <v>416</v>
      </c>
      <c r="Q912" s="51" t="s">
        <v>534</v>
      </c>
      <c r="R912" s="51" t="s">
        <v>246</v>
      </c>
      <c r="S912" s="51" t="s">
        <v>909</v>
      </c>
      <c r="T912" s="20" t="s">
        <v>317</v>
      </c>
      <c r="U912" s="20" t="s">
        <v>318</v>
      </c>
      <c r="V912" s="20" t="s">
        <v>444</v>
      </c>
    </row>
    <row r="913" spans="1:22">
      <c r="A913" s="20" t="s">
        <v>500</v>
      </c>
      <c r="B913" s="20">
        <f>'Schattenhofer, SI Data'!A165</f>
        <v>27</v>
      </c>
      <c r="C913" s="20">
        <f>'Schattenhofer, SI Data'!E165</f>
        <v>225</v>
      </c>
      <c r="I913" s="51">
        <f>'Schattenhofer, SI Data'!F165</f>
        <v>210000</v>
      </c>
      <c r="J913" s="51">
        <f>'Schattenhofer, SI Data'!H165</f>
        <v>104160</v>
      </c>
      <c r="K913" s="51">
        <f>'Schattenhofer, SI Data'!M165</f>
        <v>45570</v>
      </c>
      <c r="L913" s="51">
        <f>J913+K913</f>
        <v>149730</v>
      </c>
      <c r="M913" s="63">
        <f>L913/I913</f>
        <v>0.71299999999999997</v>
      </c>
      <c r="N913" s="63">
        <f>K913/L913</f>
        <v>0.30434782608695654</v>
      </c>
      <c r="O913" s="63" t="s">
        <v>396</v>
      </c>
      <c r="P913" s="51" t="s">
        <v>416</v>
      </c>
      <c r="Q913" s="51" t="s">
        <v>534</v>
      </c>
      <c r="R913" s="51" t="s">
        <v>246</v>
      </c>
      <c r="S913" s="51" t="s">
        <v>909</v>
      </c>
      <c r="T913" s="20" t="s">
        <v>317</v>
      </c>
      <c r="U913" s="20" t="s">
        <v>318</v>
      </c>
      <c r="V913" s="20" t="s">
        <v>444</v>
      </c>
    </row>
    <row r="914" spans="1:22">
      <c r="A914" s="20" t="s">
        <v>500</v>
      </c>
      <c r="B914" s="20">
        <f>'Schattenhofer, SI Data'!A185</f>
        <v>30</v>
      </c>
      <c r="C914" s="20">
        <f>'Schattenhofer, SI Data'!E185</f>
        <v>225</v>
      </c>
      <c r="I914" s="51">
        <f>'Schattenhofer, SI Data'!F185</f>
        <v>270000</v>
      </c>
      <c r="J914" s="51">
        <f>'Schattenhofer, SI Data'!H185</f>
        <v>138510</v>
      </c>
      <c r="K914" s="51">
        <f>'Schattenhofer, SI Data'!M185</f>
        <v>65880</v>
      </c>
      <c r="L914" s="51">
        <f>J914+K914</f>
        <v>204390</v>
      </c>
      <c r="M914" s="63">
        <f>L914/I914</f>
        <v>0.75700000000000001</v>
      </c>
      <c r="N914" s="63">
        <f>K914/L914</f>
        <v>0.32232496697490093</v>
      </c>
      <c r="O914" s="63" t="s">
        <v>396</v>
      </c>
      <c r="P914" s="51" t="s">
        <v>416</v>
      </c>
      <c r="Q914" s="51" t="s">
        <v>534</v>
      </c>
      <c r="R914" s="51" t="s">
        <v>246</v>
      </c>
      <c r="S914" s="51" t="s">
        <v>909</v>
      </c>
      <c r="T914" s="20" t="s">
        <v>317</v>
      </c>
      <c r="U914" s="20" t="s">
        <v>318</v>
      </c>
      <c r="V914" s="20" t="s">
        <v>444</v>
      </c>
    </row>
    <row r="915" spans="1:22">
      <c r="A915" s="20" t="s">
        <v>500</v>
      </c>
      <c r="B915" s="20">
        <f>'Schattenhofer, SI Data'!A211</f>
        <v>34</v>
      </c>
      <c r="C915" s="20">
        <f>'Schattenhofer, SI Data'!E211</f>
        <v>225</v>
      </c>
      <c r="I915" s="51">
        <f>'Schattenhofer, SI Data'!F211</f>
        <v>270000</v>
      </c>
      <c r="J915" s="51">
        <f>'Schattenhofer, SI Data'!H211</f>
        <v>136080</v>
      </c>
      <c r="K915" s="51">
        <f>'Schattenhofer, SI Data'!M211</f>
        <v>72090</v>
      </c>
      <c r="L915" s="51">
        <f>J915+K915</f>
        <v>208170</v>
      </c>
      <c r="M915" s="63">
        <f>L915/I915</f>
        <v>0.77100000000000002</v>
      </c>
      <c r="N915" s="63">
        <f>K915/L915</f>
        <v>0.34630350194552528</v>
      </c>
      <c r="O915" s="63" t="s">
        <v>396</v>
      </c>
      <c r="P915" s="51" t="s">
        <v>416</v>
      </c>
      <c r="Q915" s="51" t="s">
        <v>534</v>
      </c>
      <c r="R915" s="51" t="s">
        <v>246</v>
      </c>
      <c r="S915" s="51" t="s">
        <v>909</v>
      </c>
      <c r="T915" s="20" t="s">
        <v>317</v>
      </c>
      <c r="U915" s="20" t="s">
        <v>318</v>
      </c>
      <c r="V915" s="20" t="s">
        <v>444</v>
      </c>
    </row>
    <row r="916" spans="1:22">
      <c r="A916" s="20" t="s">
        <v>500</v>
      </c>
      <c r="B916" s="20">
        <f>'Schattenhofer, SI Data'!A224</f>
        <v>37</v>
      </c>
      <c r="C916" s="20">
        <f>'Schattenhofer, SI Data'!E224</f>
        <v>225</v>
      </c>
      <c r="I916" s="51">
        <f>'Schattenhofer, SI Data'!F224</f>
        <v>250000</v>
      </c>
      <c r="J916" s="51">
        <f>'Schattenhofer, SI Data'!H224</f>
        <v>121000</v>
      </c>
      <c r="K916" s="51">
        <f>'Schattenhofer, SI Data'!M224</f>
        <v>67750</v>
      </c>
      <c r="L916" s="51">
        <f>J916+K916</f>
        <v>188750</v>
      </c>
      <c r="M916" s="63">
        <f>L916/I916</f>
        <v>0.755</v>
      </c>
      <c r="N916" s="63">
        <f>K916/L916</f>
        <v>0.35894039735099337</v>
      </c>
      <c r="O916" s="63" t="s">
        <v>396</v>
      </c>
      <c r="P916" s="51" t="s">
        <v>416</v>
      </c>
      <c r="Q916" s="51" t="s">
        <v>534</v>
      </c>
      <c r="R916" s="51" t="s">
        <v>246</v>
      </c>
      <c r="S916" s="51" t="s">
        <v>909</v>
      </c>
      <c r="T916" s="20" t="s">
        <v>317</v>
      </c>
      <c r="U916" s="20" t="s">
        <v>318</v>
      </c>
      <c r="V916" s="20" t="s">
        <v>444</v>
      </c>
    </row>
    <row r="917" spans="1:22">
      <c r="A917" s="20" t="s">
        <v>500</v>
      </c>
      <c r="B917" s="20">
        <f>'Schattenhofer, SI Data'!A236</f>
        <v>39</v>
      </c>
      <c r="C917" s="20">
        <f>'Schattenhofer, SI Data'!E236</f>
        <v>225</v>
      </c>
      <c r="I917" s="51">
        <f>'Schattenhofer, SI Data'!F236</f>
        <v>190000</v>
      </c>
      <c r="J917" s="51">
        <f>'Schattenhofer, SI Data'!H236</f>
        <v>82269.999999999985</v>
      </c>
      <c r="K917" s="51">
        <f>'Schattenhofer, SI Data'!M236</f>
        <v>23940</v>
      </c>
      <c r="L917" s="51">
        <f>J917+K917</f>
        <v>106209.99999999999</v>
      </c>
      <c r="M917" s="63">
        <f>L917/I917</f>
        <v>0.55899999999999994</v>
      </c>
      <c r="N917" s="63">
        <f>K917/L917</f>
        <v>0.22540250447227195</v>
      </c>
      <c r="O917" s="63" t="s">
        <v>396</v>
      </c>
      <c r="P917" s="51" t="s">
        <v>416</v>
      </c>
      <c r="Q917" s="51" t="s">
        <v>534</v>
      </c>
      <c r="R917" s="51" t="s">
        <v>246</v>
      </c>
      <c r="S917" s="51" t="s">
        <v>909</v>
      </c>
      <c r="T917" s="20" t="s">
        <v>317</v>
      </c>
      <c r="U917" s="20" t="s">
        <v>318</v>
      </c>
      <c r="V917" s="20" t="s">
        <v>444</v>
      </c>
    </row>
    <row r="918" spans="1:22">
      <c r="A918" s="20" t="s">
        <v>500</v>
      </c>
      <c r="B918" s="20">
        <f>'Schattenhofer, SI Data'!A242</f>
        <v>40</v>
      </c>
      <c r="C918" s="20">
        <f>'Schattenhofer, SI Data'!E242</f>
        <v>225</v>
      </c>
      <c r="I918" s="51">
        <f>'Schattenhofer, SI Data'!F242</f>
        <v>160000</v>
      </c>
      <c r="J918" s="51">
        <f>'Schattenhofer, SI Data'!H242</f>
        <v>63520</v>
      </c>
      <c r="K918" s="51">
        <f>'Schattenhofer, SI Data'!M242</f>
        <v>27360</v>
      </c>
      <c r="L918" s="51">
        <f>J918+K918</f>
        <v>90880</v>
      </c>
      <c r="M918" s="63">
        <f>L918/I918</f>
        <v>0.56799999999999995</v>
      </c>
      <c r="N918" s="63">
        <f>K918/L918</f>
        <v>0.301056338028169</v>
      </c>
      <c r="O918" s="63" t="s">
        <v>396</v>
      </c>
      <c r="P918" s="51" t="s">
        <v>416</v>
      </c>
      <c r="Q918" s="51" t="s">
        <v>534</v>
      </c>
      <c r="R918" s="51" t="s">
        <v>246</v>
      </c>
      <c r="S918" s="51" t="s">
        <v>909</v>
      </c>
      <c r="T918" s="20" t="s">
        <v>317</v>
      </c>
      <c r="U918" s="20" t="s">
        <v>318</v>
      </c>
      <c r="V918" s="20" t="s">
        <v>444</v>
      </c>
    </row>
    <row r="919" spans="1:22">
      <c r="A919" s="20" t="s">
        <v>500</v>
      </c>
      <c r="B919" s="20">
        <f>'Schattenhofer, SI Data'!A250</f>
        <v>41</v>
      </c>
      <c r="C919" s="20">
        <f>'Schattenhofer, SI Data'!E250</f>
        <v>225</v>
      </c>
      <c r="I919" s="51">
        <f>'Schattenhofer, SI Data'!F250</f>
        <v>200000</v>
      </c>
      <c r="J919" s="51">
        <f>'Schattenhofer, SI Data'!H250</f>
        <v>103000</v>
      </c>
      <c r="K919" s="51">
        <f>'Schattenhofer, SI Data'!M250</f>
        <v>23200</v>
      </c>
      <c r="L919" s="51">
        <f>J919+K919</f>
        <v>126200</v>
      </c>
      <c r="M919" s="63">
        <f>L919/I919</f>
        <v>0.63100000000000001</v>
      </c>
      <c r="N919" s="63">
        <f>K919/L919</f>
        <v>0.18383518225039619</v>
      </c>
      <c r="O919" s="63" t="s">
        <v>396</v>
      </c>
      <c r="P919" s="51" t="s">
        <v>416</v>
      </c>
      <c r="Q919" s="51" t="s">
        <v>534</v>
      </c>
      <c r="R919" s="51" t="s">
        <v>246</v>
      </c>
      <c r="S919" s="51" t="s">
        <v>909</v>
      </c>
      <c r="T919" s="20" t="s">
        <v>317</v>
      </c>
      <c r="U919" s="20" t="s">
        <v>318</v>
      </c>
      <c r="V919" s="20" t="s">
        <v>444</v>
      </c>
    </row>
    <row r="920" spans="1:22">
      <c r="A920" s="20" t="s">
        <v>500</v>
      </c>
      <c r="B920" s="20">
        <f>'Schattenhofer, SI Data'!A262</f>
        <v>43</v>
      </c>
      <c r="C920" s="20">
        <f>'Schattenhofer, SI Data'!E262</f>
        <v>225</v>
      </c>
      <c r="I920" s="51">
        <f>'Schattenhofer, SI Data'!F262</f>
        <v>180000</v>
      </c>
      <c r="J920" s="51">
        <f>'Schattenhofer, SI Data'!H262</f>
        <v>78480</v>
      </c>
      <c r="K920" s="51">
        <f>'Schattenhofer, SI Data'!M262</f>
        <v>28440</v>
      </c>
      <c r="L920" s="51">
        <f>J920+K920</f>
        <v>106920</v>
      </c>
      <c r="M920" s="63">
        <f>L920/I920</f>
        <v>0.59399999999999997</v>
      </c>
      <c r="N920" s="63">
        <f>K920/L920</f>
        <v>0.265993265993266</v>
      </c>
      <c r="O920" s="63" t="s">
        <v>396</v>
      </c>
      <c r="P920" s="51" t="s">
        <v>416</v>
      </c>
      <c r="Q920" s="51" t="s">
        <v>534</v>
      </c>
      <c r="R920" s="51" t="s">
        <v>246</v>
      </c>
      <c r="S920" s="51" t="s">
        <v>909</v>
      </c>
      <c r="T920" s="20" t="s">
        <v>317</v>
      </c>
      <c r="U920" s="20" t="s">
        <v>318</v>
      </c>
      <c r="V920" s="20" t="s">
        <v>444</v>
      </c>
    </row>
    <row r="921" spans="1:22">
      <c r="A921" s="20" t="s">
        <v>500</v>
      </c>
      <c r="B921" s="20">
        <f>'Schattenhofer, SI Data'!A275</f>
        <v>45</v>
      </c>
      <c r="C921" s="20">
        <f>'Schattenhofer, SI Data'!E275</f>
        <v>225</v>
      </c>
      <c r="I921" s="51">
        <f>'Schattenhofer, SI Data'!F275</f>
        <v>180000</v>
      </c>
      <c r="J921" s="51">
        <f>'Schattenhofer, SI Data'!H275</f>
        <v>82260.000000000015</v>
      </c>
      <c r="K921" s="51">
        <f>'Schattenhofer, SI Data'!M275</f>
        <v>28800</v>
      </c>
      <c r="L921" s="51">
        <f>J921+K921</f>
        <v>111060.00000000001</v>
      </c>
      <c r="M921" s="63">
        <f>L921/I921</f>
        <v>0.6170000000000001</v>
      </c>
      <c r="N921" s="63">
        <f>K921/L921</f>
        <v>0.25931928687196104</v>
      </c>
      <c r="O921" s="63" t="s">
        <v>396</v>
      </c>
      <c r="P921" s="51" t="s">
        <v>416</v>
      </c>
      <c r="Q921" s="51" t="s">
        <v>534</v>
      </c>
      <c r="R921" s="51" t="s">
        <v>246</v>
      </c>
      <c r="S921" s="51" t="s">
        <v>909</v>
      </c>
      <c r="T921" s="20" t="s">
        <v>317</v>
      </c>
      <c r="U921" s="20" t="s">
        <v>318</v>
      </c>
      <c r="V921" s="20" t="s">
        <v>444</v>
      </c>
    </row>
    <row r="922" spans="1:22">
      <c r="A922" s="20" t="s">
        <v>500</v>
      </c>
      <c r="B922" s="20">
        <f>'Schattenhofer, SI Data'!A289</f>
        <v>47</v>
      </c>
      <c r="C922" s="20">
        <f>'Schattenhofer, SI Data'!E289</f>
        <v>225</v>
      </c>
      <c r="I922" s="51">
        <f>'Schattenhofer, SI Data'!F289</f>
        <v>190000</v>
      </c>
      <c r="J922" s="51">
        <f>'Schattenhofer, SI Data'!H289</f>
        <v>87780</v>
      </c>
      <c r="K922" s="51">
        <f>'Schattenhofer, SI Data'!M289</f>
        <v>30020</v>
      </c>
      <c r="L922" s="51">
        <f>J922+K922</f>
        <v>117800</v>
      </c>
      <c r="M922" s="63">
        <f>L922/I922</f>
        <v>0.62</v>
      </c>
      <c r="N922" s="63">
        <f>K922/L922</f>
        <v>0.25483870967741934</v>
      </c>
      <c r="O922" s="63" t="s">
        <v>396</v>
      </c>
      <c r="P922" s="51" t="s">
        <v>416</v>
      </c>
      <c r="Q922" s="51" t="s">
        <v>534</v>
      </c>
      <c r="R922" s="51" t="s">
        <v>246</v>
      </c>
      <c r="S922" s="51" t="s">
        <v>909</v>
      </c>
      <c r="T922" s="20" t="s">
        <v>317</v>
      </c>
      <c r="U922" s="20" t="s">
        <v>318</v>
      </c>
      <c r="V922" s="20" t="s">
        <v>444</v>
      </c>
    </row>
    <row r="923" spans="1:22">
      <c r="A923" s="20" t="s">
        <v>500</v>
      </c>
      <c r="B923" s="20">
        <f>'Schattenhofer, SI Data'!A295</f>
        <v>48</v>
      </c>
      <c r="C923" s="20">
        <f>'Schattenhofer, SI Data'!E295</f>
        <v>225</v>
      </c>
      <c r="I923" s="51">
        <f>'Schattenhofer, SI Data'!F295</f>
        <v>280000</v>
      </c>
      <c r="J923" s="51">
        <f>'Schattenhofer, SI Data'!H295</f>
        <v>130200</v>
      </c>
      <c r="K923" s="51">
        <f>'Schattenhofer, SI Data'!M295</f>
        <v>36680</v>
      </c>
      <c r="L923" s="51">
        <f>J923+K923</f>
        <v>166880</v>
      </c>
      <c r="M923" s="63">
        <f>L923/I923</f>
        <v>0.59599999999999997</v>
      </c>
      <c r="N923" s="63">
        <f>K923/L923</f>
        <v>0.21979865771812079</v>
      </c>
      <c r="O923" s="63" t="s">
        <v>396</v>
      </c>
      <c r="P923" s="51" t="s">
        <v>416</v>
      </c>
      <c r="Q923" s="51" t="s">
        <v>534</v>
      </c>
      <c r="R923" s="51" t="s">
        <v>246</v>
      </c>
      <c r="S923" s="51" t="s">
        <v>909</v>
      </c>
      <c r="T923" s="20" t="s">
        <v>317</v>
      </c>
      <c r="U923" s="20" t="s">
        <v>318</v>
      </c>
      <c r="V923" s="20" t="s">
        <v>444</v>
      </c>
    </row>
    <row r="924" spans="1:22">
      <c r="A924" s="20" t="s">
        <v>500</v>
      </c>
      <c r="B924" s="20">
        <f>'Schattenhofer, SI Data'!A300</f>
        <v>49</v>
      </c>
      <c r="C924" s="20">
        <f>'Schattenhofer, SI Data'!E300</f>
        <v>225</v>
      </c>
      <c r="I924" s="51">
        <f>'Schattenhofer, SI Data'!F300</f>
        <v>280000</v>
      </c>
      <c r="J924" s="51">
        <f>'Schattenhofer, SI Data'!H300</f>
        <v>251160</v>
      </c>
      <c r="K924" s="51">
        <f>'Schattenhofer, SI Data'!M300</f>
        <v>19320</v>
      </c>
      <c r="L924" s="51">
        <f>J924+K924</f>
        <v>270480</v>
      </c>
      <c r="M924" s="63">
        <f>L924/I924</f>
        <v>0.96599999999999997</v>
      </c>
      <c r="N924" s="63">
        <f>K924/L924</f>
        <v>7.1428571428571425E-2</v>
      </c>
      <c r="O924" s="63" t="s">
        <v>396</v>
      </c>
      <c r="P924" s="51" t="s">
        <v>416</v>
      </c>
      <c r="Q924" s="51" t="s">
        <v>534</v>
      </c>
      <c r="R924" s="51" t="s">
        <v>246</v>
      </c>
      <c r="S924" s="51" t="s">
        <v>909</v>
      </c>
      <c r="T924" s="20" t="s">
        <v>317</v>
      </c>
      <c r="U924" s="20" t="s">
        <v>318</v>
      </c>
      <c r="V924" s="20" t="s">
        <v>444</v>
      </c>
    </row>
    <row r="925" spans="1:22">
      <c r="A925" s="20" t="s">
        <v>500</v>
      </c>
      <c r="B925" s="20">
        <f>'Schattenhofer, SI Data'!A312</f>
        <v>51</v>
      </c>
      <c r="C925" s="20">
        <f>'Schattenhofer, SI Data'!E312</f>
        <v>225</v>
      </c>
      <c r="I925" s="51">
        <f>'Schattenhofer, SI Data'!F312</f>
        <v>380000</v>
      </c>
      <c r="J925" s="51">
        <f>'Schattenhofer, SI Data'!H312</f>
        <v>154280</v>
      </c>
      <c r="K925" s="51">
        <f>'Schattenhofer, SI Data'!M312</f>
        <v>60420</v>
      </c>
      <c r="L925" s="51">
        <f>J925+K925</f>
        <v>214700</v>
      </c>
      <c r="M925" s="63">
        <f>L925/I925</f>
        <v>0.56499999999999995</v>
      </c>
      <c r="N925" s="63">
        <f>K925/L925</f>
        <v>0.28141592920353981</v>
      </c>
      <c r="O925" s="63" t="s">
        <v>396</v>
      </c>
      <c r="P925" s="51" t="s">
        <v>416</v>
      </c>
      <c r="Q925" s="51" t="s">
        <v>534</v>
      </c>
      <c r="R925" s="51" t="s">
        <v>246</v>
      </c>
      <c r="S925" s="51" t="s">
        <v>909</v>
      </c>
      <c r="T925" s="20" t="s">
        <v>317</v>
      </c>
      <c r="U925" s="20" t="s">
        <v>318</v>
      </c>
      <c r="V925" s="20" t="s">
        <v>444</v>
      </c>
    </row>
    <row r="926" spans="1:22">
      <c r="A926" s="20" t="s">
        <v>500</v>
      </c>
      <c r="B926" s="20">
        <f>'Schattenhofer, SI Data'!A326</f>
        <v>53</v>
      </c>
      <c r="C926" s="20">
        <f>'Schattenhofer, SI Data'!E326</f>
        <v>225</v>
      </c>
      <c r="I926" s="51">
        <f>'Schattenhofer, SI Data'!F326</f>
        <v>270000</v>
      </c>
      <c r="J926" s="51">
        <f>'Schattenhofer, SI Data'!H326</f>
        <v>115290</v>
      </c>
      <c r="K926" s="51">
        <f>'Schattenhofer, SI Data'!M326</f>
        <v>45900</v>
      </c>
      <c r="L926" s="51">
        <f>J926+K926</f>
        <v>161190</v>
      </c>
      <c r="M926" s="63">
        <f>L926/I926</f>
        <v>0.59699999999999998</v>
      </c>
      <c r="N926" s="63">
        <f>K926/L926</f>
        <v>0.28475711892797317</v>
      </c>
      <c r="O926" s="63" t="s">
        <v>396</v>
      </c>
      <c r="P926" s="51" t="s">
        <v>416</v>
      </c>
      <c r="Q926" s="51" t="s">
        <v>534</v>
      </c>
      <c r="R926" s="51" t="s">
        <v>246</v>
      </c>
      <c r="S926" s="51" t="s">
        <v>909</v>
      </c>
      <c r="T926" s="20" t="s">
        <v>317</v>
      </c>
      <c r="U926" s="20" t="s">
        <v>318</v>
      </c>
      <c r="V926" s="20" t="s">
        <v>444</v>
      </c>
    </row>
    <row r="927" spans="1:22">
      <c r="A927" s="20" t="s">
        <v>500</v>
      </c>
      <c r="B927" s="20">
        <f>'Schattenhofer, SI Data'!A338</f>
        <v>55</v>
      </c>
      <c r="C927" s="20">
        <f>'Schattenhofer, SI Data'!E338</f>
        <v>225</v>
      </c>
      <c r="I927" s="51">
        <f>'Schattenhofer, SI Data'!F338</f>
        <v>270000</v>
      </c>
      <c r="J927" s="51">
        <f>'Schattenhofer, SI Data'!H338</f>
        <v>127440</v>
      </c>
      <c r="K927" s="51">
        <f>'Schattenhofer, SI Data'!M338</f>
        <v>55350</v>
      </c>
      <c r="L927" s="51">
        <f>J927+K927</f>
        <v>182790</v>
      </c>
      <c r="M927" s="63">
        <f>L927/I927</f>
        <v>0.67700000000000005</v>
      </c>
      <c r="N927" s="63">
        <f>K927/L927</f>
        <v>0.30280649926144754</v>
      </c>
      <c r="O927" s="63" t="s">
        <v>396</v>
      </c>
      <c r="P927" s="51" t="s">
        <v>416</v>
      </c>
      <c r="Q927" s="51" t="s">
        <v>534</v>
      </c>
      <c r="R927" s="51" t="s">
        <v>246</v>
      </c>
      <c r="S927" s="51" t="s">
        <v>909</v>
      </c>
      <c r="T927" s="20" t="s">
        <v>317</v>
      </c>
      <c r="U927" s="20" t="s">
        <v>318</v>
      </c>
      <c r="V927" s="20" t="s">
        <v>444</v>
      </c>
    </row>
    <row r="928" spans="1:22">
      <c r="A928" s="20" t="s">
        <v>500</v>
      </c>
      <c r="B928" s="20">
        <f>'Schattenhofer, SI Data'!A344</f>
        <v>57</v>
      </c>
      <c r="C928" s="20">
        <f>'Schattenhofer, SI Data'!E344</f>
        <v>225</v>
      </c>
      <c r="I928" s="51">
        <f>'Schattenhofer, SI Data'!F344</f>
        <v>300000</v>
      </c>
      <c r="J928" s="51">
        <f>'Schattenhofer, SI Data'!H344</f>
        <v>157200</v>
      </c>
      <c r="K928" s="51">
        <f>'Schattenhofer, SI Data'!M344</f>
        <v>44100</v>
      </c>
      <c r="L928" s="51">
        <f>J928+K928</f>
        <v>201300</v>
      </c>
      <c r="M928" s="63">
        <f>L928/I928</f>
        <v>0.67100000000000004</v>
      </c>
      <c r="N928" s="63">
        <f>K928/L928</f>
        <v>0.21907600596125187</v>
      </c>
      <c r="O928" s="63" t="s">
        <v>396</v>
      </c>
      <c r="P928" s="51" t="s">
        <v>416</v>
      </c>
      <c r="Q928" s="51" t="s">
        <v>534</v>
      </c>
      <c r="R928" s="51" t="s">
        <v>246</v>
      </c>
      <c r="S928" s="51" t="s">
        <v>909</v>
      </c>
      <c r="T928" s="20" t="s">
        <v>317</v>
      </c>
      <c r="U928" s="20" t="s">
        <v>318</v>
      </c>
      <c r="V928" s="20" t="s">
        <v>444</v>
      </c>
    </row>
    <row r="929" spans="1:22">
      <c r="A929" s="20" t="s">
        <v>500</v>
      </c>
      <c r="B929" s="20">
        <f>'Schattenhofer, SI Data'!A356</f>
        <v>59</v>
      </c>
      <c r="C929" s="20">
        <f>'Schattenhofer, SI Data'!E356</f>
        <v>225</v>
      </c>
      <c r="I929" s="51">
        <f>'Schattenhofer, SI Data'!F356</f>
        <v>330000</v>
      </c>
      <c r="J929" s="51">
        <f>'Schattenhofer, SI Data'!H356</f>
        <v>133650</v>
      </c>
      <c r="K929" s="51">
        <f>'Schattenhofer, SI Data'!M356</f>
        <v>4290</v>
      </c>
      <c r="L929" s="51">
        <f>J929+K929</f>
        <v>137940</v>
      </c>
      <c r="M929" s="63">
        <f>L929/I929</f>
        <v>0.41799999999999998</v>
      </c>
      <c r="N929" s="63">
        <f>K929/L929</f>
        <v>3.1100478468899521E-2</v>
      </c>
      <c r="O929" s="63" t="s">
        <v>396</v>
      </c>
      <c r="P929" s="51" t="s">
        <v>416</v>
      </c>
      <c r="Q929" s="51" t="s">
        <v>534</v>
      </c>
      <c r="R929" s="51" t="s">
        <v>246</v>
      </c>
      <c r="S929" s="51" t="s">
        <v>909</v>
      </c>
      <c r="T929" s="20" t="s">
        <v>317</v>
      </c>
      <c r="U929" s="20" t="s">
        <v>318</v>
      </c>
      <c r="V929" s="20" t="s">
        <v>444</v>
      </c>
    </row>
    <row r="930" spans="1:22">
      <c r="A930" s="20" t="s">
        <v>500</v>
      </c>
      <c r="B930" s="20">
        <f>'Schattenhofer, SI Data'!A370</f>
        <v>61</v>
      </c>
      <c r="C930" s="20">
        <f>'Schattenhofer, SI Data'!E370</f>
        <v>225</v>
      </c>
      <c r="I930" s="51">
        <f>'Schattenhofer, SI Data'!F370</f>
        <v>350000</v>
      </c>
      <c r="J930" s="51">
        <f>'Schattenhofer, SI Data'!H370</f>
        <v>169050</v>
      </c>
      <c r="K930" s="51">
        <f>'Schattenhofer, SI Data'!M370</f>
        <v>63350.000000000007</v>
      </c>
      <c r="L930" s="51">
        <f>J930+K930</f>
        <v>232400</v>
      </c>
      <c r="M930" s="63">
        <f>L930/I930</f>
        <v>0.66400000000000003</v>
      </c>
      <c r="N930" s="63">
        <f>K930/L930</f>
        <v>0.27259036144578319</v>
      </c>
      <c r="O930" s="63" t="s">
        <v>396</v>
      </c>
      <c r="P930" s="51" t="s">
        <v>416</v>
      </c>
      <c r="Q930" s="51" t="s">
        <v>534</v>
      </c>
      <c r="R930" s="51" t="s">
        <v>246</v>
      </c>
      <c r="S930" s="51" t="s">
        <v>909</v>
      </c>
      <c r="T930" s="20" t="s">
        <v>317</v>
      </c>
      <c r="U930" s="20" t="s">
        <v>318</v>
      </c>
      <c r="V930" s="20" t="s">
        <v>444</v>
      </c>
    </row>
    <row r="931" spans="1:22">
      <c r="A931" s="20" t="s">
        <v>500</v>
      </c>
      <c r="B931" s="20">
        <f>'Schattenhofer, SI Data'!A382</f>
        <v>63</v>
      </c>
      <c r="C931" s="20">
        <f>'Schattenhofer, SI Data'!E382</f>
        <v>225</v>
      </c>
      <c r="I931" s="51">
        <f>'Schattenhofer, SI Data'!F382</f>
        <v>320000</v>
      </c>
      <c r="J931" s="51">
        <f>'Schattenhofer, SI Data'!H382</f>
        <v>165760</v>
      </c>
      <c r="K931" s="51">
        <f>'Schattenhofer, SI Data'!M382</f>
        <v>67200</v>
      </c>
      <c r="L931" s="51">
        <f>J931+K931</f>
        <v>232960</v>
      </c>
      <c r="M931" s="63">
        <f>L931/I931</f>
        <v>0.72799999999999998</v>
      </c>
      <c r="N931" s="63">
        <f>K931/L931</f>
        <v>0.28846153846153844</v>
      </c>
      <c r="O931" s="63" t="s">
        <v>396</v>
      </c>
      <c r="P931" s="51" t="s">
        <v>416</v>
      </c>
      <c r="Q931" s="51" t="s">
        <v>534</v>
      </c>
      <c r="R931" s="51" t="s">
        <v>246</v>
      </c>
      <c r="S931" s="51" t="s">
        <v>909</v>
      </c>
      <c r="T931" s="20" t="s">
        <v>317</v>
      </c>
      <c r="U931" s="20" t="s">
        <v>318</v>
      </c>
      <c r="V931" s="20" t="s">
        <v>444</v>
      </c>
    </row>
    <row r="932" spans="1:22">
      <c r="A932" s="20" t="s">
        <v>500</v>
      </c>
      <c r="B932" s="20">
        <f>'Schattenhofer, SI Data'!A394</f>
        <v>65</v>
      </c>
      <c r="C932" s="20">
        <f>'Schattenhofer, SI Data'!E394</f>
        <v>225</v>
      </c>
      <c r="I932" s="51">
        <f>'Schattenhofer, SI Data'!F394</f>
        <v>290000</v>
      </c>
      <c r="J932" s="51">
        <f>'Schattenhofer, SI Data'!H394</f>
        <v>189950</v>
      </c>
      <c r="K932" s="51">
        <f>'Schattenhofer, SI Data'!M394</f>
        <v>42920</v>
      </c>
      <c r="L932" s="51">
        <f>J932+K932</f>
        <v>232870</v>
      </c>
      <c r="M932" s="63">
        <f>L932/I932</f>
        <v>0.80300000000000005</v>
      </c>
      <c r="N932" s="63">
        <f>K932/L932</f>
        <v>0.18430884184308841</v>
      </c>
      <c r="O932" s="63" t="s">
        <v>396</v>
      </c>
      <c r="P932" s="51" t="s">
        <v>416</v>
      </c>
      <c r="Q932" s="51" t="s">
        <v>534</v>
      </c>
      <c r="R932" s="51" t="s">
        <v>246</v>
      </c>
      <c r="S932" s="51" t="s">
        <v>909</v>
      </c>
      <c r="T932" s="20" t="s">
        <v>317</v>
      </c>
      <c r="U932" s="20" t="s">
        <v>318</v>
      </c>
      <c r="V932" s="20" t="s">
        <v>444</v>
      </c>
    </row>
    <row r="933" spans="1:22">
      <c r="A933" s="20" t="s">
        <v>500</v>
      </c>
      <c r="B933" s="20">
        <f>'Schattenhofer, SI Data'!A40</f>
        <v>6</v>
      </c>
      <c r="C933" s="20">
        <f>'Schattenhofer, SI Data'!E40</f>
        <v>240</v>
      </c>
      <c r="I933" s="51">
        <f>'Schattenhofer, SI Data'!F40</f>
        <v>190000</v>
      </c>
      <c r="J933" s="51">
        <f>'Schattenhofer, SI Data'!H40</f>
        <v>99940</v>
      </c>
      <c r="K933" s="51">
        <f>'Schattenhofer, SI Data'!M40</f>
        <v>34959.999999999993</v>
      </c>
      <c r="L933" s="51">
        <f>J933+K933</f>
        <v>134900</v>
      </c>
      <c r="M933" s="63">
        <f>L933/I933</f>
        <v>0.71</v>
      </c>
      <c r="N933" s="63">
        <f>K933/L933</f>
        <v>0.25915492957746472</v>
      </c>
      <c r="O933" s="63" t="s">
        <v>396</v>
      </c>
      <c r="P933" s="51" t="s">
        <v>416</v>
      </c>
      <c r="Q933" s="51" t="s">
        <v>534</v>
      </c>
      <c r="R933" s="51" t="s">
        <v>246</v>
      </c>
      <c r="S933" s="51" t="s">
        <v>909</v>
      </c>
      <c r="T933" s="20" t="s">
        <v>317</v>
      </c>
      <c r="U933" s="20" t="s">
        <v>318</v>
      </c>
      <c r="V933" s="20" t="s">
        <v>444</v>
      </c>
    </row>
    <row r="934" spans="1:22">
      <c r="A934" s="20" t="s">
        <v>500</v>
      </c>
      <c r="B934" s="20">
        <f>'Schattenhofer, SI Data'!A101</f>
        <v>17</v>
      </c>
      <c r="C934" s="20">
        <f>'Schattenhofer, SI Data'!E101</f>
        <v>245</v>
      </c>
      <c r="I934" s="51">
        <f>'Schattenhofer, SI Data'!F101</f>
        <v>230000</v>
      </c>
      <c r="J934" s="51">
        <f>'Schattenhofer, SI Data'!H101</f>
        <v>97290</v>
      </c>
      <c r="K934" s="51">
        <f>'Schattenhofer, SI Data'!M101</f>
        <v>22770</v>
      </c>
      <c r="L934" s="51">
        <f>J934+K934</f>
        <v>120060</v>
      </c>
      <c r="M934" s="63">
        <f>L934/I934</f>
        <v>0.52200000000000002</v>
      </c>
      <c r="N934" s="63">
        <f>K934/L934</f>
        <v>0.18965517241379309</v>
      </c>
      <c r="O934" s="63" t="s">
        <v>396</v>
      </c>
      <c r="P934" s="51" t="s">
        <v>416</v>
      </c>
      <c r="Q934" s="51" t="s">
        <v>534</v>
      </c>
      <c r="R934" s="51" t="s">
        <v>246</v>
      </c>
      <c r="S934" s="51" t="s">
        <v>909</v>
      </c>
      <c r="T934" s="20" t="s">
        <v>317</v>
      </c>
      <c r="U934" s="20" t="s">
        <v>318</v>
      </c>
      <c r="V934" s="20" t="s">
        <v>444</v>
      </c>
    </row>
    <row r="935" spans="1:22">
      <c r="A935" s="20" t="s">
        <v>500</v>
      </c>
      <c r="B935" s="20">
        <f>'Schattenhofer, SI Data'!A11</f>
        <v>1</v>
      </c>
      <c r="C935" s="20">
        <f>'Schattenhofer, SI Data'!E11</f>
        <v>250</v>
      </c>
      <c r="I935" s="51">
        <f>'Schattenhofer, SI Data'!F11</f>
        <v>1500000</v>
      </c>
      <c r="J935" s="51">
        <f>'Schattenhofer, SI Data'!H11</f>
        <v>963000</v>
      </c>
      <c r="K935" s="51">
        <f>'Schattenhofer, SI Data'!M11</f>
        <v>564000</v>
      </c>
      <c r="L935" s="51">
        <f>J935+K935</f>
        <v>1527000</v>
      </c>
      <c r="M935" s="63">
        <f>L935/I935</f>
        <v>1.018</v>
      </c>
      <c r="N935" s="63">
        <f>K935/L935</f>
        <v>0.36935166994106089</v>
      </c>
      <c r="O935" s="63" t="s">
        <v>396</v>
      </c>
      <c r="P935" s="51" t="s">
        <v>416</v>
      </c>
      <c r="Q935" s="51" t="s">
        <v>534</v>
      </c>
      <c r="R935" s="51" t="s">
        <v>246</v>
      </c>
      <c r="S935" s="51" t="s">
        <v>909</v>
      </c>
      <c r="T935" s="20" t="s">
        <v>317</v>
      </c>
      <c r="U935" s="20" t="s">
        <v>318</v>
      </c>
      <c r="V935" s="20" t="s">
        <v>444</v>
      </c>
    </row>
    <row r="936" spans="1:22">
      <c r="A936" s="20" t="s">
        <v>500</v>
      </c>
      <c r="B936" s="20">
        <f>'Schattenhofer, SI Data'!A17</f>
        <v>2</v>
      </c>
      <c r="C936" s="20">
        <f>'Schattenhofer, SI Data'!E17</f>
        <v>250</v>
      </c>
      <c r="I936" s="51">
        <f>'Schattenhofer, SI Data'!F17</f>
        <v>1100000</v>
      </c>
      <c r="J936" s="51">
        <f>'Schattenhofer, SI Data'!H17</f>
        <v>506000</v>
      </c>
      <c r="K936" s="51">
        <f>'Schattenhofer, SI Data'!M17</f>
        <v>350900</v>
      </c>
      <c r="L936" s="51">
        <f>J936+K936</f>
        <v>856900</v>
      </c>
      <c r="M936" s="63">
        <f>L936/I936</f>
        <v>0.77900000000000003</v>
      </c>
      <c r="N936" s="63">
        <f>K936/L936</f>
        <v>0.40949935815147626</v>
      </c>
      <c r="O936" s="63" t="s">
        <v>396</v>
      </c>
      <c r="P936" s="51" t="s">
        <v>416</v>
      </c>
      <c r="Q936" s="51" t="s">
        <v>534</v>
      </c>
      <c r="R936" s="51" t="s">
        <v>246</v>
      </c>
      <c r="S936" s="51" t="s">
        <v>909</v>
      </c>
      <c r="T936" s="20" t="s">
        <v>317</v>
      </c>
      <c r="U936" s="20" t="s">
        <v>318</v>
      </c>
      <c r="V936" s="20" t="s">
        <v>444</v>
      </c>
    </row>
    <row r="937" spans="1:22">
      <c r="A937" s="20" t="s">
        <v>500</v>
      </c>
      <c r="B937" s="20">
        <f>'Schattenhofer, SI Data'!A115</f>
        <v>19</v>
      </c>
      <c r="C937" s="20">
        <f>'Schattenhofer, SI Data'!E115</f>
        <v>275</v>
      </c>
      <c r="I937" s="51">
        <f>'Schattenhofer, SI Data'!F115</f>
        <v>500000</v>
      </c>
      <c r="J937" s="51">
        <f>'Schattenhofer, SI Data'!H115</f>
        <v>312000</v>
      </c>
      <c r="K937" s="51">
        <f>'Schattenhofer, SI Data'!M115</f>
        <v>11000</v>
      </c>
      <c r="L937" s="51">
        <f>J937+K937</f>
        <v>323000</v>
      </c>
      <c r="M937" s="63">
        <f>L937/I937</f>
        <v>0.64600000000000002</v>
      </c>
      <c r="N937" s="63">
        <f>K937/L937</f>
        <v>3.4055727554179564E-2</v>
      </c>
      <c r="O937" s="63" t="s">
        <v>396</v>
      </c>
      <c r="P937" s="51" t="s">
        <v>416</v>
      </c>
      <c r="Q937" s="51" t="s">
        <v>534</v>
      </c>
      <c r="R937" s="51" t="s">
        <v>246</v>
      </c>
      <c r="S937" s="51" t="s">
        <v>909</v>
      </c>
      <c r="T937" s="20" t="s">
        <v>317</v>
      </c>
      <c r="U937" s="20" t="s">
        <v>318</v>
      </c>
      <c r="V937" s="20" t="s">
        <v>444</v>
      </c>
    </row>
    <row r="938" spans="1:22">
      <c r="A938" s="20" t="s">
        <v>500</v>
      </c>
      <c r="B938" s="20">
        <f>'Schattenhofer, SI Data'!A282</f>
        <v>46</v>
      </c>
      <c r="C938" s="20">
        <f>'Schattenhofer, SI Data'!E282</f>
        <v>285</v>
      </c>
      <c r="I938" s="51">
        <f>'Schattenhofer, SI Data'!F282</f>
        <v>170000</v>
      </c>
      <c r="J938" s="51">
        <f>'Schattenhofer, SI Data'!H282</f>
        <v>77350</v>
      </c>
      <c r="K938" s="51">
        <f>'Schattenhofer, SI Data'!M282</f>
        <v>22610</v>
      </c>
      <c r="L938" s="51">
        <f>J938+K938</f>
        <v>99960</v>
      </c>
      <c r="M938" s="63">
        <f>L938/I938</f>
        <v>0.58799999999999997</v>
      </c>
      <c r="N938" s="63">
        <f>K938/L938</f>
        <v>0.22619047619047619</v>
      </c>
      <c r="O938" s="63" t="s">
        <v>396</v>
      </c>
      <c r="P938" s="51" t="s">
        <v>416</v>
      </c>
      <c r="Q938" s="51" t="s">
        <v>534</v>
      </c>
      <c r="R938" s="51" t="s">
        <v>246</v>
      </c>
      <c r="S938" s="51" t="s">
        <v>909</v>
      </c>
      <c r="T938" s="20" t="s">
        <v>317</v>
      </c>
      <c r="U938" s="20" t="s">
        <v>318</v>
      </c>
      <c r="V938" s="20" t="s">
        <v>444</v>
      </c>
    </row>
    <row r="939" spans="1:22">
      <c r="A939" s="20" t="s">
        <v>500</v>
      </c>
      <c r="B939" s="20">
        <f>'Schattenhofer, SI Data'!A23</f>
        <v>3</v>
      </c>
      <c r="C939" s="20">
        <f>'Schattenhofer, SI Data'!E23</f>
        <v>300</v>
      </c>
      <c r="I939" s="51">
        <f>'Schattenhofer, SI Data'!F23</f>
        <v>190000</v>
      </c>
      <c r="J939" s="51">
        <f>'Schattenhofer, SI Data'!H23</f>
        <v>91010</v>
      </c>
      <c r="K939" s="51">
        <f>'Schattenhofer, SI Data'!M23</f>
        <v>38950</v>
      </c>
      <c r="L939" s="51">
        <f>J939+K939</f>
        <v>129960</v>
      </c>
      <c r="M939" s="63">
        <f>L939/I939</f>
        <v>0.68400000000000005</v>
      </c>
      <c r="N939" s="63">
        <f>K939/L939</f>
        <v>0.29970760233918131</v>
      </c>
      <c r="O939" s="63" t="s">
        <v>396</v>
      </c>
      <c r="P939" s="51" t="s">
        <v>416</v>
      </c>
      <c r="Q939" s="51" t="s">
        <v>534</v>
      </c>
      <c r="R939" s="51" t="s">
        <v>246</v>
      </c>
      <c r="S939" s="51" t="s">
        <v>909</v>
      </c>
      <c r="T939" s="20" t="s">
        <v>317</v>
      </c>
      <c r="U939" s="20" t="s">
        <v>318</v>
      </c>
      <c r="V939" s="20" t="s">
        <v>444</v>
      </c>
    </row>
    <row r="940" spans="1:22">
      <c r="A940" s="20" t="s">
        <v>500</v>
      </c>
      <c r="B940" s="20">
        <f>'Schattenhofer, SI Data'!A29</f>
        <v>4</v>
      </c>
      <c r="C940" s="20">
        <f>'Schattenhofer, SI Data'!E29</f>
        <v>300</v>
      </c>
      <c r="I940" s="51">
        <f>'Schattenhofer, SI Data'!F29</f>
        <v>230000</v>
      </c>
      <c r="J940" s="51">
        <f>'Schattenhofer, SI Data'!H29</f>
        <v>97980</v>
      </c>
      <c r="K940" s="51">
        <f>'Schattenhofer, SI Data'!M29</f>
        <v>43469.999999999993</v>
      </c>
      <c r="L940" s="51">
        <f>J940+K940</f>
        <v>141450</v>
      </c>
      <c r="M940" s="63">
        <f>L940/I940</f>
        <v>0.61499999999999999</v>
      </c>
      <c r="N940" s="63">
        <f>K940/L940</f>
        <v>0.30731707317073165</v>
      </c>
      <c r="O940" s="63" t="s">
        <v>396</v>
      </c>
      <c r="P940" s="51" t="s">
        <v>416</v>
      </c>
      <c r="Q940" s="51" t="s">
        <v>534</v>
      </c>
      <c r="R940" s="51" t="s">
        <v>246</v>
      </c>
      <c r="S940" s="51" t="s">
        <v>909</v>
      </c>
      <c r="T940" s="20" t="s">
        <v>317</v>
      </c>
      <c r="U940" s="20" t="s">
        <v>318</v>
      </c>
      <c r="V940" s="20" t="s">
        <v>444</v>
      </c>
    </row>
    <row r="941" spans="1:22">
      <c r="A941" s="20" t="s">
        <v>500</v>
      </c>
      <c r="B941" s="20">
        <f>'Schattenhofer, SI Data'!A35</f>
        <v>5</v>
      </c>
      <c r="C941" s="20">
        <f>'Schattenhofer, SI Data'!E35</f>
        <v>300</v>
      </c>
      <c r="I941" s="51">
        <f>'Schattenhofer, SI Data'!F35</f>
        <v>250000</v>
      </c>
      <c r="J941" s="51">
        <f>'Schattenhofer, SI Data'!H35</f>
        <v>145000</v>
      </c>
      <c r="K941" s="51">
        <f>'Schattenhofer, SI Data'!M35</f>
        <v>57250</v>
      </c>
      <c r="L941" s="51">
        <f>J941+K941</f>
        <v>202250</v>
      </c>
      <c r="M941" s="63">
        <f>L941/I941</f>
        <v>0.80900000000000005</v>
      </c>
      <c r="N941" s="63">
        <f>K941/L941</f>
        <v>0.28306551297898641</v>
      </c>
      <c r="O941" s="63" t="s">
        <v>396</v>
      </c>
      <c r="P941" s="51" t="s">
        <v>416</v>
      </c>
      <c r="Q941" s="51" t="s">
        <v>534</v>
      </c>
      <c r="R941" s="51" t="s">
        <v>246</v>
      </c>
      <c r="S941" s="51" t="s">
        <v>909</v>
      </c>
      <c r="T941" s="20" t="s">
        <v>317</v>
      </c>
      <c r="U941" s="20" t="s">
        <v>318</v>
      </c>
      <c r="V941" s="20" t="s">
        <v>444</v>
      </c>
    </row>
    <row r="942" spans="1:22">
      <c r="A942" s="20" t="s">
        <v>500</v>
      </c>
      <c r="B942" s="20">
        <f>'Schattenhofer, SI Data'!A41</f>
        <v>6</v>
      </c>
      <c r="C942" s="20">
        <f>'Schattenhofer, SI Data'!E41</f>
        <v>300</v>
      </c>
      <c r="I942" s="51">
        <f>'Schattenhofer, SI Data'!F41</f>
        <v>190000</v>
      </c>
      <c r="J942" s="51">
        <f>'Schattenhofer, SI Data'!H41</f>
        <v>102410</v>
      </c>
      <c r="K942" s="51">
        <f>'Schattenhofer, SI Data'!M41</f>
        <v>31730</v>
      </c>
      <c r="L942" s="51">
        <f>J942+K942</f>
        <v>134140</v>
      </c>
      <c r="M942" s="63">
        <f>L942/I942</f>
        <v>0.70599999999999996</v>
      </c>
      <c r="N942" s="63">
        <f>K942/L942</f>
        <v>0.23654390934844194</v>
      </c>
      <c r="O942" s="63" t="s">
        <v>396</v>
      </c>
      <c r="P942" s="51" t="s">
        <v>416</v>
      </c>
      <c r="Q942" s="51" t="s">
        <v>534</v>
      </c>
      <c r="R942" s="51" t="s">
        <v>246</v>
      </c>
      <c r="S942" s="51" t="s">
        <v>909</v>
      </c>
      <c r="T942" s="20" t="s">
        <v>317</v>
      </c>
      <c r="U942" s="20" t="s">
        <v>318</v>
      </c>
      <c r="V942" s="20" t="s">
        <v>444</v>
      </c>
    </row>
    <row r="943" spans="1:22">
      <c r="A943" s="20" t="s">
        <v>500</v>
      </c>
      <c r="B943" s="20">
        <f>'Schattenhofer, SI Data'!A47</f>
        <v>7</v>
      </c>
      <c r="C943" s="20">
        <f>'Schattenhofer, SI Data'!E47</f>
        <v>300</v>
      </c>
      <c r="I943" s="51">
        <f>'Schattenhofer, SI Data'!F47</f>
        <v>210000</v>
      </c>
      <c r="J943" s="51">
        <f>'Schattenhofer, SI Data'!H47</f>
        <v>88410</v>
      </c>
      <c r="K943" s="51">
        <f>'Schattenhofer, SI Data'!M47</f>
        <v>24570</v>
      </c>
      <c r="L943" s="51">
        <f>J943+K943</f>
        <v>112980</v>
      </c>
      <c r="M943" s="63">
        <f>L943/I943</f>
        <v>0.53800000000000003</v>
      </c>
      <c r="N943" s="63">
        <f>K943/L943</f>
        <v>0.21747211895910781</v>
      </c>
      <c r="O943" s="63" t="s">
        <v>396</v>
      </c>
      <c r="P943" s="51" t="s">
        <v>416</v>
      </c>
      <c r="Q943" s="51" t="s">
        <v>534</v>
      </c>
      <c r="R943" s="51" t="s">
        <v>246</v>
      </c>
      <c r="S943" s="51" t="s">
        <v>909</v>
      </c>
      <c r="T943" s="20" t="s">
        <v>317</v>
      </c>
      <c r="U943" s="20" t="s">
        <v>318</v>
      </c>
      <c r="V943" s="20" t="s">
        <v>444</v>
      </c>
    </row>
    <row r="944" spans="1:22">
      <c r="A944" s="20" t="s">
        <v>500</v>
      </c>
      <c r="B944" s="20">
        <f>'Schattenhofer, SI Data'!A53</f>
        <v>8</v>
      </c>
      <c r="C944" s="20">
        <f>'Schattenhofer, SI Data'!E53</f>
        <v>300</v>
      </c>
      <c r="I944" s="51">
        <f>'Schattenhofer, SI Data'!F53</f>
        <v>140000</v>
      </c>
      <c r="J944" s="51">
        <f>'Schattenhofer, SI Data'!H53</f>
        <v>58100</v>
      </c>
      <c r="K944" s="51">
        <f>'Schattenhofer, SI Data'!M53</f>
        <v>34440</v>
      </c>
      <c r="L944" s="51">
        <f>J944+K944</f>
        <v>92540</v>
      </c>
      <c r="M944" s="63">
        <f>L944/I944</f>
        <v>0.66100000000000003</v>
      </c>
      <c r="N944" s="63">
        <f>K944/L944</f>
        <v>0.37216338880484112</v>
      </c>
      <c r="O944" s="63" t="s">
        <v>396</v>
      </c>
      <c r="P944" s="51" t="s">
        <v>416</v>
      </c>
      <c r="Q944" s="51" t="s">
        <v>534</v>
      </c>
      <c r="R944" s="51" t="s">
        <v>246</v>
      </c>
      <c r="S944" s="51" t="s">
        <v>909</v>
      </c>
      <c r="T944" s="20" t="s">
        <v>317</v>
      </c>
      <c r="U944" s="20" t="s">
        <v>318</v>
      </c>
      <c r="V944" s="20" t="s">
        <v>444</v>
      </c>
    </row>
    <row r="945" spans="1:22">
      <c r="A945" s="20" t="s">
        <v>500</v>
      </c>
      <c r="B945" s="20">
        <f>'Schattenhofer, SI Data'!A59</f>
        <v>9</v>
      </c>
      <c r="C945" s="20">
        <f>'Schattenhofer, SI Data'!E59</f>
        <v>300</v>
      </c>
      <c r="I945" s="51">
        <f>'Schattenhofer, SI Data'!F59</f>
        <v>200000</v>
      </c>
      <c r="J945" s="51">
        <f>'Schattenhofer, SI Data'!H59</f>
        <v>104000</v>
      </c>
      <c r="K945" s="51">
        <f>'Schattenhofer, SI Data'!M59</f>
        <v>25000</v>
      </c>
      <c r="L945" s="51">
        <f>J945+K945</f>
        <v>129000</v>
      </c>
      <c r="M945" s="63">
        <f>L945/I945</f>
        <v>0.64500000000000002</v>
      </c>
      <c r="N945" s="63">
        <f>K945/L945</f>
        <v>0.19379844961240311</v>
      </c>
      <c r="O945" s="63" t="s">
        <v>396</v>
      </c>
      <c r="P945" s="51" t="s">
        <v>416</v>
      </c>
      <c r="Q945" s="51" t="s">
        <v>534</v>
      </c>
      <c r="R945" s="51" t="s">
        <v>246</v>
      </c>
      <c r="S945" s="51" t="s">
        <v>909</v>
      </c>
      <c r="T945" s="20" t="s">
        <v>317</v>
      </c>
      <c r="U945" s="20" t="s">
        <v>318</v>
      </c>
      <c r="V945" s="20" t="s">
        <v>444</v>
      </c>
    </row>
    <row r="946" spans="1:22">
      <c r="A946" s="20" t="s">
        <v>500</v>
      </c>
      <c r="B946" s="20">
        <f>'Schattenhofer, SI Data'!A70</f>
        <v>12</v>
      </c>
      <c r="C946" s="20">
        <f>'Schattenhofer, SI Data'!E70</f>
        <v>300</v>
      </c>
      <c r="I946" s="51">
        <f>'Schattenhofer, SI Data'!F70</f>
        <v>160000</v>
      </c>
      <c r="J946" s="51">
        <f>'Schattenhofer, SI Data'!H70</f>
        <v>71520</v>
      </c>
      <c r="K946" s="51">
        <f>'Schattenhofer, SI Data'!M70</f>
        <v>17280</v>
      </c>
      <c r="L946" s="51">
        <f>J946+K946</f>
        <v>88800</v>
      </c>
      <c r="M946" s="63">
        <f>L946/I946</f>
        <v>0.55500000000000005</v>
      </c>
      <c r="N946" s="63">
        <f>K946/L946</f>
        <v>0.19459459459459461</v>
      </c>
      <c r="O946" s="63" t="s">
        <v>396</v>
      </c>
      <c r="P946" s="51" t="s">
        <v>416</v>
      </c>
      <c r="Q946" s="51" t="s">
        <v>534</v>
      </c>
      <c r="R946" s="51" t="s">
        <v>246</v>
      </c>
      <c r="S946" s="51" t="s">
        <v>909</v>
      </c>
      <c r="T946" s="20" t="s">
        <v>317</v>
      </c>
      <c r="U946" s="20" t="s">
        <v>318</v>
      </c>
      <c r="V946" s="20" t="s">
        <v>444</v>
      </c>
    </row>
    <row r="947" spans="1:22">
      <c r="A947" s="20" t="s">
        <v>500</v>
      </c>
      <c r="B947" s="20">
        <f>'Schattenhofer, SI Data'!A76</f>
        <v>13</v>
      </c>
      <c r="C947" s="20">
        <f>'Schattenhofer, SI Data'!E76</f>
        <v>300</v>
      </c>
      <c r="I947" s="51">
        <f>'Schattenhofer, SI Data'!F76</f>
        <v>150000</v>
      </c>
      <c r="J947" s="51">
        <f>'Schattenhofer, SI Data'!H76</f>
        <v>48900</v>
      </c>
      <c r="K947" s="51">
        <f>'Schattenhofer, SI Data'!M76</f>
        <v>26700</v>
      </c>
      <c r="L947" s="51">
        <f>J947+K947</f>
        <v>75600</v>
      </c>
      <c r="M947" s="63">
        <f>L947/I947</f>
        <v>0.504</v>
      </c>
      <c r="N947" s="63">
        <f>K947/L947</f>
        <v>0.3531746031746032</v>
      </c>
      <c r="O947" s="63" t="s">
        <v>396</v>
      </c>
      <c r="P947" s="51" t="s">
        <v>416</v>
      </c>
      <c r="Q947" s="51" t="s">
        <v>534</v>
      </c>
      <c r="R947" s="51" t="s">
        <v>246</v>
      </c>
      <c r="S947" s="51" t="s">
        <v>909</v>
      </c>
      <c r="T947" s="20" t="s">
        <v>317</v>
      </c>
      <c r="U947" s="20" t="s">
        <v>318</v>
      </c>
      <c r="V947" s="20" t="s">
        <v>444</v>
      </c>
    </row>
    <row r="948" spans="1:22">
      <c r="A948" s="20" t="s">
        <v>500</v>
      </c>
      <c r="B948" s="20">
        <f>'Schattenhofer, SI Data'!A84</f>
        <v>14</v>
      </c>
      <c r="C948" s="20">
        <f>'Schattenhofer, SI Data'!E84</f>
        <v>300</v>
      </c>
      <c r="I948" s="51">
        <f>'Schattenhofer, SI Data'!F84</f>
        <v>170000</v>
      </c>
      <c r="J948" s="51">
        <f>'Schattenhofer, SI Data'!H84</f>
        <v>85340</v>
      </c>
      <c r="K948" s="51">
        <f>'Schattenhofer, SI Data'!M84</f>
        <v>28220.000000000004</v>
      </c>
      <c r="L948" s="51">
        <f>J948+K948</f>
        <v>113560</v>
      </c>
      <c r="M948" s="63">
        <f>L948/I948</f>
        <v>0.66800000000000004</v>
      </c>
      <c r="N948" s="63">
        <f>K948/L948</f>
        <v>0.24850299401197609</v>
      </c>
      <c r="O948" s="63" t="s">
        <v>396</v>
      </c>
      <c r="P948" s="51" t="s">
        <v>416</v>
      </c>
      <c r="Q948" s="51" t="s">
        <v>534</v>
      </c>
      <c r="R948" s="51" t="s">
        <v>246</v>
      </c>
      <c r="S948" s="51" t="s">
        <v>909</v>
      </c>
      <c r="T948" s="20" t="s">
        <v>317</v>
      </c>
      <c r="U948" s="20" t="s">
        <v>318</v>
      </c>
      <c r="V948" s="20" t="s">
        <v>444</v>
      </c>
    </row>
    <row r="949" spans="1:22">
      <c r="A949" s="20" t="s">
        <v>500</v>
      </c>
      <c r="B949" s="20">
        <f>'Schattenhofer, SI Data'!A90</f>
        <v>15</v>
      </c>
      <c r="C949" s="20">
        <f>'Schattenhofer, SI Data'!E90</f>
        <v>300</v>
      </c>
      <c r="I949" s="51">
        <f>'Schattenhofer, SI Data'!F90</f>
        <v>150000</v>
      </c>
      <c r="J949" s="51">
        <f>'Schattenhofer, SI Data'!H90</f>
        <v>60750</v>
      </c>
      <c r="K949" s="51">
        <f>'Schattenhofer, SI Data'!M90</f>
        <v>19200</v>
      </c>
      <c r="L949" s="51">
        <f>J949+K949</f>
        <v>79950</v>
      </c>
      <c r="M949" s="63">
        <f>L949/I949</f>
        <v>0.53300000000000003</v>
      </c>
      <c r="N949" s="63">
        <f>K949/L949</f>
        <v>0.24015009380863039</v>
      </c>
      <c r="O949" s="63" t="s">
        <v>396</v>
      </c>
      <c r="P949" s="51" t="s">
        <v>416</v>
      </c>
      <c r="Q949" s="51" t="s">
        <v>534</v>
      </c>
      <c r="R949" s="51" t="s">
        <v>246</v>
      </c>
      <c r="S949" s="51" t="s">
        <v>909</v>
      </c>
      <c r="T949" s="20" t="s">
        <v>317</v>
      </c>
      <c r="U949" s="20" t="s">
        <v>318</v>
      </c>
      <c r="V949" s="20" t="s">
        <v>444</v>
      </c>
    </row>
    <row r="950" spans="1:22">
      <c r="A950" s="20" t="s">
        <v>500</v>
      </c>
      <c r="B950" s="20">
        <f>'Schattenhofer, SI Data'!A96</f>
        <v>16</v>
      </c>
      <c r="C950" s="20">
        <f>'Schattenhofer, SI Data'!E96</f>
        <v>300</v>
      </c>
      <c r="I950" s="51">
        <f>'Schattenhofer, SI Data'!F96</f>
        <v>140000</v>
      </c>
      <c r="J950" s="51">
        <f>'Schattenhofer, SI Data'!H96</f>
        <v>75180</v>
      </c>
      <c r="K950" s="51">
        <f>'Schattenhofer, SI Data'!M96</f>
        <v>15960</v>
      </c>
      <c r="L950" s="51">
        <f>J950+K950</f>
        <v>91140</v>
      </c>
      <c r="M950" s="63">
        <f>L950/I950</f>
        <v>0.65100000000000002</v>
      </c>
      <c r="N950" s="63">
        <f>K950/L950</f>
        <v>0.17511520737327188</v>
      </c>
      <c r="O950" s="63" t="s">
        <v>396</v>
      </c>
      <c r="P950" s="51" t="s">
        <v>416</v>
      </c>
      <c r="Q950" s="51" t="s">
        <v>534</v>
      </c>
      <c r="R950" s="51" t="s">
        <v>246</v>
      </c>
      <c r="S950" s="51" t="s">
        <v>909</v>
      </c>
      <c r="T950" s="20" t="s">
        <v>317</v>
      </c>
      <c r="U950" s="20" t="s">
        <v>318</v>
      </c>
      <c r="V950" s="20" t="s">
        <v>444</v>
      </c>
    </row>
    <row r="951" spans="1:22">
      <c r="A951" s="20" t="s">
        <v>500</v>
      </c>
      <c r="B951" s="20">
        <f>'Schattenhofer, SI Data'!A102</f>
        <v>17</v>
      </c>
      <c r="C951" s="20">
        <f>'Schattenhofer, SI Data'!E102</f>
        <v>300</v>
      </c>
      <c r="I951" s="51">
        <f>'Schattenhofer, SI Data'!F102</f>
        <v>270000</v>
      </c>
      <c r="J951" s="51">
        <f>'Schattenhofer, SI Data'!H102</f>
        <v>116910</v>
      </c>
      <c r="K951" s="51">
        <f>'Schattenhofer, SI Data'!M102</f>
        <v>27000</v>
      </c>
      <c r="L951" s="51">
        <f>J951+K951</f>
        <v>143910</v>
      </c>
      <c r="M951" s="63">
        <f>L951/I951</f>
        <v>0.53300000000000003</v>
      </c>
      <c r="N951" s="63">
        <f>K951/L951</f>
        <v>0.18761726078799248</v>
      </c>
      <c r="O951" s="63" t="s">
        <v>396</v>
      </c>
      <c r="P951" s="51" t="s">
        <v>416</v>
      </c>
      <c r="Q951" s="51" t="s">
        <v>534</v>
      </c>
      <c r="R951" s="51" t="s">
        <v>246</v>
      </c>
      <c r="S951" s="51" t="s">
        <v>909</v>
      </c>
      <c r="T951" s="20" t="s">
        <v>317</v>
      </c>
      <c r="U951" s="20" t="s">
        <v>318</v>
      </c>
      <c r="V951" s="20" t="s">
        <v>444</v>
      </c>
    </row>
    <row r="952" spans="1:22">
      <c r="A952" s="20" t="s">
        <v>500</v>
      </c>
      <c r="B952" s="20">
        <f>'Schattenhofer, SI Data'!A108</f>
        <v>18</v>
      </c>
      <c r="C952" s="20">
        <f>'Schattenhofer, SI Data'!E108</f>
        <v>300</v>
      </c>
      <c r="I952" s="51">
        <f>'Schattenhofer, SI Data'!F108</f>
        <v>170000</v>
      </c>
      <c r="J952" s="51">
        <f>'Schattenhofer, SI Data'!H108</f>
        <v>69530</v>
      </c>
      <c r="K952" s="51">
        <f>'Schattenhofer, SI Data'!M108</f>
        <v>21930</v>
      </c>
      <c r="L952" s="51">
        <f>J952+K952</f>
        <v>91460</v>
      </c>
      <c r="M952" s="63">
        <f>L952/I952</f>
        <v>0.53800000000000003</v>
      </c>
      <c r="N952" s="63">
        <f>K952/L952</f>
        <v>0.23977695167286245</v>
      </c>
      <c r="O952" s="63" t="s">
        <v>396</v>
      </c>
      <c r="P952" s="51" t="s">
        <v>416</v>
      </c>
      <c r="Q952" s="51" t="s">
        <v>534</v>
      </c>
      <c r="R952" s="51" t="s">
        <v>246</v>
      </c>
      <c r="S952" s="51" t="s">
        <v>909</v>
      </c>
      <c r="T952" s="20" t="s">
        <v>317</v>
      </c>
      <c r="U952" s="20" t="s">
        <v>318</v>
      </c>
      <c r="V952" s="20" t="s">
        <v>444</v>
      </c>
    </row>
    <row r="953" spans="1:22">
      <c r="A953" s="20" t="s">
        <v>500</v>
      </c>
      <c r="B953" s="20">
        <f>'Schattenhofer, SI Data'!A122</f>
        <v>20</v>
      </c>
      <c r="C953" s="20">
        <f>'Schattenhofer, SI Data'!E122</f>
        <v>300</v>
      </c>
      <c r="I953" s="51">
        <f>'Schattenhofer, SI Data'!F122</f>
        <v>160000</v>
      </c>
      <c r="J953" s="51">
        <f>'Schattenhofer, SI Data'!H122</f>
        <v>69120</v>
      </c>
      <c r="K953" s="51">
        <f>'Schattenhofer, SI Data'!M122</f>
        <v>19200</v>
      </c>
      <c r="L953" s="51">
        <f>J953+K953</f>
        <v>88320</v>
      </c>
      <c r="M953" s="63">
        <f>L953/I953</f>
        <v>0.55200000000000005</v>
      </c>
      <c r="N953" s="63">
        <f>K953/L953</f>
        <v>0.21739130434782608</v>
      </c>
      <c r="O953" s="63" t="s">
        <v>396</v>
      </c>
      <c r="P953" s="51" t="s">
        <v>416</v>
      </c>
      <c r="Q953" s="51" t="s">
        <v>534</v>
      </c>
      <c r="R953" s="51" t="s">
        <v>246</v>
      </c>
      <c r="S953" s="51" t="s">
        <v>909</v>
      </c>
      <c r="T953" s="20" t="s">
        <v>317</v>
      </c>
      <c r="U953" s="20" t="s">
        <v>318</v>
      </c>
      <c r="V953" s="20" t="s">
        <v>444</v>
      </c>
    </row>
    <row r="954" spans="1:22">
      <c r="A954" s="20" t="s">
        <v>500</v>
      </c>
      <c r="B954" s="20">
        <f>'Schattenhofer, SI Data'!A128</f>
        <v>21</v>
      </c>
      <c r="C954" s="20">
        <f>'Schattenhofer, SI Data'!E128</f>
        <v>300</v>
      </c>
      <c r="I954" s="51">
        <f>'Schattenhofer, SI Data'!F128</f>
        <v>140000</v>
      </c>
      <c r="J954" s="51">
        <f>'Schattenhofer, SI Data'!H128</f>
        <v>57260</v>
      </c>
      <c r="K954" s="51">
        <f>'Schattenhofer, SI Data'!M128</f>
        <v>25760</v>
      </c>
      <c r="L954" s="51">
        <f>J954+K954</f>
        <v>83020</v>
      </c>
      <c r="M954" s="63">
        <f>L954/I954</f>
        <v>0.59299999999999997</v>
      </c>
      <c r="N954" s="63">
        <f>K954/L954</f>
        <v>0.3102866779089376</v>
      </c>
      <c r="O954" s="63" t="s">
        <v>396</v>
      </c>
      <c r="P954" s="51" t="s">
        <v>416</v>
      </c>
      <c r="Q954" s="51" t="s">
        <v>534</v>
      </c>
      <c r="R954" s="51" t="s">
        <v>246</v>
      </c>
      <c r="S954" s="51" t="s">
        <v>909</v>
      </c>
      <c r="T954" s="20" t="s">
        <v>317</v>
      </c>
      <c r="U954" s="20" t="s">
        <v>318</v>
      </c>
      <c r="V954" s="20" t="s">
        <v>444</v>
      </c>
    </row>
    <row r="955" spans="1:22">
      <c r="A955" s="20" t="s">
        <v>500</v>
      </c>
      <c r="B955" s="20">
        <f>'Schattenhofer, SI Data'!A134</f>
        <v>22</v>
      </c>
      <c r="C955" s="20">
        <f>'Schattenhofer, SI Data'!E134</f>
        <v>300</v>
      </c>
      <c r="I955" s="51">
        <f>'Schattenhofer, SI Data'!F134</f>
        <v>140000</v>
      </c>
      <c r="J955" s="51">
        <f>'Schattenhofer, SI Data'!H134</f>
        <v>59780</v>
      </c>
      <c r="K955" s="51">
        <f>'Schattenhofer, SI Data'!M134</f>
        <v>29260</v>
      </c>
      <c r="L955" s="51">
        <f>J955+K955</f>
        <v>89040</v>
      </c>
      <c r="M955" s="63">
        <f>L955/I955</f>
        <v>0.63600000000000001</v>
      </c>
      <c r="N955" s="63">
        <f>K955/L955</f>
        <v>0.32861635220125784</v>
      </c>
      <c r="O955" s="63" t="s">
        <v>396</v>
      </c>
      <c r="P955" s="51" t="s">
        <v>416</v>
      </c>
      <c r="Q955" s="51" t="s">
        <v>534</v>
      </c>
      <c r="R955" s="51" t="s">
        <v>246</v>
      </c>
      <c r="S955" s="51" t="s">
        <v>909</v>
      </c>
      <c r="T955" s="20" t="s">
        <v>317</v>
      </c>
      <c r="U955" s="20" t="s">
        <v>318</v>
      </c>
      <c r="V955" s="20" t="s">
        <v>444</v>
      </c>
    </row>
    <row r="956" spans="1:22">
      <c r="A956" s="20" t="s">
        <v>500</v>
      </c>
      <c r="B956" s="20">
        <f>'Schattenhofer, SI Data'!A140</f>
        <v>23</v>
      </c>
      <c r="C956" s="20">
        <f>'Schattenhofer, SI Data'!E140</f>
        <v>300</v>
      </c>
      <c r="I956" s="51">
        <f>'Schattenhofer, SI Data'!F140</f>
        <v>130000</v>
      </c>
      <c r="J956" s="51">
        <f>'Schattenhofer, SI Data'!H140</f>
        <v>60710</v>
      </c>
      <c r="K956" s="51">
        <f>'Schattenhofer, SI Data'!M140</f>
        <v>27950</v>
      </c>
      <c r="L956" s="51">
        <f>J956+K956</f>
        <v>88660</v>
      </c>
      <c r="M956" s="63">
        <f>L956/I956</f>
        <v>0.68200000000000005</v>
      </c>
      <c r="N956" s="63">
        <f>K956/L956</f>
        <v>0.31524926686217009</v>
      </c>
      <c r="O956" s="63" t="s">
        <v>396</v>
      </c>
      <c r="P956" s="51" t="s">
        <v>416</v>
      </c>
      <c r="Q956" s="51" t="s">
        <v>534</v>
      </c>
      <c r="R956" s="51" t="s">
        <v>246</v>
      </c>
      <c r="S956" s="51" t="s">
        <v>909</v>
      </c>
      <c r="T956" s="20" t="s">
        <v>317</v>
      </c>
      <c r="U956" s="20" t="s">
        <v>318</v>
      </c>
      <c r="V956" s="20" t="s">
        <v>444</v>
      </c>
    </row>
    <row r="957" spans="1:22">
      <c r="A957" s="20" t="s">
        <v>500</v>
      </c>
      <c r="B957" s="20">
        <f>'Schattenhofer, SI Data'!A146</f>
        <v>24</v>
      </c>
      <c r="C957" s="20">
        <f>'Schattenhofer, SI Data'!E146</f>
        <v>300</v>
      </c>
      <c r="I957" s="51">
        <f>'Schattenhofer, SI Data'!F146</f>
        <v>130000</v>
      </c>
      <c r="J957" s="51">
        <f>'Schattenhofer, SI Data'!H146</f>
        <v>59670</v>
      </c>
      <c r="K957" s="51">
        <f>'Schattenhofer, SI Data'!M146</f>
        <v>16770</v>
      </c>
      <c r="L957" s="51">
        <f>J957+K957</f>
        <v>76440</v>
      </c>
      <c r="M957" s="63">
        <f>L957/I957</f>
        <v>0.58799999999999997</v>
      </c>
      <c r="N957" s="63">
        <f>K957/L957</f>
        <v>0.21938775510204081</v>
      </c>
      <c r="O957" s="63" t="s">
        <v>396</v>
      </c>
      <c r="P957" s="51" t="s">
        <v>416</v>
      </c>
      <c r="Q957" s="51" t="s">
        <v>534</v>
      </c>
      <c r="R957" s="51" t="s">
        <v>246</v>
      </c>
      <c r="S957" s="51" t="s">
        <v>909</v>
      </c>
      <c r="T957" s="20" t="s">
        <v>317</v>
      </c>
      <c r="U957" s="20" t="s">
        <v>318</v>
      </c>
      <c r="V957" s="20" t="s">
        <v>444</v>
      </c>
    </row>
    <row r="958" spans="1:22">
      <c r="A958" s="20" t="s">
        <v>500</v>
      </c>
      <c r="B958" s="20">
        <f>'Schattenhofer, SI Data'!A152</f>
        <v>25</v>
      </c>
      <c r="C958" s="20">
        <f>'Schattenhofer, SI Data'!E152</f>
        <v>300</v>
      </c>
      <c r="I958" s="51">
        <f>'Schattenhofer, SI Data'!F152</f>
        <v>140000</v>
      </c>
      <c r="J958" s="51">
        <f>'Schattenhofer, SI Data'!H152</f>
        <v>58240</v>
      </c>
      <c r="K958" s="51">
        <f>'Schattenhofer, SI Data'!M152</f>
        <v>15820</v>
      </c>
      <c r="L958" s="51">
        <f>J958+K958</f>
        <v>74060</v>
      </c>
      <c r="M958" s="63">
        <f>L958/I958</f>
        <v>0.52900000000000003</v>
      </c>
      <c r="N958" s="63">
        <f>K958/L958</f>
        <v>0.21361058601134217</v>
      </c>
      <c r="O958" s="63" t="s">
        <v>396</v>
      </c>
      <c r="P958" s="51" t="s">
        <v>416</v>
      </c>
      <c r="Q958" s="51" t="s">
        <v>534</v>
      </c>
      <c r="R958" s="51" t="s">
        <v>246</v>
      </c>
      <c r="S958" s="51" t="s">
        <v>909</v>
      </c>
      <c r="T958" s="20" t="s">
        <v>317</v>
      </c>
      <c r="U958" s="20" t="s">
        <v>318</v>
      </c>
      <c r="V958" s="20" t="s">
        <v>444</v>
      </c>
    </row>
    <row r="959" spans="1:22">
      <c r="A959" s="20" t="s">
        <v>500</v>
      </c>
      <c r="B959" s="20">
        <f>'Schattenhofer, SI Data'!A160</f>
        <v>26</v>
      </c>
      <c r="C959" s="20">
        <f>'Schattenhofer, SI Data'!E160</f>
        <v>300</v>
      </c>
      <c r="I959" s="51">
        <f>'Schattenhofer, SI Data'!F160</f>
        <v>170000</v>
      </c>
      <c r="J959" s="51">
        <f>'Schattenhofer, SI Data'!H160</f>
        <v>76840.000000000015</v>
      </c>
      <c r="K959" s="51">
        <f>'Schattenhofer, SI Data'!M160</f>
        <v>41480</v>
      </c>
      <c r="L959" s="51">
        <f>J959+K959</f>
        <v>118320.00000000001</v>
      </c>
      <c r="M959" s="63">
        <f>L959/I959</f>
        <v>0.69600000000000006</v>
      </c>
      <c r="N959" s="63">
        <f>K959/L959</f>
        <v>0.35057471264367812</v>
      </c>
      <c r="O959" s="63" t="s">
        <v>396</v>
      </c>
      <c r="P959" s="51" t="s">
        <v>416</v>
      </c>
      <c r="Q959" s="51" t="s">
        <v>534</v>
      </c>
      <c r="R959" s="51" t="s">
        <v>246</v>
      </c>
      <c r="S959" s="51" t="s">
        <v>909</v>
      </c>
      <c r="T959" s="20" t="s">
        <v>317</v>
      </c>
      <c r="U959" s="20" t="s">
        <v>318</v>
      </c>
      <c r="V959" s="20" t="s">
        <v>444</v>
      </c>
    </row>
    <row r="960" spans="1:22">
      <c r="A960" s="20" t="s">
        <v>500</v>
      </c>
      <c r="B960" s="20">
        <f>'Schattenhofer, SI Data'!A166</f>
        <v>27</v>
      </c>
      <c r="C960" s="20">
        <f>'Schattenhofer, SI Data'!E166</f>
        <v>300</v>
      </c>
      <c r="I960" s="51">
        <f>'Schattenhofer, SI Data'!F166</f>
        <v>190000</v>
      </c>
      <c r="J960" s="51">
        <f>'Schattenhofer, SI Data'!H166</f>
        <v>96520</v>
      </c>
      <c r="K960" s="51">
        <f>'Schattenhofer, SI Data'!M166</f>
        <v>43510</v>
      </c>
      <c r="L960" s="51">
        <f>J960+K960</f>
        <v>140030</v>
      </c>
      <c r="M960" s="63">
        <f>L960/I960</f>
        <v>0.73699999999999999</v>
      </c>
      <c r="N960" s="63">
        <f>K960/L960</f>
        <v>0.31071913161465398</v>
      </c>
      <c r="O960" s="63" t="s">
        <v>396</v>
      </c>
      <c r="P960" s="51" t="s">
        <v>416</v>
      </c>
      <c r="Q960" s="51" t="s">
        <v>534</v>
      </c>
      <c r="R960" s="51" t="s">
        <v>246</v>
      </c>
      <c r="S960" s="51" t="s">
        <v>909</v>
      </c>
      <c r="T960" s="20" t="s">
        <v>317</v>
      </c>
      <c r="U960" s="20" t="s">
        <v>318</v>
      </c>
      <c r="V960" s="20" t="s">
        <v>444</v>
      </c>
    </row>
    <row r="961" spans="1:22">
      <c r="A961" s="20" t="s">
        <v>500</v>
      </c>
      <c r="B961" s="20">
        <f>'Schattenhofer, SI Data'!A172</f>
        <v>28</v>
      </c>
      <c r="C961" s="20">
        <f>'Schattenhofer, SI Data'!E172</f>
        <v>300</v>
      </c>
      <c r="I961" s="51">
        <f>'Schattenhofer, SI Data'!F172</f>
        <v>280000</v>
      </c>
      <c r="J961" s="51">
        <f>'Schattenhofer, SI Data'!H172</f>
        <v>127680</v>
      </c>
      <c r="K961" s="51">
        <f>'Schattenhofer, SI Data'!M172</f>
        <v>63000</v>
      </c>
      <c r="L961" s="51">
        <f>J961+K961</f>
        <v>190680</v>
      </c>
      <c r="M961" s="63">
        <f>L961/I961</f>
        <v>0.68100000000000005</v>
      </c>
      <c r="N961" s="63">
        <f>K961/L961</f>
        <v>0.33039647577092512</v>
      </c>
      <c r="O961" s="63" t="s">
        <v>396</v>
      </c>
      <c r="P961" s="51" t="s">
        <v>416</v>
      </c>
      <c r="Q961" s="51" t="s">
        <v>534</v>
      </c>
      <c r="R961" s="51" t="s">
        <v>246</v>
      </c>
      <c r="S961" s="51" t="s">
        <v>909</v>
      </c>
      <c r="T961" s="20" t="s">
        <v>317</v>
      </c>
      <c r="U961" s="20" t="s">
        <v>318</v>
      </c>
      <c r="V961" s="20" t="s">
        <v>444</v>
      </c>
    </row>
    <row r="962" spans="1:22">
      <c r="A962" s="20" t="s">
        <v>500</v>
      </c>
      <c r="B962" s="20">
        <f>'Schattenhofer, SI Data'!A178</f>
        <v>29</v>
      </c>
      <c r="C962" s="20">
        <f>'Schattenhofer, SI Data'!E178</f>
        <v>300</v>
      </c>
      <c r="I962" s="51">
        <f>'Schattenhofer, SI Data'!F178</f>
        <v>180000</v>
      </c>
      <c r="J962" s="51">
        <f>'Schattenhofer, SI Data'!H178</f>
        <v>91260</v>
      </c>
      <c r="K962" s="51">
        <f>'Schattenhofer, SI Data'!M178</f>
        <v>40680</v>
      </c>
      <c r="L962" s="51">
        <f>J962+K962</f>
        <v>131940</v>
      </c>
      <c r="M962" s="63">
        <f>L962/I962</f>
        <v>0.73299999999999998</v>
      </c>
      <c r="N962" s="63">
        <f>K962/L962</f>
        <v>0.30832196452933153</v>
      </c>
      <c r="O962" s="63" t="s">
        <v>396</v>
      </c>
      <c r="P962" s="51" t="s">
        <v>416</v>
      </c>
      <c r="Q962" s="51" t="s">
        <v>534</v>
      </c>
      <c r="R962" s="51" t="s">
        <v>246</v>
      </c>
      <c r="S962" s="51" t="s">
        <v>909</v>
      </c>
      <c r="T962" s="20" t="s">
        <v>317</v>
      </c>
      <c r="U962" s="20" t="s">
        <v>318</v>
      </c>
      <c r="V962" s="20" t="s">
        <v>444</v>
      </c>
    </row>
    <row r="963" spans="1:22">
      <c r="A963" s="20" t="s">
        <v>500</v>
      </c>
      <c r="B963" s="20">
        <f>'Schattenhofer, SI Data'!A186</f>
        <v>30</v>
      </c>
      <c r="C963" s="20">
        <f>'Schattenhofer, SI Data'!E186</f>
        <v>300</v>
      </c>
      <c r="I963" s="51">
        <f>'Schattenhofer, SI Data'!F186</f>
        <v>240000</v>
      </c>
      <c r="J963" s="51">
        <f>'Schattenhofer, SI Data'!H186</f>
        <v>110880</v>
      </c>
      <c r="K963" s="51">
        <f>'Schattenhofer, SI Data'!M186</f>
        <v>57120</v>
      </c>
      <c r="L963" s="51">
        <f>J963+K963</f>
        <v>168000</v>
      </c>
      <c r="M963" s="63">
        <f>L963/I963</f>
        <v>0.7</v>
      </c>
      <c r="N963" s="63">
        <f>K963/L963</f>
        <v>0.34</v>
      </c>
      <c r="O963" s="63" t="s">
        <v>396</v>
      </c>
      <c r="P963" s="51" t="s">
        <v>416</v>
      </c>
      <c r="Q963" s="51" t="s">
        <v>534</v>
      </c>
      <c r="R963" s="51" t="s">
        <v>246</v>
      </c>
      <c r="S963" s="51" t="s">
        <v>909</v>
      </c>
      <c r="T963" s="20" t="s">
        <v>317</v>
      </c>
      <c r="U963" s="20" t="s">
        <v>318</v>
      </c>
      <c r="V963" s="20" t="s">
        <v>444</v>
      </c>
    </row>
    <row r="964" spans="1:22">
      <c r="A964" s="20" t="s">
        <v>500</v>
      </c>
      <c r="B964" s="20">
        <f>'Schattenhofer, SI Data'!A192</f>
        <v>31</v>
      </c>
      <c r="C964" s="20">
        <f>'Schattenhofer, SI Data'!E192</f>
        <v>300</v>
      </c>
      <c r="I964" s="51">
        <f>'Schattenhofer, SI Data'!F192</f>
        <v>180000</v>
      </c>
      <c r="J964" s="51">
        <f>'Schattenhofer, SI Data'!H192</f>
        <v>88020</v>
      </c>
      <c r="K964" s="51">
        <f>'Schattenhofer, SI Data'!M192</f>
        <v>34920</v>
      </c>
      <c r="L964" s="51">
        <f>J964+K964</f>
        <v>122940</v>
      </c>
      <c r="M964" s="63">
        <f>L964/I964</f>
        <v>0.68300000000000005</v>
      </c>
      <c r="N964" s="63">
        <f>K964/L964</f>
        <v>0.28404099560761348</v>
      </c>
      <c r="O964" s="63" t="s">
        <v>396</v>
      </c>
      <c r="P964" s="51" t="s">
        <v>416</v>
      </c>
      <c r="Q964" s="51" t="s">
        <v>534</v>
      </c>
      <c r="R964" s="51" t="s">
        <v>246</v>
      </c>
      <c r="S964" s="51" t="s">
        <v>909</v>
      </c>
      <c r="T964" s="20" t="s">
        <v>317</v>
      </c>
      <c r="U964" s="20" t="s">
        <v>318</v>
      </c>
      <c r="V964" s="20" t="s">
        <v>444</v>
      </c>
    </row>
    <row r="965" spans="1:22">
      <c r="A965" s="20" t="s">
        <v>500</v>
      </c>
      <c r="B965" s="20">
        <f>'Schattenhofer, SI Data'!A198</f>
        <v>32</v>
      </c>
      <c r="C965" s="20">
        <f>'Schattenhofer, SI Data'!E198</f>
        <v>300</v>
      </c>
      <c r="I965" s="51">
        <f>'Schattenhofer, SI Data'!F198</f>
        <v>200000</v>
      </c>
      <c r="J965" s="51">
        <f>'Schattenhofer, SI Data'!H198</f>
        <v>99000</v>
      </c>
      <c r="K965" s="51">
        <f>'Schattenhofer, SI Data'!M198</f>
        <v>39600</v>
      </c>
      <c r="L965" s="51">
        <f>J965+K965</f>
        <v>138600</v>
      </c>
      <c r="M965" s="63">
        <f>L965/I965</f>
        <v>0.69299999999999995</v>
      </c>
      <c r="N965" s="63">
        <f>K965/L965</f>
        <v>0.2857142857142857</v>
      </c>
      <c r="O965" s="63" t="s">
        <v>396</v>
      </c>
      <c r="P965" s="51" t="s">
        <v>416</v>
      </c>
      <c r="Q965" s="51" t="s">
        <v>534</v>
      </c>
      <c r="R965" s="51" t="s">
        <v>246</v>
      </c>
      <c r="S965" s="51" t="s">
        <v>909</v>
      </c>
      <c r="T965" s="20" t="s">
        <v>317</v>
      </c>
      <c r="U965" s="20" t="s">
        <v>318</v>
      </c>
      <c r="V965" s="20" t="s">
        <v>444</v>
      </c>
    </row>
    <row r="966" spans="1:22">
      <c r="A966" s="20" t="s">
        <v>500</v>
      </c>
      <c r="B966" s="20">
        <f>'Schattenhofer, SI Data'!A206</f>
        <v>33</v>
      </c>
      <c r="C966" s="20">
        <f>'Schattenhofer, SI Data'!E206</f>
        <v>300</v>
      </c>
      <c r="I966" s="51">
        <f>'Schattenhofer, SI Data'!F206</f>
        <v>210000</v>
      </c>
      <c r="J966" s="51">
        <f>'Schattenhofer, SI Data'!H206</f>
        <v>98280</v>
      </c>
      <c r="K966" s="51">
        <f>'Schattenhofer, SI Data'!M206</f>
        <v>52920</v>
      </c>
      <c r="L966" s="51">
        <f>J966+K966</f>
        <v>151200</v>
      </c>
      <c r="M966" s="63">
        <f>L966/I966</f>
        <v>0.72</v>
      </c>
      <c r="N966" s="63">
        <f>K966/L966</f>
        <v>0.35</v>
      </c>
      <c r="O966" s="63" t="s">
        <v>396</v>
      </c>
      <c r="P966" s="51" t="s">
        <v>416</v>
      </c>
      <c r="Q966" s="51" t="s">
        <v>534</v>
      </c>
      <c r="R966" s="51" t="s">
        <v>246</v>
      </c>
      <c r="S966" s="51" t="s">
        <v>909</v>
      </c>
      <c r="T966" s="20" t="s">
        <v>317</v>
      </c>
      <c r="U966" s="20" t="s">
        <v>318</v>
      </c>
      <c r="V966" s="20" t="s">
        <v>444</v>
      </c>
    </row>
    <row r="967" spans="1:22">
      <c r="A967" s="20" t="s">
        <v>500</v>
      </c>
      <c r="B967" s="20">
        <f>'Schattenhofer, SI Data'!A212</f>
        <v>34</v>
      </c>
      <c r="C967" s="20">
        <f>'Schattenhofer, SI Data'!E212</f>
        <v>300</v>
      </c>
      <c r="I967" s="51">
        <f>'Schattenhofer, SI Data'!F212</f>
        <v>220000</v>
      </c>
      <c r="J967" s="51">
        <f>'Schattenhofer, SI Data'!H212</f>
        <v>115720</v>
      </c>
      <c r="K967" s="51">
        <f>'Schattenhofer, SI Data'!M212</f>
        <v>59400</v>
      </c>
      <c r="L967" s="51">
        <f>J967+K967</f>
        <v>175120</v>
      </c>
      <c r="M967" s="63">
        <f>L967/I967</f>
        <v>0.79600000000000004</v>
      </c>
      <c r="N967" s="63">
        <f>K967/L967</f>
        <v>0.33919597989949751</v>
      </c>
      <c r="O967" s="63" t="s">
        <v>396</v>
      </c>
      <c r="P967" s="51" t="s">
        <v>416</v>
      </c>
      <c r="Q967" s="51" t="s">
        <v>534</v>
      </c>
      <c r="R967" s="51" t="s">
        <v>246</v>
      </c>
      <c r="S967" s="51" t="s">
        <v>909</v>
      </c>
      <c r="T967" s="20" t="s">
        <v>317</v>
      </c>
      <c r="U967" s="20" t="s">
        <v>318</v>
      </c>
      <c r="V967" s="20" t="s">
        <v>444</v>
      </c>
    </row>
    <row r="968" spans="1:22">
      <c r="A968" s="20" t="s">
        <v>500</v>
      </c>
      <c r="B968" s="20">
        <f>'Schattenhofer, SI Data'!A225</f>
        <v>37</v>
      </c>
      <c r="C968" s="20">
        <f>'Schattenhofer, SI Data'!E225</f>
        <v>300</v>
      </c>
      <c r="I968" s="51">
        <f>'Schattenhofer, SI Data'!F225</f>
        <v>220000</v>
      </c>
      <c r="J968" s="51">
        <f>'Schattenhofer, SI Data'!H225</f>
        <v>113300</v>
      </c>
      <c r="K968" s="51">
        <f>'Schattenhofer, SI Data'!M225</f>
        <v>55220</v>
      </c>
      <c r="L968" s="51">
        <f>J968+K968</f>
        <v>168520</v>
      </c>
      <c r="M968" s="63">
        <f>L968/I968</f>
        <v>0.76600000000000001</v>
      </c>
      <c r="N968" s="63">
        <f>K968/L968</f>
        <v>0.32767624020887731</v>
      </c>
      <c r="O968" s="63" t="s">
        <v>396</v>
      </c>
      <c r="P968" s="51" t="s">
        <v>416</v>
      </c>
      <c r="Q968" s="51" t="s">
        <v>534</v>
      </c>
      <c r="R968" s="51" t="s">
        <v>246</v>
      </c>
      <c r="S968" s="51" t="s">
        <v>909</v>
      </c>
      <c r="T968" s="20" t="s">
        <v>317</v>
      </c>
      <c r="U968" s="20" t="s">
        <v>318</v>
      </c>
      <c r="V968" s="20" t="s">
        <v>444</v>
      </c>
    </row>
    <row r="969" spans="1:22">
      <c r="A969" s="20" t="s">
        <v>500</v>
      </c>
      <c r="B969" s="20">
        <f>'Schattenhofer, SI Data'!A231</f>
        <v>38</v>
      </c>
      <c r="C969" s="20">
        <f>'Schattenhofer, SI Data'!E231</f>
        <v>300</v>
      </c>
      <c r="I969" s="51">
        <f>'Schattenhofer, SI Data'!F231</f>
        <v>170000</v>
      </c>
      <c r="J969" s="51">
        <f>'Schattenhofer, SI Data'!H231</f>
        <v>77350</v>
      </c>
      <c r="K969" s="51">
        <f>'Schattenhofer, SI Data'!M231</f>
        <v>36380</v>
      </c>
      <c r="L969" s="51">
        <f>J969+K969</f>
        <v>113730</v>
      </c>
      <c r="M969" s="63">
        <f>L969/I969</f>
        <v>0.66900000000000004</v>
      </c>
      <c r="N969" s="63">
        <f>K969/L969</f>
        <v>0.31988041853512705</v>
      </c>
      <c r="O969" s="63" t="s">
        <v>396</v>
      </c>
      <c r="P969" s="51" t="s">
        <v>416</v>
      </c>
      <c r="Q969" s="51" t="s">
        <v>534</v>
      </c>
      <c r="R969" s="51" t="s">
        <v>246</v>
      </c>
      <c r="S969" s="51" t="s">
        <v>909</v>
      </c>
      <c r="T969" s="20" t="s">
        <v>317</v>
      </c>
      <c r="U969" s="20" t="s">
        <v>318</v>
      </c>
      <c r="V969" s="20" t="s">
        <v>444</v>
      </c>
    </row>
    <row r="970" spans="1:22">
      <c r="A970" s="20" t="s">
        <v>500</v>
      </c>
      <c r="B970" s="20">
        <f>'Schattenhofer, SI Data'!A237</f>
        <v>39</v>
      </c>
      <c r="C970" s="20">
        <f>'Schattenhofer, SI Data'!E237</f>
        <v>300</v>
      </c>
      <c r="I970" s="51">
        <f>'Schattenhofer, SI Data'!F237</f>
        <v>150000</v>
      </c>
      <c r="J970" s="51">
        <f>'Schattenhofer, SI Data'!H237</f>
        <v>69600</v>
      </c>
      <c r="K970" s="51">
        <f>'Schattenhofer, SI Data'!M237</f>
        <v>13950</v>
      </c>
      <c r="L970" s="51">
        <f>J970+K970</f>
        <v>83550</v>
      </c>
      <c r="M970" s="63">
        <f>L970/I970</f>
        <v>0.55700000000000005</v>
      </c>
      <c r="N970" s="63">
        <f>K970/L970</f>
        <v>0.16696588868940754</v>
      </c>
      <c r="O970" s="63" t="s">
        <v>396</v>
      </c>
      <c r="P970" s="51" t="s">
        <v>416</v>
      </c>
      <c r="Q970" s="51" t="s">
        <v>534</v>
      </c>
      <c r="R970" s="51" t="s">
        <v>246</v>
      </c>
      <c r="S970" s="51" t="s">
        <v>909</v>
      </c>
      <c r="T970" s="20" t="s">
        <v>317</v>
      </c>
      <c r="U970" s="20" t="s">
        <v>318</v>
      </c>
      <c r="V970" s="20" t="s">
        <v>444</v>
      </c>
    </row>
    <row r="971" spans="1:22">
      <c r="A971" s="20" t="s">
        <v>500</v>
      </c>
      <c r="B971" s="20">
        <f>'Schattenhofer, SI Data'!A243</f>
        <v>40</v>
      </c>
      <c r="C971" s="20">
        <f>'Schattenhofer, SI Data'!E243</f>
        <v>300</v>
      </c>
      <c r="I971" s="51">
        <f>'Schattenhofer, SI Data'!F243</f>
        <v>170000</v>
      </c>
      <c r="J971" s="51">
        <f>'Schattenhofer, SI Data'!H243</f>
        <v>75480</v>
      </c>
      <c r="K971" s="51">
        <f>'Schattenhofer, SI Data'!M243</f>
        <v>21590</v>
      </c>
      <c r="L971" s="51">
        <f>J971+K971</f>
        <v>97070</v>
      </c>
      <c r="M971" s="63">
        <f>L971/I971</f>
        <v>0.57099999999999995</v>
      </c>
      <c r="N971" s="63">
        <f>K971/L971</f>
        <v>0.22241681260945709</v>
      </c>
      <c r="O971" s="63" t="s">
        <v>396</v>
      </c>
      <c r="P971" s="51" t="s">
        <v>416</v>
      </c>
      <c r="Q971" s="51" t="s">
        <v>534</v>
      </c>
      <c r="R971" s="51" t="s">
        <v>246</v>
      </c>
      <c r="S971" s="51" t="s">
        <v>909</v>
      </c>
      <c r="T971" s="20" t="s">
        <v>317</v>
      </c>
      <c r="U971" s="20" t="s">
        <v>318</v>
      </c>
      <c r="V971" s="20" t="s">
        <v>444</v>
      </c>
    </row>
    <row r="972" spans="1:22">
      <c r="A972" s="20" t="s">
        <v>500</v>
      </c>
      <c r="B972" s="20">
        <f>'Schattenhofer, SI Data'!A251</f>
        <v>41</v>
      </c>
      <c r="C972" s="20">
        <f>'Schattenhofer, SI Data'!E251</f>
        <v>300</v>
      </c>
      <c r="I972" s="51">
        <f>'Schattenhofer, SI Data'!F251</f>
        <v>140000</v>
      </c>
      <c r="J972" s="51">
        <f>'Schattenhofer, SI Data'!H251</f>
        <v>69440</v>
      </c>
      <c r="K972" s="51">
        <f>'Schattenhofer, SI Data'!M251</f>
        <v>24640</v>
      </c>
      <c r="L972" s="51">
        <f>J972+K972</f>
        <v>94080</v>
      </c>
      <c r="M972" s="63">
        <f>L972/I972</f>
        <v>0.67200000000000004</v>
      </c>
      <c r="N972" s="63">
        <f>K972/L972</f>
        <v>0.26190476190476192</v>
      </c>
      <c r="O972" s="63" t="s">
        <v>396</v>
      </c>
      <c r="P972" s="51" t="s">
        <v>416</v>
      </c>
      <c r="Q972" s="51" t="s">
        <v>534</v>
      </c>
      <c r="R972" s="51" t="s">
        <v>246</v>
      </c>
      <c r="S972" s="51" t="s">
        <v>909</v>
      </c>
      <c r="T972" s="20" t="s">
        <v>317</v>
      </c>
      <c r="U972" s="20" t="s">
        <v>318</v>
      </c>
      <c r="V972" s="20" t="s">
        <v>444</v>
      </c>
    </row>
    <row r="973" spans="1:22">
      <c r="A973" s="20" t="s">
        <v>500</v>
      </c>
      <c r="B973" s="20">
        <f>'Schattenhofer, SI Data'!A257</f>
        <v>42</v>
      </c>
      <c r="C973" s="20">
        <f>'Schattenhofer, SI Data'!E257</f>
        <v>300</v>
      </c>
      <c r="I973" s="51">
        <f>'Schattenhofer, SI Data'!F257</f>
        <v>150000</v>
      </c>
      <c r="J973" s="51">
        <f>'Schattenhofer, SI Data'!H257</f>
        <v>78000</v>
      </c>
      <c r="K973" s="51">
        <f>'Schattenhofer, SI Data'!M257</f>
        <v>15450</v>
      </c>
      <c r="L973" s="51">
        <f>J973+K973</f>
        <v>93450</v>
      </c>
      <c r="M973" s="63">
        <f>L973/I973</f>
        <v>0.623</v>
      </c>
      <c r="N973" s="63">
        <f>K973/L973</f>
        <v>0.1653290529695024</v>
      </c>
      <c r="O973" s="63" t="s">
        <v>396</v>
      </c>
      <c r="P973" s="51" t="s">
        <v>416</v>
      </c>
      <c r="Q973" s="51" t="s">
        <v>534</v>
      </c>
      <c r="R973" s="51" t="s">
        <v>246</v>
      </c>
      <c r="S973" s="51" t="s">
        <v>909</v>
      </c>
      <c r="T973" s="20" t="s">
        <v>317</v>
      </c>
      <c r="U973" s="20" t="s">
        <v>318</v>
      </c>
      <c r="V973" s="20" t="s">
        <v>444</v>
      </c>
    </row>
    <row r="974" spans="1:22">
      <c r="A974" s="20" t="s">
        <v>500</v>
      </c>
      <c r="B974" s="20">
        <f>'Schattenhofer, SI Data'!A263</f>
        <v>43</v>
      </c>
      <c r="C974" s="20">
        <f>'Schattenhofer, SI Data'!E263</f>
        <v>300</v>
      </c>
      <c r="I974" s="51">
        <f>'Schattenhofer, SI Data'!F263</f>
        <v>140000</v>
      </c>
      <c r="J974" s="51">
        <f>'Schattenhofer, SI Data'!H263</f>
        <v>66640</v>
      </c>
      <c r="K974" s="51">
        <f>'Schattenhofer, SI Data'!M263</f>
        <v>17360</v>
      </c>
      <c r="L974" s="51">
        <f>J974+K974</f>
        <v>84000</v>
      </c>
      <c r="M974" s="63">
        <f>L974/I974</f>
        <v>0.6</v>
      </c>
      <c r="N974" s="63">
        <f>K974/L974</f>
        <v>0.20666666666666667</v>
      </c>
      <c r="O974" s="63" t="s">
        <v>396</v>
      </c>
      <c r="P974" s="51" t="s">
        <v>416</v>
      </c>
      <c r="Q974" s="51" t="s">
        <v>534</v>
      </c>
      <c r="R974" s="51" t="s">
        <v>246</v>
      </c>
      <c r="S974" s="51" t="s">
        <v>909</v>
      </c>
      <c r="T974" s="20" t="s">
        <v>317</v>
      </c>
      <c r="U974" s="20" t="s">
        <v>318</v>
      </c>
      <c r="V974" s="20" t="s">
        <v>444</v>
      </c>
    </row>
    <row r="975" spans="1:22">
      <c r="A975" s="20" t="s">
        <v>500</v>
      </c>
      <c r="B975" s="20">
        <f>'Schattenhofer, SI Data'!A276</f>
        <v>45</v>
      </c>
      <c r="C975" s="20">
        <f>'Schattenhofer, SI Data'!E276</f>
        <v>300</v>
      </c>
      <c r="I975" s="51">
        <f>'Schattenhofer, SI Data'!F276</f>
        <v>150000</v>
      </c>
      <c r="J975" s="51">
        <f>'Schattenhofer, SI Data'!H276</f>
        <v>67500</v>
      </c>
      <c r="K975" s="51">
        <f>'Schattenhofer, SI Data'!M276</f>
        <v>22350</v>
      </c>
      <c r="L975" s="51">
        <f>J975+K975</f>
        <v>89850</v>
      </c>
      <c r="M975" s="63">
        <f>L975/I975</f>
        <v>0.59899999999999998</v>
      </c>
      <c r="N975" s="63">
        <f>K975/L975</f>
        <v>0.24874791318864775</v>
      </c>
      <c r="O975" s="63" t="s">
        <v>396</v>
      </c>
      <c r="P975" s="51" t="s">
        <v>416</v>
      </c>
      <c r="Q975" s="51" t="s">
        <v>534</v>
      </c>
      <c r="R975" s="51" t="s">
        <v>246</v>
      </c>
      <c r="S975" s="51" t="s">
        <v>909</v>
      </c>
      <c r="T975" s="20" t="s">
        <v>317</v>
      </c>
      <c r="U975" s="20" t="s">
        <v>318</v>
      </c>
      <c r="V975" s="20" t="s">
        <v>444</v>
      </c>
    </row>
    <row r="976" spans="1:22">
      <c r="A976" s="20" t="s">
        <v>500</v>
      </c>
      <c r="B976" s="20">
        <f>'Schattenhofer, SI Data'!A290</f>
        <v>47</v>
      </c>
      <c r="C976" s="20">
        <f>'Schattenhofer, SI Data'!E290</f>
        <v>300</v>
      </c>
      <c r="I976" s="51">
        <f>'Schattenhofer, SI Data'!F290</f>
        <v>140000</v>
      </c>
      <c r="J976" s="51">
        <f>'Schattenhofer, SI Data'!H290</f>
        <v>65940</v>
      </c>
      <c r="K976" s="51">
        <f>'Schattenhofer, SI Data'!M290</f>
        <v>23520</v>
      </c>
      <c r="L976" s="51">
        <f>J976+K976</f>
        <v>89460</v>
      </c>
      <c r="M976" s="63">
        <f>L976/I976</f>
        <v>0.63900000000000001</v>
      </c>
      <c r="N976" s="63">
        <f>K976/L976</f>
        <v>0.26291079812206575</v>
      </c>
      <c r="O976" s="63" t="s">
        <v>396</v>
      </c>
      <c r="P976" s="51" t="s">
        <v>416</v>
      </c>
      <c r="Q976" s="51" t="s">
        <v>534</v>
      </c>
      <c r="R976" s="51" t="s">
        <v>246</v>
      </c>
      <c r="S976" s="51" t="s">
        <v>909</v>
      </c>
      <c r="T976" s="20" t="s">
        <v>317</v>
      </c>
      <c r="U976" s="20" t="s">
        <v>318</v>
      </c>
      <c r="V976" s="20" t="s">
        <v>444</v>
      </c>
    </row>
    <row r="977" spans="1:22">
      <c r="A977" s="20" t="s">
        <v>500</v>
      </c>
      <c r="B977" s="20">
        <f>'Schattenhofer, SI Data'!A301</f>
        <v>49</v>
      </c>
      <c r="C977" s="20">
        <f>'Schattenhofer, SI Data'!E301</f>
        <v>300</v>
      </c>
      <c r="I977" s="51">
        <f>'Schattenhofer, SI Data'!F301</f>
        <v>280000</v>
      </c>
      <c r="J977" s="51">
        <f>'Schattenhofer, SI Data'!H301</f>
        <v>117600</v>
      </c>
      <c r="K977" s="51">
        <f>'Schattenhofer, SI Data'!M301</f>
        <v>37800</v>
      </c>
      <c r="L977" s="51">
        <f>J977+K977</f>
        <v>155400</v>
      </c>
      <c r="M977" s="63">
        <f>L977/I977</f>
        <v>0.55500000000000005</v>
      </c>
      <c r="N977" s="63">
        <f>K977/L977</f>
        <v>0.24324324324324326</v>
      </c>
      <c r="O977" s="63" t="s">
        <v>396</v>
      </c>
      <c r="P977" s="51" t="s">
        <v>416</v>
      </c>
      <c r="Q977" s="51" t="s">
        <v>534</v>
      </c>
      <c r="R977" s="51" t="s">
        <v>246</v>
      </c>
      <c r="S977" s="51" t="s">
        <v>909</v>
      </c>
      <c r="T977" s="20" t="s">
        <v>317</v>
      </c>
      <c r="U977" s="20" t="s">
        <v>318</v>
      </c>
      <c r="V977" s="20" t="s">
        <v>444</v>
      </c>
    </row>
    <row r="978" spans="1:22">
      <c r="A978" s="20" t="s">
        <v>500</v>
      </c>
      <c r="B978" s="20">
        <f>'Schattenhofer, SI Data'!A307</f>
        <v>50</v>
      </c>
      <c r="C978" s="20">
        <f>'Schattenhofer, SI Data'!E307</f>
        <v>300</v>
      </c>
      <c r="I978" s="51">
        <f>'Schattenhofer, SI Data'!F307</f>
        <v>240000</v>
      </c>
      <c r="J978" s="51">
        <f>'Schattenhofer, SI Data'!H307</f>
        <v>95040</v>
      </c>
      <c r="K978" s="51">
        <f>'Schattenhofer, SI Data'!M307</f>
        <v>33360</v>
      </c>
      <c r="L978" s="51">
        <f>J978+K978</f>
        <v>128400</v>
      </c>
      <c r="M978" s="63">
        <f>L978/I978</f>
        <v>0.53500000000000003</v>
      </c>
      <c r="N978" s="63">
        <f>K978/L978</f>
        <v>0.25981308411214954</v>
      </c>
      <c r="O978" s="63" t="s">
        <v>396</v>
      </c>
      <c r="P978" s="51" t="s">
        <v>416</v>
      </c>
      <c r="Q978" s="51" t="s">
        <v>534</v>
      </c>
      <c r="R978" s="51" t="s">
        <v>246</v>
      </c>
      <c r="S978" s="51" t="s">
        <v>909</v>
      </c>
      <c r="T978" s="20" t="s">
        <v>317</v>
      </c>
      <c r="U978" s="20" t="s">
        <v>318</v>
      </c>
      <c r="V978" s="20" t="s">
        <v>444</v>
      </c>
    </row>
    <row r="979" spans="1:22">
      <c r="A979" s="20" t="s">
        <v>500</v>
      </c>
      <c r="B979" s="20">
        <f>'Schattenhofer, SI Data'!A313</f>
        <v>51</v>
      </c>
      <c r="C979" s="20">
        <f>'Schattenhofer, SI Data'!E313</f>
        <v>300</v>
      </c>
      <c r="I979" s="51">
        <f>'Schattenhofer, SI Data'!F313</f>
        <v>380000</v>
      </c>
      <c r="J979" s="51">
        <f>'Schattenhofer, SI Data'!H313</f>
        <v>184680</v>
      </c>
      <c r="K979" s="51">
        <f>'Schattenhofer, SI Data'!M313</f>
        <v>54340</v>
      </c>
      <c r="L979" s="51">
        <f>J979+K979</f>
        <v>239020</v>
      </c>
      <c r="M979" s="63">
        <f>L979/I979</f>
        <v>0.629</v>
      </c>
      <c r="N979" s="63">
        <f>K979/L979</f>
        <v>0.22734499205087441</v>
      </c>
      <c r="O979" s="63" t="s">
        <v>396</v>
      </c>
      <c r="P979" s="51" t="s">
        <v>416</v>
      </c>
      <c r="Q979" s="51" t="s">
        <v>534</v>
      </c>
      <c r="R979" s="51" t="s">
        <v>246</v>
      </c>
      <c r="S979" s="51" t="s">
        <v>909</v>
      </c>
      <c r="T979" s="20" t="s">
        <v>317</v>
      </c>
      <c r="U979" s="20" t="s">
        <v>318</v>
      </c>
      <c r="V979" s="20" t="s">
        <v>444</v>
      </c>
    </row>
    <row r="980" spans="1:22">
      <c r="A980" s="20" t="s">
        <v>500</v>
      </c>
      <c r="B980" s="20">
        <f>'Schattenhofer, SI Data'!A327</f>
        <v>53</v>
      </c>
      <c r="C980" s="20">
        <f>'Schattenhofer, SI Data'!E327</f>
        <v>300</v>
      </c>
      <c r="I980" s="51">
        <f>'Schattenhofer, SI Data'!F327</f>
        <v>240000</v>
      </c>
      <c r="J980" s="51">
        <f>'Schattenhofer, SI Data'!H327</f>
        <v>110880</v>
      </c>
      <c r="K980" s="51">
        <f>'Schattenhofer, SI Data'!M327</f>
        <v>36000</v>
      </c>
      <c r="L980" s="51">
        <f>J980+K980</f>
        <v>146880</v>
      </c>
      <c r="M980" s="63">
        <f>L980/I980</f>
        <v>0.61199999999999999</v>
      </c>
      <c r="N980" s="63">
        <f>K980/L980</f>
        <v>0.24509803921568626</v>
      </c>
      <c r="O980" s="63" t="s">
        <v>396</v>
      </c>
      <c r="P980" s="51" t="s">
        <v>416</v>
      </c>
      <c r="Q980" s="51" t="s">
        <v>534</v>
      </c>
      <c r="R980" s="51" t="s">
        <v>246</v>
      </c>
      <c r="S980" s="51" t="s">
        <v>909</v>
      </c>
      <c r="T980" s="20" t="s">
        <v>317</v>
      </c>
      <c r="U980" s="20" t="s">
        <v>318</v>
      </c>
      <c r="V980" s="20" t="s">
        <v>444</v>
      </c>
    </row>
    <row r="981" spans="1:22">
      <c r="A981" s="20" t="s">
        <v>500</v>
      </c>
      <c r="B981" s="20">
        <f>'Schattenhofer, SI Data'!A333</f>
        <v>54</v>
      </c>
      <c r="C981" s="20">
        <f>'Schattenhofer, SI Data'!E333</f>
        <v>300</v>
      </c>
      <c r="I981" s="51">
        <f>'Schattenhofer, SI Data'!F333</f>
        <v>270000</v>
      </c>
      <c r="J981" s="51">
        <f>'Schattenhofer, SI Data'!H333</f>
        <v>125010</v>
      </c>
      <c r="K981" s="51">
        <f>'Schattenhofer, SI Data'!M333</f>
        <v>29970</v>
      </c>
      <c r="L981" s="51">
        <f>J981+K981</f>
        <v>154980</v>
      </c>
      <c r="M981" s="63">
        <f>L981/I981</f>
        <v>0.57399999999999995</v>
      </c>
      <c r="N981" s="63">
        <f>K981/L981</f>
        <v>0.19337979094076654</v>
      </c>
      <c r="O981" s="63" t="s">
        <v>396</v>
      </c>
      <c r="P981" s="51" t="s">
        <v>416</v>
      </c>
      <c r="Q981" s="51" t="s">
        <v>534</v>
      </c>
      <c r="R981" s="51" t="s">
        <v>246</v>
      </c>
      <c r="S981" s="51" t="s">
        <v>909</v>
      </c>
      <c r="T981" s="20" t="s">
        <v>317</v>
      </c>
      <c r="U981" s="20" t="s">
        <v>318</v>
      </c>
      <c r="V981" s="20" t="s">
        <v>444</v>
      </c>
    </row>
    <row r="982" spans="1:22">
      <c r="A982" s="20" t="s">
        <v>500</v>
      </c>
      <c r="B982" s="20">
        <f>'Schattenhofer, SI Data'!A339</f>
        <v>55</v>
      </c>
      <c r="C982" s="20">
        <f>'Schattenhofer, SI Data'!E339</f>
        <v>300</v>
      </c>
      <c r="I982" s="51">
        <f>'Schattenhofer, SI Data'!F339</f>
        <v>200000</v>
      </c>
      <c r="J982" s="51">
        <f>'Schattenhofer, SI Data'!H339</f>
        <v>99800</v>
      </c>
      <c r="K982" s="51">
        <f>'Schattenhofer, SI Data'!M339</f>
        <v>28400</v>
      </c>
      <c r="L982" s="51">
        <f>J982+K982</f>
        <v>128200</v>
      </c>
      <c r="M982" s="63">
        <f>L982/I982</f>
        <v>0.64100000000000001</v>
      </c>
      <c r="N982" s="63">
        <f>K982/L982</f>
        <v>0.22152886115444617</v>
      </c>
      <c r="O982" s="63" t="s">
        <v>396</v>
      </c>
      <c r="P982" s="51" t="s">
        <v>416</v>
      </c>
      <c r="Q982" s="51" t="s">
        <v>534</v>
      </c>
      <c r="R982" s="51" t="s">
        <v>246</v>
      </c>
      <c r="S982" s="51" t="s">
        <v>909</v>
      </c>
      <c r="T982" s="20" t="s">
        <v>317</v>
      </c>
      <c r="U982" s="20" t="s">
        <v>318</v>
      </c>
      <c r="V982" s="20" t="s">
        <v>444</v>
      </c>
    </row>
    <row r="983" spans="1:22">
      <c r="A983" s="20" t="s">
        <v>500</v>
      </c>
      <c r="B983" s="20">
        <f>'Schattenhofer, SI Data'!A345</f>
        <v>57</v>
      </c>
      <c r="C983" s="20">
        <f>'Schattenhofer, SI Data'!E345</f>
        <v>300</v>
      </c>
      <c r="I983" s="51">
        <f>'Schattenhofer, SI Data'!F345</f>
        <v>270000</v>
      </c>
      <c r="J983" s="51">
        <f>'Schattenhofer, SI Data'!H345</f>
        <v>135270</v>
      </c>
      <c r="K983" s="51">
        <f>'Schattenhofer, SI Data'!M345</f>
        <v>52920</v>
      </c>
      <c r="L983" s="51">
        <f>J983+K983</f>
        <v>188190</v>
      </c>
      <c r="M983" s="63">
        <f>L983/I983</f>
        <v>0.69699999999999995</v>
      </c>
      <c r="N983" s="63">
        <f>K983/L983</f>
        <v>0.28120516499282638</v>
      </c>
      <c r="O983" s="63" t="s">
        <v>396</v>
      </c>
      <c r="P983" s="51" t="s">
        <v>416</v>
      </c>
      <c r="Q983" s="51" t="s">
        <v>534</v>
      </c>
      <c r="R983" s="51" t="s">
        <v>246</v>
      </c>
      <c r="S983" s="51" t="s">
        <v>909</v>
      </c>
      <c r="T983" s="20" t="s">
        <v>317</v>
      </c>
      <c r="U983" s="20" t="s">
        <v>318</v>
      </c>
      <c r="V983" s="20" t="s">
        <v>444</v>
      </c>
    </row>
    <row r="984" spans="1:22">
      <c r="A984" s="20" t="s">
        <v>500</v>
      </c>
      <c r="B984" s="20">
        <f>'Schattenhofer, SI Data'!A351</f>
        <v>58</v>
      </c>
      <c r="C984" s="20">
        <f>'Schattenhofer, SI Data'!E351</f>
        <v>300</v>
      </c>
      <c r="I984" s="51">
        <f>'Schattenhofer, SI Data'!F351</f>
        <v>290000</v>
      </c>
      <c r="J984" s="51">
        <f>'Schattenhofer, SI Data'!H351</f>
        <v>162690</v>
      </c>
      <c r="K984" s="51">
        <f>'Schattenhofer, SI Data'!M351</f>
        <v>58290</v>
      </c>
      <c r="L984" s="51">
        <f>J984+K984</f>
        <v>220980</v>
      </c>
      <c r="M984" s="63">
        <f>L984/I984</f>
        <v>0.76200000000000001</v>
      </c>
      <c r="N984" s="63">
        <f>K984/L984</f>
        <v>0.26377952755905509</v>
      </c>
      <c r="O984" s="63" t="s">
        <v>396</v>
      </c>
      <c r="P984" s="51" t="s">
        <v>416</v>
      </c>
      <c r="Q984" s="51" t="s">
        <v>534</v>
      </c>
      <c r="R984" s="51" t="s">
        <v>246</v>
      </c>
      <c r="S984" s="51" t="s">
        <v>909</v>
      </c>
      <c r="T984" s="20" t="s">
        <v>317</v>
      </c>
      <c r="U984" s="20" t="s">
        <v>318</v>
      </c>
      <c r="V984" s="20" t="s">
        <v>444</v>
      </c>
    </row>
    <row r="985" spans="1:22">
      <c r="A985" s="20" t="s">
        <v>500</v>
      </c>
      <c r="B985" s="20">
        <f>'Schattenhofer, SI Data'!A357</f>
        <v>59</v>
      </c>
      <c r="C985" s="20">
        <f>'Schattenhofer, SI Data'!E357</f>
        <v>300</v>
      </c>
      <c r="I985" s="51">
        <f>'Schattenhofer, SI Data'!F357</f>
        <v>280000</v>
      </c>
      <c r="J985" s="51">
        <f>'Schattenhofer, SI Data'!H357</f>
        <v>140280</v>
      </c>
      <c r="K985" s="51">
        <f>'Schattenhofer, SI Data'!M357</f>
        <v>60760</v>
      </c>
      <c r="L985" s="51">
        <f>J985+K985</f>
        <v>201040</v>
      </c>
      <c r="M985" s="63">
        <f>L985/I985</f>
        <v>0.71799999999999997</v>
      </c>
      <c r="N985" s="63">
        <f>K985/L985</f>
        <v>0.3022284122562674</v>
      </c>
      <c r="O985" s="63" t="s">
        <v>396</v>
      </c>
      <c r="P985" s="51" t="s">
        <v>416</v>
      </c>
      <c r="Q985" s="51" t="s">
        <v>534</v>
      </c>
      <c r="R985" s="51" t="s">
        <v>246</v>
      </c>
      <c r="S985" s="51" t="s">
        <v>909</v>
      </c>
      <c r="T985" s="20" t="s">
        <v>317</v>
      </c>
      <c r="U985" s="20" t="s">
        <v>318</v>
      </c>
      <c r="V985" s="20" t="s">
        <v>444</v>
      </c>
    </row>
    <row r="986" spans="1:22">
      <c r="A986" s="20" t="s">
        <v>500</v>
      </c>
      <c r="B986" s="20">
        <f>'Schattenhofer, SI Data'!A371</f>
        <v>61</v>
      </c>
      <c r="C986" s="20">
        <f>'Schattenhofer, SI Data'!E371</f>
        <v>300</v>
      </c>
      <c r="I986" s="51">
        <f>'Schattenhofer, SI Data'!F371</f>
        <v>270000</v>
      </c>
      <c r="J986" s="51">
        <f>'Schattenhofer, SI Data'!H371</f>
        <v>109890</v>
      </c>
      <c r="K986" s="51">
        <f>'Schattenhofer, SI Data'!M371</f>
        <v>33480</v>
      </c>
      <c r="L986" s="51">
        <f>J986+K986</f>
        <v>143370</v>
      </c>
      <c r="M986" s="63">
        <f>L986/I986</f>
        <v>0.53100000000000003</v>
      </c>
      <c r="N986" s="63">
        <f>K986/L986</f>
        <v>0.2335216572504708</v>
      </c>
      <c r="O986" s="63" t="s">
        <v>396</v>
      </c>
      <c r="P986" s="51" t="s">
        <v>416</v>
      </c>
      <c r="Q986" s="51" t="s">
        <v>534</v>
      </c>
      <c r="R986" s="51" t="s">
        <v>246</v>
      </c>
      <c r="S986" s="51" t="s">
        <v>909</v>
      </c>
      <c r="T986" s="20" t="s">
        <v>317</v>
      </c>
      <c r="U986" s="20" t="s">
        <v>318</v>
      </c>
      <c r="V986" s="20" t="s">
        <v>444</v>
      </c>
    </row>
    <row r="987" spans="1:22">
      <c r="A987" s="20" t="s">
        <v>500</v>
      </c>
      <c r="B987" s="20">
        <f>'Schattenhofer, SI Data'!A377</f>
        <v>62</v>
      </c>
      <c r="C987" s="20">
        <f>'Schattenhofer, SI Data'!E377</f>
        <v>300</v>
      </c>
      <c r="I987" s="51">
        <f>'Schattenhofer, SI Data'!F377</f>
        <v>300000</v>
      </c>
      <c r="J987" s="51">
        <f>'Schattenhofer, SI Data'!H377</f>
        <v>163200</v>
      </c>
      <c r="K987" s="51">
        <f>'Schattenhofer, SI Data'!M377</f>
        <v>63900</v>
      </c>
      <c r="L987" s="51">
        <f>J987+K987</f>
        <v>227100</v>
      </c>
      <c r="M987" s="63">
        <f>L987/I987</f>
        <v>0.75700000000000001</v>
      </c>
      <c r="N987" s="63">
        <f>K987/L987</f>
        <v>0.28137384412153238</v>
      </c>
      <c r="O987" s="63" t="s">
        <v>396</v>
      </c>
      <c r="P987" s="51" t="s">
        <v>416</v>
      </c>
      <c r="Q987" s="51" t="s">
        <v>534</v>
      </c>
      <c r="R987" s="51" t="s">
        <v>246</v>
      </c>
      <c r="S987" s="51" t="s">
        <v>909</v>
      </c>
      <c r="T987" s="20" t="s">
        <v>317</v>
      </c>
      <c r="U987" s="20" t="s">
        <v>318</v>
      </c>
      <c r="V987" s="20" t="s">
        <v>444</v>
      </c>
    </row>
    <row r="988" spans="1:22">
      <c r="A988" s="20" t="s">
        <v>500</v>
      </c>
      <c r="B988" s="20">
        <f>'Schattenhofer, SI Data'!A383</f>
        <v>63</v>
      </c>
      <c r="C988" s="20">
        <f>'Schattenhofer, SI Data'!E383</f>
        <v>300</v>
      </c>
      <c r="I988" s="51">
        <f>'Schattenhofer, SI Data'!F383</f>
        <v>320000</v>
      </c>
      <c r="J988" s="51">
        <f>'Schattenhofer, SI Data'!H383</f>
        <v>184640</v>
      </c>
      <c r="K988" s="51">
        <f>'Schattenhofer, SI Data'!M383</f>
        <v>63680</v>
      </c>
      <c r="L988" s="51">
        <f>J988+K988</f>
        <v>248320</v>
      </c>
      <c r="M988" s="63">
        <f>L988/I988</f>
        <v>0.77600000000000002</v>
      </c>
      <c r="N988" s="63">
        <f>K988/L988</f>
        <v>0.25644329896907214</v>
      </c>
      <c r="O988" s="63" t="s">
        <v>396</v>
      </c>
      <c r="P988" s="51" t="s">
        <v>416</v>
      </c>
      <c r="Q988" s="51" t="s">
        <v>534</v>
      </c>
      <c r="R988" s="51" t="s">
        <v>246</v>
      </c>
      <c r="S988" s="51" t="s">
        <v>909</v>
      </c>
      <c r="T988" s="20" t="s">
        <v>317</v>
      </c>
      <c r="U988" s="20" t="s">
        <v>318</v>
      </c>
      <c r="V988" s="20" t="s">
        <v>444</v>
      </c>
    </row>
    <row r="989" spans="1:22">
      <c r="A989" s="20" t="s">
        <v>500</v>
      </c>
      <c r="B989" s="20">
        <f>'Schattenhofer, SI Data'!A389</f>
        <v>64</v>
      </c>
      <c r="C989" s="20">
        <f>'Schattenhofer, SI Data'!E389</f>
        <v>300</v>
      </c>
      <c r="I989" s="51">
        <f>'Schattenhofer, SI Data'!F389</f>
        <v>280000</v>
      </c>
      <c r="J989" s="51">
        <f>'Schattenhofer, SI Data'!H389</f>
        <v>182560</v>
      </c>
      <c r="K989" s="51">
        <f>'Schattenhofer, SI Data'!M389</f>
        <v>53480</v>
      </c>
      <c r="L989" s="51">
        <f>J989+K989</f>
        <v>236040</v>
      </c>
      <c r="M989" s="63">
        <f>L989/I989</f>
        <v>0.84299999999999997</v>
      </c>
      <c r="N989" s="63">
        <f>K989/L989</f>
        <v>0.22657176749703439</v>
      </c>
      <c r="O989" s="63" t="s">
        <v>396</v>
      </c>
      <c r="P989" s="51" t="s">
        <v>416</v>
      </c>
      <c r="Q989" s="51" t="s">
        <v>534</v>
      </c>
      <c r="R989" s="51" t="s">
        <v>246</v>
      </c>
      <c r="S989" s="51" t="s">
        <v>909</v>
      </c>
      <c r="T989" s="20" t="s">
        <v>317</v>
      </c>
      <c r="U989" s="20" t="s">
        <v>318</v>
      </c>
      <c r="V989" s="20" t="s">
        <v>444</v>
      </c>
    </row>
    <row r="990" spans="1:22">
      <c r="A990" s="20" t="s">
        <v>500</v>
      </c>
      <c r="B990" s="20">
        <f>'Schattenhofer, SI Data'!A395</f>
        <v>65</v>
      </c>
      <c r="C990" s="20">
        <f>'Schattenhofer, SI Data'!E395</f>
        <v>300</v>
      </c>
      <c r="I990" s="51">
        <f>'Schattenhofer, SI Data'!F395</f>
        <v>270000</v>
      </c>
      <c r="J990" s="51">
        <f>'Schattenhofer, SI Data'!H395</f>
        <v>173070</v>
      </c>
      <c r="K990" s="51">
        <f>'Schattenhofer, SI Data'!M395</f>
        <v>48330</v>
      </c>
      <c r="L990" s="51">
        <f>J990+K990</f>
        <v>221400</v>
      </c>
      <c r="M990" s="63">
        <f>L990/I990</f>
        <v>0.82</v>
      </c>
      <c r="N990" s="63">
        <f>K990/L990</f>
        <v>0.21829268292682927</v>
      </c>
      <c r="O990" s="63" t="s">
        <v>396</v>
      </c>
      <c r="P990" s="51" t="s">
        <v>416</v>
      </c>
      <c r="Q990" s="51" t="s">
        <v>534</v>
      </c>
      <c r="R990" s="51" t="s">
        <v>246</v>
      </c>
      <c r="S990" s="51" t="s">
        <v>909</v>
      </c>
      <c r="T990" s="20" t="s">
        <v>317</v>
      </c>
      <c r="U990" s="20" t="s">
        <v>318</v>
      </c>
      <c r="V990" s="20" t="s">
        <v>444</v>
      </c>
    </row>
    <row r="991" spans="1:22">
      <c r="A991" s="20" t="s">
        <v>500</v>
      </c>
      <c r="B991" s="20">
        <f>'Schattenhofer, SI Data'!A218</f>
        <v>35</v>
      </c>
      <c r="C991" s="20">
        <f>'Schattenhofer, SI Data'!E218</f>
        <v>350</v>
      </c>
      <c r="I991" s="51">
        <f>'Schattenhofer, SI Data'!F218</f>
        <v>170000</v>
      </c>
      <c r="J991" s="51">
        <f>'Schattenhofer, SI Data'!H218</f>
        <v>85170</v>
      </c>
      <c r="K991" s="51">
        <f>'Schattenhofer, SI Data'!M218</f>
        <v>38760</v>
      </c>
      <c r="L991" s="51">
        <f>J991+K991</f>
        <v>123930</v>
      </c>
      <c r="M991" s="63">
        <f>L991/I991</f>
        <v>0.72899999999999998</v>
      </c>
      <c r="N991" s="63">
        <f>K991/L991</f>
        <v>0.31275720164609055</v>
      </c>
      <c r="O991" s="63" t="s">
        <v>396</v>
      </c>
      <c r="P991" s="51" t="s">
        <v>416</v>
      </c>
      <c r="Q991" s="51" t="s">
        <v>534</v>
      </c>
      <c r="R991" s="51" t="s">
        <v>246</v>
      </c>
      <c r="S991" s="51" t="s">
        <v>909</v>
      </c>
      <c r="T991" s="20" t="s">
        <v>317</v>
      </c>
      <c r="U991" s="20" t="s">
        <v>318</v>
      </c>
      <c r="V991" s="20" t="s">
        <v>444</v>
      </c>
    </row>
    <row r="992" spans="1:22">
      <c r="A992" s="20" t="s">
        <v>500</v>
      </c>
      <c r="B992" s="20">
        <f>'Schattenhofer, SI Data'!A319</f>
        <v>52</v>
      </c>
      <c r="C992" s="20">
        <f>'Schattenhofer, SI Data'!E319</f>
        <v>350</v>
      </c>
      <c r="I992" s="51">
        <f>'Schattenhofer, SI Data'!F319</f>
        <v>250000</v>
      </c>
      <c r="J992" s="51">
        <f>'Schattenhofer, SI Data'!H319</f>
        <v>105000</v>
      </c>
      <c r="K992" s="51">
        <f>'Schattenhofer, SI Data'!M319</f>
        <v>30000</v>
      </c>
      <c r="L992" s="51">
        <f>J992+K992</f>
        <v>135000</v>
      </c>
      <c r="M992" s="63">
        <f>L992/I992</f>
        <v>0.54</v>
      </c>
      <c r="N992" s="63">
        <f>K992/L992</f>
        <v>0.22222222222222221</v>
      </c>
      <c r="O992" s="63" t="s">
        <v>396</v>
      </c>
      <c r="P992" s="51" t="s">
        <v>416</v>
      </c>
      <c r="Q992" s="51" t="s">
        <v>534</v>
      </c>
      <c r="R992" s="51" t="s">
        <v>246</v>
      </c>
      <c r="S992" s="51" t="s">
        <v>909</v>
      </c>
      <c r="T992" s="20" t="s">
        <v>317</v>
      </c>
      <c r="U992" s="20" t="s">
        <v>318</v>
      </c>
      <c r="V992" s="20" t="s">
        <v>444</v>
      </c>
    </row>
    <row r="993" spans="1:22">
      <c r="A993" s="20" t="s">
        <v>500</v>
      </c>
      <c r="B993" s="20">
        <f>'Schattenhofer, SI Data'!A363</f>
        <v>60</v>
      </c>
      <c r="C993" s="20">
        <f>'Schattenhofer, SI Data'!E363</f>
        <v>400</v>
      </c>
      <c r="I993" s="51">
        <f>'Schattenhofer, SI Data'!F363</f>
        <v>160000</v>
      </c>
      <c r="J993" s="51">
        <f>'Schattenhofer, SI Data'!H363</f>
        <v>72800</v>
      </c>
      <c r="K993" s="51">
        <f>'Schattenhofer, SI Data'!M363</f>
        <v>39840</v>
      </c>
      <c r="L993" s="51">
        <f>J993+K993</f>
        <v>112640</v>
      </c>
      <c r="M993" s="63">
        <f>L993/I993</f>
        <v>0.70399999999999996</v>
      </c>
      <c r="N993" s="63">
        <f>K993/L993</f>
        <v>0.35369318181818182</v>
      </c>
      <c r="O993" s="63" t="s">
        <v>396</v>
      </c>
      <c r="P993" s="51" t="s">
        <v>416</v>
      </c>
      <c r="Q993" s="51" t="s">
        <v>534</v>
      </c>
      <c r="R993" s="51" t="s">
        <v>246</v>
      </c>
      <c r="S993" s="51" t="s">
        <v>909</v>
      </c>
      <c r="T993" s="20" t="s">
        <v>317</v>
      </c>
      <c r="U993" s="20" t="s">
        <v>318</v>
      </c>
      <c r="V993" s="20" t="s">
        <v>444</v>
      </c>
    </row>
    <row r="994" spans="1:22">
      <c r="A994" s="20" t="s">
        <v>500</v>
      </c>
      <c r="B994" s="20">
        <f>'Schattenhofer, SI Data'!A109</f>
        <v>18</v>
      </c>
      <c r="C994" s="20">
        <f>'Schattenhofer, SI Data'!E109</f>
        <v>500</v>
      </c>
      <c r="I994" s="51">
        <f>'Schattenhofer, SI Data'!F109</f>
        <v>88000</v>
      </c>
      <c r="J994" s="51">
        <f>'Schattenhofer, SI Data'!H109</f>
        <v>35992</v>
      </c>
      <c r="K994" s="51">
        <f>'Schattenhofer, SI Data'!M109</f>
        <v>13552</v>
      </c>
      <c r="L994" s="51">
        <f>J994+K994</f>
        <v>49544</v>
      </c>
      <c r="M994" s="63">
        <f>L994/I994</f>
        <v>0.56299999999999994</v>
      </c>
      <c r="N994" s="63">
        <f>K994/L994</f>
        <v>0.27353463587921845</v>
      </c>
      <c r="O994" s="63" t="s">
        <v>396</v>
      </c>
      <c r="P994" s="51" t="s">
        <v>416</v>
      </c>
      <c r="Q994" s="51" t="s">
        <v>534</v>
      </c>
      <c r="R994" s="51" t="s">
        <v>246</v>
      </c>
      <c r="S994" s="51" t="s">
        <v>909</v>
      </c>
      <c r="T994" s="20" t="s">
        <v>317</v>
      </c>
      <c r="U994" s="20" t="s">
        <v>318</v>
      </c>
      <c r="V994" s="20" t="s">
        <v>444</v>
      </c>
    </row>
    <row r="995" spans="1:22">
      <c r="A995" s="20" t="s">
        <v>500</v>
      </c>
      <c r="B995" s="20">
        <f>'Schattenhofer, SI Data'!A116</f>
        <v>19</v>
      </c>
      <c r="C995" s="20">
        <f>'Schattenhofer, SI Data'!E116</f>
        <v>500</v>
      </c>
      <c r="I995" s="51">
        <f>'Schattenhofer, SI Data'!F116</f>
        <v>430000</v>
      </c>
      <c r="J995" s="51">
        <f>'Schattenhofer, SI Data'!H116</f>
        <v>267890</v>
      </c>
      <c r="K995" s="51">
        <f>'Schattenhofer, SI Data'!M116</f>
        <v>9030</v>
      </c>
      <c r="L995" s="51">
        <f>J995+K995</f>
        <v>276920</v>
      </c>
      <c r="M995" s="63">
        <f>L995/I995</f>
        <v>0.64400000000000002</v>
      </c>
      <c r="N995" s="63">
        <f>K995/L995</f>
        <v>3.2608695652173912E-2</v>
      </c>
      <c r="O995" s="63" t="s">
        <v>396</v>
      </c>
      <c r="P995" s="51" t="s">
        <v>416</v>
      </c>
      <c r="Q995" s="51" t="s">
        <v>534</v>
      </c>
      <c r="R995" s="51" t="s">
        <v>246</v>
      </c>
      <c r="S995" s="51" t="s">
        <v>909</v>
      </c>
      <c r="T995" s="20" t="s">
        <v>317</v>
      </c>
      <c r="U995" s="20" t="s">
        <v>318</v>
      </c>
      <c r="V995" s="20" t="s">
        <v>444</v>
      </c>
    </row>
    <row r="996" spans="1:22">
      <c r="A996" s="20" t="s">
        <v>500</v>
      </c>
      <c r="B996" s="20">
        <f>'Schattenhofer, SI Data'!A153</f>
        <v>25</v>
      </c>
      <c r="C996" s="20">
        <f>'Schattenhofer, SI Data'!E153</f>
        <v>500</v>
      </c>
      <c r="I996" s="51">
        <f>'Schattenhofer, SI Data'!F153</f>
        <v>100000</v>
      </c>
      <c r="J996" s="51">
        <f>'Schattenhofer, SI Data'!H153</f>
        <v>44600</v>
      </c>
      <c r="K996" s="51">
        <f>'Schattenhofer, SI Data'!M153</f>
        <v>19700</v>
      </c>
      <c r="L996" s="51">
        <f>J996+K996</f>
        <v>64300</v>
      </c>
      <c r="M996" s="63">
        <f>L996/I996</f>
        <v>0.64300000000000002</v>
      </c>
      <c r="N996" s="63">
        <f>K996/L996</f>
        <v>0.30637636080870917</v>
      </c>
      <c r="O996" s="63" t="s">
        <v>396</v>
      </c>
      <c r="P996" s="51" t="s">
        <v>416</v>
      </c>
      <c r="Q996" s="51" t="s">
        <v>534</v>
      </c>
      <c r="R996" s="51" t="s">
        <v>246</v>
      </c>
      <c r="S996" s="51" t="s">
        <v>909</v>
      </c>
      <c r="T996" s="20" t="s">
        <v>317</v>
      </c>
      <c r="U996" s="20" t="s">
        <v>318</v>
      </c>
      <c r="V996" s="20" t="s">
        <v>444</v>
      </c>
    </row>
    <row r="997" spans="1:22">
      <c r="A997" s="20" t="s">
        <v>500</v>
      </c>
      <c r="B997" s="20">
        <f>'Schattenhofer, SI Data'!A179</f>
        <v>29</v>
      </c>
      <c r="C997" s="20">
        <f>'Schattenhofer, SI Data'!E179</f>
        <v>500</v>
      </c>
      <c r="I997" s="51">
        <f>'Schattenhofer, SI Data'!F179</f>
        <v>150000</v>
      </c>
      <c r="J997" s="51">
        <f>'Schattenhofer, SI Data'!H179</f>
        <v>66000</v>
      </c>
      <c r="K997" s="51">
        <f>'Schattenhofer, SI Data'!M179</f>
        <v>45300</v>
      </c>
      <c r="L997" s="51">
        <f>J997+K997</f>
        <v>111300</v>
      </c>
      <c r="M997" s="63">
        <f>L997/I997</f>
        <v>0.74199999999999999</v>
      </c>
      <c r="N997" s="63">
        <f>K997/L997</f>
        <v>0.40700808625336926</v>
      </c>
      <c r="O997" s="63" t="s">
        <v>396</v>
      </c>
      <c r="P997" s="51" t="s">
        <v>416</v>
      </c>
      <c r="Q997" s="51" t="s">
        <v>534</v>
      </c>
      <c r="R997" s="51" t="s">
        <v>246</v>
      </c>
      <c r="S997" s="51" t="s">
        <v>909</v>
      </c>
      <c r="T997" s="20" t="s">
        <v>317</v>
      </c>
      <c r="U997" s="20" t="s">
        <v>318</v>
      </c>
      <c r="V997" s="20" t="s">
        <v>444</v>
      </c>
    </row>
    <row r="998" spans="1:22">
      <c r="A998" s="20" t="s">
        <v>500</v>
      </c>
      <c r="B998" s="20">
        <f>'Schattenhofer, SI Data'!A199</f>
        <v>32</v>
      </c>
      <c r="C998" s="20">
        <f>'Schattenhofer, SI Data'!E199</f>
        <v>500</v>
      </c>
      <c r="I998" s="51">
        <f>'Schattenhofer, SI Data'!F199</f>
        <v>160000</v>
      </c>
      <c r="J998" s="51">
        <f>'Schattenhofer, SI Data'!H199</f>
        <v>79040</v>
      </c>
      <c r="K998" s="51">
        <f>'Schattenhofer, SI Data'!M199</f>
        <v>40160</v>
      </c>
      <c r="L998" s="51">
        <f>J998+K998</f>
        <v>119200</v>
      </c>
      <c r="M998" s="63">
        <f>L998/I998</f>
        <v>0.745</v>
      </c>
      <c r="N998" s="63">
        <f>K998/L998</f>
        <v>0.33691275167785234</v>
      </c>
      <c r="O998" s="63" t="s">
        <v>396</v>
      </c>
      <c r="P998" s="51" t="s">
        <v>416</v>
      </c>
      <c r="Q998" s="51" t="s">
        <v>534</v>
      </c>
      <c r="R998" s="51" t="s">
        <v>246</v>
      </c>
      <c r="S998" s="51" t="s">
        <v>909</v>
      </c>
      <c r="T998" s="20" t="s">
        <v>317</v>
      </c>
      <c r="U998" s="20" t="s">
        <v>318</v>
      </c>
      <c r="V998" s="20" t="s">
        <v>444</v>
      </c>
    </row>
    <row r="999" spans="1:22">
      <c r="A999" s="20" t="s">
        <v>500</v>
      </c>
      <c r="B999" s="20">
        <f>'Schattenhofer, SI Data'!A264</f>
        <v>43</v>
      </c>
      <c r="C999" s="20">
        <f>'Schattenhofer, SI Data'!E264</f>
        <v>500</v>
      </c>
      <c r="I999" s="51">
        <f>'Schattenhofer, SI Data'!F264</f>
        <v>100000</v>
      </c>
      <c r="J999" s="51">
        <f>'Schattenhofer, SI Data'!H264</f>
        <v>43000</v>
      </c>
      <c r="K999" s="51">
        <f>'Schattenhofer, SI Data'!M264</f>
        <v>9900</v>
      </c>
      <c r="L999" s="51">
        <f>J999+K999</f>
        <v>52900</v>
      </c>
      <c r="M999" s="63">
        <f>L999/I999</f>
        <v>0.52900000000000003</v>
      </c>
      <c r="N999" s="63">
        <f>K999/L999</f>
        <v>0.18714555765595464</v>
      </c>
      <c r="O999" s="63" t="s">
        <v>396</v>
      </c>
      <c r="P999" s="51" t="s">
        <v>416</v>
      </c>
      <c r="Q999" s="51" t="s">
        <v>534</v>
      </c>
      <c r="R999" s="51" t="s">
        <v>246</v>
      </c>
      <c r="S999" s="51" t="s">
        <v>909</v>
      </c>
      <c r="T999" s="20" t="s">
        <v>317</v>
      </c>
      <c r="U999" s="20" t="s">
        <v>318</v>
      </c>
      <c r="V999" s="20" t="s">
        <v>444</v>
      </c>
    </row>
    <row r="1000" spans="1:22">
      <c r="A1000" s="20" t="s">
        <v>500</v>
      </c>
      <c r="B1000" s="20">
        <f>'Schattenhofer, SI Data'!A320</f>
        <v>52</v>
      </c>
      <c r="C1000" s="20">
        <f>'Schattenhofer, SI Data'!E320</f>
        <v>500</v>
      </c>
      <c r="I1000" s="51">
        <f>'Schattenhofer, SI Data'!F320</f>
        <v>180000</v>
      </c>
      <c r="J1000" s="51">
        <f>'Schattenhofer, SI Data'!H320</f>
        <v>82620</v>
      </c>
      <c r="K1000" s="51">
        <f>'Schattenhofer, SI Data'!M320</f>
        <v>39600</v>
      </c>
      <c r="L1000" s="51">
        <f>J1000+K1000</f>
        <v>122220</v>
      </c>
      <c r="M1000" s="63">
        <f>L1000/I1000</f>
        <v>0.67900000000000005</v>
      </c>
      <c r="N1000" s="63">
        <f>K1000/L1000</f>
        <v>0.32400589101620031</v>
      </c>
      <c r="O1000" s="63" t="s">
        <v>396</v>
      </c>
      <c r="P1000" s="51" t="s">
        <v>416</v>
      </c>
      <c r="Q1000" s="51" t="s">
        <v>534</v>
      </c>
      <c r="R1000" s="51" t="s">
        <v>246</v>
      </c>
      <c r="S1000" s="51" t="s">
        <v>909</v>
      </c>
      <c r="T1000" s="20" t="s">
        <v>317</v>
      </c>
      <c r="U1000" s="20" t="s">
        <v>318</v>
      </c>
      <c r="V1000" s="20" t="s">
        <v>444</v>
      </c>
    </row>
    <row r="1001" spans="1:22">
      <c r="A1001" s="20" t="s">
        <v>500</v>
      </c>
      <c r="B1001" s="20">
        <f>'Schattenhofer, SI Data'!A77</f>
        <v>13</v>
      </c>
      <c r="C1001" s="20">
        <f>'Schattenhofer, SI Data'!E77</f>
        <v>600</v>
      </c>
      <c r="I1001" s="51">
        <f>'Schattenhofer, SI Data'!F77</f>
        <v>95000</v>
      </c>
      <c r="J1001" s="51">
        <f>'Schattenhofer, SI Data'!H77</f>
        <v>42085</v>
      </c>
      <c r="K1001" s="51">
        <f>'Schattenhofer, SI Data'!M77</f>
        <v>17860</v>
      </c>
      <c r="L1001" s="51">
        <f>J1001+K1001</f>
        <v>59945</v>
      </c>
      <c r="M1001" s="63">
        <f>L1001/I1001</f>
        <v>0.63100000000000001</v>
      </c>
      <c r="N1001" s="63">
        <f>K1001/L1001</f>
        <v>0.29793977812995248</v>
      </c>
      <c r="O1001" s="63" t="s">
        <v>396</v>
      </c>
      <c r="P1001" s="51" t="s">
        <v>416</v>
      </c>
      <c r="Q1001" s="51" t="s">
        <v>534</v>
      </c>
      <c r="R1001" s="51" t="s">
        <v>246</v>
      </c>
      <c r="S1001" s="51" t="s">
        <v>909</v>
      </c>
      <c r="T1001" s="20" t="s">
        <v>317</v>
      </c>
      <c r="U1001" s="20" t="s">
        <v>318</v>
      </c>
      <c r="V1001" s="20" t="s">
        <v>444</v>
      </c>
    </row>
    <row r="1002" spans="1:22">
      <c r="A1002" s="20" t="s">
        <v>500</v>
      </c>
      <c r="B1002" s="20">
        <f>'Schattenhofer, SI Data'!A244</f>
        <v>40</v>
      </c>
      <c r="C1002" s="20">
        <f>'Schattenhofer, SI Data'!E244</f>
        <v>600</v>
      </c>
      <c r="I1002" s="51">
        <f>'Schattenhofer, SI Data'!F244</f>
        <v>90000</v>
      </c>
      <c r="J1002" s="51">
        <f>'Schattenhofer, SI Data'!H244</f>
        <v>40050</v>
      </c>
      <c r="K1002" s="51">
        <f>'Schattenhofer, SI Data'!M244</f>
        <v>10080</v>
      </c>
      <c r="L1002" s="51">
        <f>J1002+K1002</f>
        <v>50130</v>
      </c>
      <c r="M1002" s="63">
        <f>L1002/I1002</f>
        <v>0.55700000000000005</v>
      </c>
      <c r="N1002" s="63">
        <f>K1002/L1002</f>
        <v>0.20107719928186715</v>
      </c>
      <c r="O1002" s="63" t="s">
        <v>396</v>
      </c>
      <c r="P1002" s="51" t="s">
        <v>416</v>
      </c>
      <c r="Q1002" s="51" t="s">
        <v>534</v>
      </c>
      <c r="R1002" s="51" t="s">
        <v>246</v>
      </c>
      <c r="S1002" s="51" t="s">
        <v>909</v>
      </c>
      <c r="T1002" s="20" t="s">
        <v>317</v>
      </c>
      <c r="U1002" s="20" t="s">
        <v>318</v>
      </c>
      <c r="V1002" s="20" t="s">
        <v>444</v>
      </c>
    </row>
    <row r="1003" spans="1:22">
      <c r="A1003" s="20" t="s">
        <v>500</v>
      </c>
      <c r="B1003" s="20">
        <f>'Schattenhofer, SI Data'!A283</f>
        <v>46</v>
      </c>
      <c r="C1003" s="20">
        <f>'Schattenhofer, SI Data'!E283</f>
        <v>600</v>
      </c>
      <c r="I1003" s="51">
        <f>'Schattenhofer, SI Data'!F283</f>
        <v>120000</v>
      </c>
      <c r="J1003" s="51">
        <f>'Schattenhofer, SI Data'!H283</f>
        <v>56520</v>
      </c>
      <c r="K1003" s="51">
        <f>'Schattenhofer, SI Data'!M283</f>
        <v>15120</v>
      </c>
      <c r="L1003" s="51">
        <f>J1003+K1003</f>
        <v>71640</v>
      </c>
      <c r="M1003" s="63">
        <f>L1003/I1003</f>
        <v>0.59699999999999998</v>
      </c>
      <c r="N1003" s="63">
        <f>K1003/L1003</f>
        <v>0.21105527638190955</v>
      </c>
      <c r="O1003" s="63" t="s">
        <v>396</v>
      </c>
      <c r="P1003" s="51" t="s">
        <v>416</v>
      </c>
      <c r="Q1003" s="51" t="s">
        <v>534</v>
      </c>
      <c r="R1003" s="51" t="s">
        <v>246</v>
      </c>
      <c r="S1003" s="51" t="s">
        <v>909</v>
      </c>
      <c r="T1003" s="20" t="s">
        <v>317</v>
      </c>
      <c r="U1003" s="20" t="s">
        <v>318</v>
      </c>
      <c r="V1003" s="20" t="s">
        <v>444</v>
      </c>
    </row>
    <row r="1004" spans="1:22">
      <c r="A1004" s="20" t="s">
        <v>500</v>
      </c>
      <c r="B1004" s="20">
        <f>'Schattenhofer, SI Data'!A364</f>
        <v>60</v>
      </c>
      <c r="C1004" s="20">
        <f>'Schattenhofer, SI Data'!E364</f>
        <v>800</v>
      </c>
      <c r="I1004" s="51">
        <f>'Schattenhofer, SI Data'!F364</f>
        <v>90000</v>
      </c>
      <c r="J1004" s="51">
        <f>'Schattenhofer, SI Data'!H364</f>
        <v>41400</v>
      </c>
      <c r="K1004" s="51">
        <f>'Schattenhofer, SI Data'!M364</f>
        <v>14670</v>
      </c>
      <c r="L1004" s="51">
        <f>J1004+K1004</f>
        <v>56070</v>
      </c>
      <c r="M1004" s="63">
        <f>L1004/I1004</f>
        <v>0.623</v>
      </c>
      <c r="N1004" s="63">
        <f>K1004/L1004</f>
        <v>0.26163723916532905</v>
      </c>
      <c r="O1004" s="63" t="s">
        <v>396</v>
      </c>
      <c r="P1004" s="51" t="s">
        <v>416</v>
      </c>
      <c r="Q1004" s="51" t="s">
        <v>534</v>
      </c>
      <c r="R1004" s="51" t="s">
        <v>246</v>
      </c>
      <c r="S1004" s="51" t="s">
        <v>909</v>
      </c>
      <c r="T1004" s="20" t="s">
        <v>317</v>
      </c>
      <c r="U1004" s="20" t="s">
        <v>318</v>
      </c>
      <c r="V1004" s="20" t="s">
        <v>444</v>
      </c>
    </row>
    <row r="1005" spans="1:22">
      <c r="A1005" s="20" t="s">
        <v>500</v>
      </c>
      <c r="B1005" s="20">
        <f>'Schattenhofer, SI Data'!A200</f>
        <v>32</v>
      </c>
      <c r="C1005" s="20">
        <f>'Schattenhofer, SI Data'!E200</f>
        <v>850</v>
      </c>
      <c r="I1005" s="51">
        <f>'Schattenhofer, SI Data'!F200</f>
        <v>78000</v>
      </c>
      <c r="J1005" s="51">
        <f>'Schattenhofer, SI Data'!H200</f>
        <v>43290</v>
      </c>
      <c r="K1005" s="51">
        <f>'Schattenhofer, SI Data'!M200</f>
        <v>15990</v>
      </c>
      <c r="L1005" s="51">
        <f>J1005+K1005</f>
        <v>59280</v>
      </c>
      <c r="M1005" s="63">
        <f>L1005/I1005</f>
        <v>0.76</v>
      </c>
      <c r="N1005" s="63">
        <f>K1005/L1005</f>
        <v>0.26973684210526316</v>
      </c>
      <c r="O1005" s="63" t="s">
        <v>396</v>
      </c>
      <c r="P1005" s="51" t="s">
        <v>416</v>
      </c>
      <c r="Q1005" s="51" t="s">
        <v>534</v>
      </c>
      <c r="R1005" s="51" t="s">
        <v>246</v>
      </c>
      <c r="S1005" s="51" t="s">
        <v>909</v>
      </c>
      <c r="T1005" s="20" t="s">
        <v>317</v>
      </c>
      <c r="U1005" s="20" t="s">
        <v>318</v>
      </c>
      <c r="V1005" s="20" t="s">
        <v>444</v>
      </c>
    </row>
    <row r="1006" spans="1:22">
      <c r="A1006" s="20" t="s">
        <v>500</v>
      </c>
      <c r="B1006" s="20">
        <f>'Schattenhofer, SI Data'!A265</f>
        <v>43</v>
      </c>
      <c r="C1006" s="20">
        <f>'Schattenhofer, SI Data'!E265</f>
        <v>850</v>
      </c>
      <c r="I1006" s="51">
        <f>'Schattenhofer, SI Data'!F265</f>
        <v>59000</v>
      </c>
      <c r="J1006" s="51">
        <f>'Schattenhofer, SI Data'!H265</f>
        <v>27907</v>
      </c>
      <c r="K1006" s="51">
        <f>'Schattenhofer, SI Data'!M265</f>
        <v>5664</v>
      </c>
      <c r="L1006" s="51">
        <f>J1006+K1006</f>
        <v>33571</v>
      </c>
      <c r="M1006" s="63">
        <f>L1006/I1006</f>
        <v>0.56899999999999995</v>
      </c>
      <c r="N1006" s="63">
        <f>K1006/L1006</f>
        <v>0.1687170474516696</v>
      </c>
      <c r="O1006" s="63" t="s">
        <v>396</v>
      </c>
      <c r="P1006" s="51" t="s">
        <v>416</v>
      </c>
      <c r="Q1006" s="51" t="s">
        <v>534</v>
      </c>
      <c r="R1006" s="51" t="s">
        <v>246</v>
      </c>
      <c r="S1006" s="51" t="s">
        <v>909</v>
      </c>
      <c r="T1006" s="20" t="s">
        <v>317</v>
      </c>
      <c r="U1006" s="20" t="s">
        <v>318</v>
      </c>
      <c r="V1006" s="20" t="s">
        <v>444</v>
      </c>
    </row>
    <row r="1007" spans="1:22">
      <c r="A1007" s="20" t="s">
        <v>500</v>
      </c>
      <c r="B1007" s="20">
        <f>'Schattenhofer, SI Data'!A78</f>
        <v>13</v>
      </c>
      <c r="C1007" s="20">
        <f>'Schattenhofer, SI Data'!E78</f>
        <v>1000</v>
      </c>
      <c r="I1007" s="51">
        <f>'Schattenhofer, SI Data'!F78</f>
        <v>91000</v>
      </c>
      <c r="J1007" s="51">
        <f>'Schattenhofer, SI Data'!H78</f>
        <v>64428</v>
      </c>
      <c r="K1007" s="51">
        <f>'Schattenhofer, SI Data'!M78</f>
        <v>7826</v>
      </c>
      <c r="L1007" s="51">
        <f>J1007+K1007</f>
        <v>72254</v>
      </c>
      <c r="M1007" s="63">
        <f>L1007/I1007</f>
        <v>0.79400000000000004</v>
      </c>
      <c r="N1007" s="63">
        <f>K1007/L1007</f>
        <v>0.10831234256926953</v>
      </c>
      <c r="O1007" s="63" t="s">
        <v>396</v>
      </c>
      <c r="P1007" s="51" t="s">
        <v>416</v>
      </c>
      <c r="Q1007" s="51" t="s">
        <v>534</v>
      </c>
      <c r="R1007" s="51" t="s">
        <v>246</v>
      </c>
      <c r="S1007" s="51" t="s">
        <v>909</v>
      </c>
      <c r="T1007" s="20" t="s">
        <v>317</v>
      </c>
      <c r="U1007" s="20" t="s">
        <v>318</v>
      </c>
      <c r="V1007" s="20" t="s">
        <v>444</v>
      </c>
    </row>
    <row r="1008" spans="1:22">
      <c r="A1008" s="20" t="s">
        <v>500</v>
      </c>
      <c r="B1008" s="20">
        <f>'Schattenhofer, SI Data'!A110</f>
        <v>18</v>
      </c>
      <c r="C1008" s="20">
        <f>'Schattenhofer, SI Data'!E110</f>
        <v>1000</v>
      </c>
      <c r="I1008" s="51">
        <f>'Schattenhofer, SI Data'!F110</f>
        <v>33000</v>
      </c>
      <c r="J1008" s="51">
        <f>'Schattenhofer, SI Data'!H110</f>
        <v>17094</v>
      </c>
      <c r="K1008" s="51">
        <f>'Schattenhofer, SI Data'!M110</f>
        <v>3729</v>
      </c>
      <c r="L1008" s="51">
        <f>J1008+K1008</f>
        <v>20823</v>
      </c>
      <c r="M1008" s="63">
        <f>L1008/I1008</f>
        <v>0.63100000000000001</v>
      </c>
      <c r="N1008" s="63">
        <f>K1008/L1008</f>
        <v>0.17908082408874801</v>
      </c>
      <c r="O1008" s="63" t="s">
        <v>396</v>
      </c>
      <c r="P1008" s="51" t="s">
        <v>416</v>
      </c>
      <c r="Q1008" s="51" t="s">
        <v>534</v>
      </c>
      <c r="R1008" s="51" t="s">
        <v>246</v>
      </c>
      <c r="S1008" s="51" t="s">
        <v>909</v>
      </c>
      <c r="T1008" s="20" t="s">
        <v>317</v>
      </c>
      <c r="U1008" s="20" t="s">
        <v>318</v>
      </c>
      <c r="V1008" s="20" t="s">
        <v>444</v>
      </c>
    </row>
    <row r="1009" spans="1:22">
      <c r="A1009" s="20" t="s">
        <v>500</v>
      </c>
      <c r="B1009" s="20">
        <f>'Schattenhofer, SI Data'!A154</f>
        <v>25</v>
      </c>
      <c r="C1009" s="20">
        <f>'Schattenhofer, SI Data'!E154</f>
        <v>1000</v>
      </c>
      <c r="I1009" s="51">
        <f>'Schattenhofer, SI Data'!F154</f>
        <v>59000</v>
      </c>
      <c r="J1009" s="51">
        <f>'Schattenhofer, SI Data'!H154</f>
        <v>29028</v>
      </c>
      <c r="K1009" s="51">
        <f>'Schattenhofer, SI Data'!M154</f>
        <v>7257</v>
      </c>
      <c r="L1009" s="51">
        <f>J1009+K1009</f>
        <v>36285</v>
      </c>
      <c r="M1009" s="63">
        <f>L1009/I1009</f>
        <v>0.61499999999999999</v>
      </c>
      <c r="N1009" s="63">
        <f>K1009/L1009</f>
        <v>0.2</v>
      </c>
      <c r="O1009" s="63" t="s">
        <v>396</v>
      </c>
      <c r="P1009" s="51" t="s">
        <v>416</v>
      </c>
      <c r="Q1009" s="51" t="s">
        <v>534</v>
      </c>
      <c r="R1009" s="51" t="s">
        <v>246</v>
      </c>
      <c r="S1009" s="51" t="s">
        <v>909</v>
      </c>
      <c r="T1009" s="20" t="s">
        <v>317</v>
      </c>
      <c r="U1009" s="20" t="s">
        <v>318</v>
      </c>
      <c r="V1009" s="20" t="s">
        <v>444</v>
      </c>
    </row>
    <row r="1010" spans="1:22">
      <c r="A1010" s="20" t="s">
        <v>500</v>
      </c>
      <c r="B1010" s="20">
        <f>'Schattenhofer, SI Data'!A180</f>
        <v>29</v>
      </c>
      <c r="C1010" s="20">
        <f>'Schattenhofer, SI Data'!E180</f>
        <v>1000</v>
      </c>
      <c r="I1010" s="51">
        <f>'Schattenhofer, SI Data'!F180</f>
        <v>75000</v>
      </c>
      <c r="J1010" s="51">
        <f>'Schattenhofer, SI Data'!H180</f>
        <v>37500</v>
      </c>
      <c r="K1010" s="51">
        <f>'Schattenhofer, SI Data'!M180</f>
        <v>15300</v>
      </c>
      <c r="L1010" s="51">
        <f>J1010+K1010</f>
        <v>52800</v>
      </c>
      <c r="M1010" s="63">
        <f>L1010/I1010</f>
        <v>0.70399999999999996</v>
      </c>
      <c r="N1010" s="63">
        <f>K1010/L1010</f>
        <v>0.28977272727272729</v>
      </c>
      <c r="O1010" s="63" t="s">
        <v>396</v>
      </c>
      <c r="P1010" s="51" t="s">
        <v>416</v>
      </c>
      <c r="Q1010" s="51" t="s">
        <v>534</v>
      </c>
      <c r="R1010" s="51" t="s">
        <v>246</v>
      </c>
      <c r="S1010" s="51" t="s">
        <v>909</v>
      </c>
      <c r="T1010" s="20" t="s">
        <v>317</v>
      </c>
      <c r="U1010" s="20" t="s">
        <v>318</v>
      </c>
      <c r="V1010" s="20" t="s">
        <v>444</v>
      </c>
    </row>
    <row r="1011" spans="1:22">
      <c r="A1011" s="20" t="s">
        <v>500</v>
      </c>
      <c r="B1011" s="20">
        <f>'Schattenhofer, SI Data'!A245</f>
        <v>40</v>
      </c>
      <c r="C1011" s="20">
        <f>'Schattenhofer, SI Data'!E245</f>
        <v>1000</v>
      </c>
      <c r="I1011" s="51">
        <f>'Schattenhofer, SI Data'!F245</f>
        <v>54000</v>
      </c>
      <c r="J1011" s="51">
        <f>'Schattenhofer, SI Data'!H245</f>
        <v>30564</v>
      </c>
      <c r="K1011" s="51">
        <f>'Schattenhofer, SI Data'!M245</f>
        <v>6696</v>
      </c>
      <c r="L1011" s="51">
        <f>J1011+K1011</f>
        <v>37260</v>
      </c>
      <c r="M1011" s="63">
        <f>L1011/I1011</f>
        <v>0.69</v>
      </c>
      <c r="N1011" s="63">
        <f>K1011/L1011</f>
        <v>0.17971014492753623</v>
      </c>
      <c r="O1011" s="63" t="s">
        <v>396</v>
      </c>
      <c r="P1011" s="51" t="s">
        <v>416</v>
      </c>
      <c r="Q1011" s="51" t="s">
        <v>534</v>
      </c>
      <c r="R1011" s="51" t="s">
        <v>246</v>
      </c>
      <c r="S1011" s="51" t="s">
        <v>909</v>
      </c>
      <c r="T1011" s="20" t="s">
        <v>317</v>
      </c>
      <c r="U1011" s="20" t="s">
        <v>318</v>
      </c>
      <c r="V1011" s="20" t="s">
        <v>444</v>
      </c>
    </row>
    <row r="1012" spans="1:22">
      <c r="A1012" s="20" t="s">
        <v>500</v>
      </c>
      <c r="B1012" s="20">
        <f>'Schattenhofer, SI Data'!A284</f>
        <v>46</v>
      </c>
      <c r="C1012" s="20">
        <f>'Schattenhofer, SI Data'!E284</f>
        <v>1000</v>
      </c>
      <c r="I1012" s="51">
        <f>'Schattenhofer, SI Data'!F284</f>
        <v>61000</v>
      </c>
      <c r="J1012" s="51">
        <f>'Schattenhofer, SI Data'!H284</f>
        <v>35441</v>
      </c>
      <c r="K1012" s="51">
        <f>'Schattenhofer, SI Data'!M284</f>
        <v>8174</v>
      </c>
      <c r="L1012" s="51">
        <f>J1012+K1012</f>
        <v>43615</v>
      </c>
      <c r="M1012" s="63">
        <f>L1012/I1012</f>
        <v>0.71499999999999997</v>
      </c>
      <c r="N1012" s="63">
        <f>K1012/L1012</f>
        <v>0.1874125874125874</v>
      </c>
      <c r="O1012" s="63" t="s">
        <v>396</v>
      </c>
      <c r="P1012" s="51" t="s">
        <v>416</v>
      </c>
      <c r="Q1012" s="51" t="s">
        <v>534</v>
      </c>
      <c r="R1012" s="51" t="s">
        <v>246</v>
      </c>
      <c r="S1012" s="51" t="s">
        <v>909</v>
      </c>
      <c r="T1012" s="20" t="s">
        <v>317</v>
      </c>
      <c r="U1012" s="20" t="s">
        <v>318</v>
      </c>
      <c r="V1012" s="20" t="s">
        <v>444</v>
      </c>
    </row>
    <row r="1013" spans="1:22">
      <c r="A1013" s="20" t="s">
        <v>500</v>
      </c>
      <c r="B1013" s="20">
        <f>'Schattenhofer, SI Data'!A321</f>
        <v>52</v>
      </c>
      <c r="C1013" s="20">
        <f>'Schattenhofer, SI Data'!E321</f>
        <v>1000</v>
      </c>
      <c r="I1013" s="51">
        <f>'Schattenhofer, SI Data'!F321</f>
        <v>96000</v>
      </c>
      <c r="J1013" s="51">
        <f>'Schattenhofer, SI Data'!H321</f>
        <v>47808</v>
      </c>
      <c r="K1013" s="51">
        <f>'Schattenhofer, SI Data'!M321</f>
        <v>18240</v>
      </c>
      <c r="L1013" s="51">
        <f>J1013+K1013</f>
        <v>66048</v>
      </c>
      <c r="M1013" s="63">
        <f>L1013/I1013</f>
        <v>0.68799999999999994</v>
      </c>
      <c r="N1013" s="63">
        <f>K1013/L1013</f>
        <v>0.27616279069767441</v>
      </c>
      <c r="O1013" s="63" t="s">
        <v>396</v>
      </c>
      <c r="P1013" s="51" t="s">
        <v>416</v>
      </c>
      <c r="Q1013" s="51" t="s">
        <v>534</v>
      </c>
      <c r="R1013" s="51" t="s">
        <v>246</v>
      </c>
      <c r="S1013" s="51" t="s">
        <v>909</v>
      </c>
      <c r="T1013" s="20" t="s">
        <v>317</v>
      </c>
      <c r="U1013" s="20" t="s">
        <v>318</v>
      </c>
      <c r="V1013" s="20" t="s">
        <v>444</v>
      </c>
    </row>
    <row r="1014" spans="1:22">
      <c r="A1014" s="20" t="s">
        <v>500</v>
      </c>
      <c r="B1014" s="20">
        <f>'Schattenhofer, SI Data'!A365</f>
        <v>60</v>
      </c>
      <c r="C1014" s="20">
        <f>'Schattenhofer, SI Data'!E365</f>
        <v>1000</v>
      </c>
      <c r="I1014" s="51">
        <f>'Schattenhofer, SI Data'!F365</f>
        <v>90000</v>
      </c>
      <c r="J1014" s="51">
        <f>'Schattenhofer, SI Data'!H365</f>
        <v>45540</v>
      </c>
      <c r="K1014" s="51">
        <f>'Schattenhofer, SI Data'!M365</f>
        <v>14040</v>
      </c>
      <c r="L1014" s="51">
        <f>J1014+K1014</f>
        <v>59580</v>
      </c>
      <c r="M1014" s="63">
        <f>L1014/I1014</f>
        <v>0.66200000000000003</v>
      </c>
      <c r="N1014" s="63">
        <f>K1014/L1014</f>
        <v>0.23564954682779457</v>
      </c>
      <c r="O1014" s="63" t="s">
        <v>396</v>
      </c>
      <c r="P1014" s="51" t="s">
        <v>416</v>
      </c>
      <c r="Q1014" s="51" t="s">
        <v>534</v>
      </c>
      <c r="R1014" s="51" t="s">
        <v>246</v>
      </c>
      <c r="S1014" s="51" t="s">
        <v>909</v>
      </c>
      <c r="T1014" s="20" t="s">
        <v>317</v>
      </c>
      <c r="U1014" s="20" t="s">
        <v>318</v>
      </c>
      <c r="V1014" s="20" t="s">
        <v>444</v>
      </c>
    </row>
    <row r="1015" spans="1:22">
      <c r="A1015" s="20" t="s">
        <v>500</v>
      </c>
      <c r="B1015" s="20">
        <f>'Schattenhofer, SI Data'!A266</f>
        <v>43</v>
      </c>
      <c r="C1015" s="20">
        <f>'Schattenhofer, SI Data'!E266</f>
        <v>1500</v>
      </c>
      <c r="I1015" s="51">
        <f>'Schattenhofer, SI Data'!F266</f>
        <v>38000</v>
      </c>
      <c r="J1015" s="51">
        <f>'Schattenhofer, SI Data'!H266</f>
        <v>18012</v>
      </c>
      <c r="K1015" s="51">
        <f>'Schattenhofer, SI Data'!M266</f>
        <v>7220</v>
      </c>
      <c r="L1015" s="51">
        <f>J1015+K1015</f>
        <v>25232</v>
      </c>
      <c r="M1015" s="63">
        <f>L1015/I1015</f>
        <v>0.66400000000000003</v>
      </c>
      <c r="N1015" s="63">
        <f>K1015/L1015</f>
        <v>0.28614457831325302</v>
      </c>
      <c r="O1015" s="63" t="s">
        <v>396</v>
      </c>
      <c r="P1015" s="51" t="s">
        <v>416</v>
      </c>
      <c r="Q1015" s="51" t="s">
        <v>534</v>
      </c>
      <c r="R1015" s="51" t="s">
        <v>246</v>
      </c>
      <c r="S1015" s="51" t="s">
        <v>909</v>
      </c>
      <c r="T1015" s="20" t="s">
        <v>317</v>
      </c>
      <c r="U1015" s="20" t="s">
        <v>318</v>
      </c>
      <c r="V1015" s="20" t="s">
        <v>444</v>
      </c>
    </row>
    <row r="1016" spans="1:22">
      <c r="A1016" s="20" t="s">
        <v>500</v>
      </c>
      <c r="B1016" s="20">
        <f>'Schattenhofer, SI Data'!A267</f>
        <v>43</v>
      </c>
      <c r="C1016" s="20">
        <f>'Schattenhofer, SI Data'!E267</f>
        <v>2250</v>
      </c>
      <c r="I1016" s="51">
        <f>'Schattenhofer, SI Data'!F267</f>
        <v>23000</v>
      </c>
      <c r="J1016" s="51">
        <f>'Schattenhofer, SI Data'!H267</f>
        <v>12075</v>
      </c>
      <c r="K1016" s="51">
        <f>'Schattenhofer, SI Data'!M267</f>
        <v>1840</v>
      </c>
      <c r="L1016" s="51">
        <f>J1016+K1016</f>
        <v>13915</v>
      </c>
      <c r="M1016" s="63">
        <f>L1016/I1016</f>
        <v>0.60499999999999998</v>
      </c>
      <c r="N1016" s="63">
        <f>K1016/L1016</f>
        <v>0.13223140495867769</v>
      </c>
      <c r="O1016" s="63" t="s">
        <v>396</v>
      </c>
      <c r="P1016" s="51" t="s">
        <v>416</v>
      </c>
      <c r="Q1016" s="51" t="s">
        <v>534</v>
      </c>
      <c r="R1016" s="51" t="s">
        <v>246</v>
      </c>
      <c r="S1016" s="51" t="s">
        <v>909</v>
      </c>
      <c r="T1016" s="20" t="s">
        <v>317</v>
      </c>
      <c r="U1016" s="20" t="s">
        <v>318</v>
      </c>
      <c r="V1016" s="20" t="s">
        <v>444</v>
      </c>
    </row>
    <row r="1017" spans="1:22">
      <c r="A1017" s="20" t="s">
        <v>500</v>
      </c>
      <c r="B1017" s="20">
        <f>'Schattenhofer, SI Data'!A268</f>
        <v>43</v>
      </c>
      <c r="C1017" s="20">
        <f>'Schattenhofer, SI Data'!E268</f>
        <v>3500</v>
      </c>
      <c r="I1017" s="51">
        <f>'Schattenhofer, SI Data'!F268</f>
        <v>22000</v>
      </c>
      <c r="J1017" s="51">
        <f>'Schattenhofer, SI Data'!H268</f>
        <v>11242</v>
      </c>
      <c r="K1017" s="51">
        <f>'Schattenhofer, SI Data'!M268</f>
        <v>4884</v>
      </c>
      <c r="L1017" s="51">
        <f>J1017+K1017</f>
        <v>16126</v>
      </c>
      <c r="M1017" s="63">
        <f>L1017/I1017</f>
        <v>0.73299999999999998</v>
      </c>
      <c r="N1017" s="63">
        <f>K1017/L1017</f>
        <v>0.30286493860845837</v>
      </c>
      <c r="O1017" s="63" t="s">
        <v>396</v>
      </c>
      <c r="P1017" s="51" t="s">
        <v>416</v>
      </c>
      <c r="Q1017" s="51" t="s">
        <v>534</v>
      </c>
      <c r="R1017" s="51" t="s">
        <v>246</v>
      </c>
      <c r="S1017" s="51" t="s">
        <v>909</v>
      </c>
      <c r="T1017" s="20" t="s">
        <v>317</v>
      </c>
      <c r="U1017" s="20" t="s">
        <v>318</v>
      </c>
      <c r="V1017" s="20" t="s">
        <v>444</v>
      </c>
    </row>
    <row r="1018" spans="1:22">
      <c r="A1018" s="20" t="s">
        <v>500</v>
      </c>
      <c r="B1018" s="20">
        <f>'Schattenhofer, SI Data'!A269</f>
        <v>43</v>
      </c>
      <c r="C1018" s="20">
        <f>'Schattenhofer, SI Data'!E269</f>
        <v>4500</v>
      </c>
      <c r="I1018" s="51">
        <f>'Schattenhofer, SI Data'!F269</f>
        <v>23000</v>
      </c>
      <c r="J1018" s="51">
        <f>'Schattenhofer, SI Data'!H269</f>
        <v>14375</v>
      </c>
      <c r="K1018" s="51">
        <f>'Schattenhofer, SI Data'!M269</f>
        <v>4231.9999999999991</v>
      </c>
      <c r="L1018" s="51">
        <f>J1018+K1018</f>
        <v>18607</v>
      </c>
      <c r="M1018" s="63">
        <f>L1018/I1018</f>
        <v>0.80900000000000005</v>
      </c>
      <c r="N1018" s="63">
        <f>K1018/L1018</f>
        <v>0.22744128553770082</v>
      </c>
      <c r="O1018" s="63" t="s">
        <v>396</v>
      </c>
      <c r="P1018" s="51" t="s">
        <v>416</v>
      </c>
      <c r="Q1018" s="51" t="s">
        <v>534</v>
      </c>
      <c r="R1018" s="51" t="s">
        <v>246</v>
      </c>
      <c r="S1018" s="51" t="s">
        <v>909</v>
      </c>
      <c r="T1018" s="20" t="s">
        <v>317</v>
      </c>
      <c r="U1018" s="20" t="s">
        <v>318</v>
      </c>
      <c r="V1018" s="20" t="s">
        <v>444</v>
      </c>
    </row>
    <row r="1019" spans="1:22">
      <c r="A1019" s="20" t="s">
        <v>500</v>
      </c>
      <c r="B1019" s="20">
        <f>'Schattenhofer, SI Data'!A270</f>
        <v>43</v>
      </c>
      <c r="C1019" s="20">
        <f>'Schattenhofer, SI Data'!E270</f>
        <v>5900</v>
      </c>
      <c r="I1019" s="51">
        <f>'Schattenhofer, SI Data'!F270</f>
        <v>19000</v>
      </c>
      <c r="J1019" s="51">
        <f>'Schattenhofer, SI Data'!H270</f>
        <v>10564</v>
      </c>
      <c r="K1019" s="51">
        <f>'Schattenhofer, SI Data'!M270</f>
        <v>3192</v>
      </c>
      <c r="L1019" s="51">
        <f>J1019+K1019</f>
        <v>13756</v>
      </c>
      <c r="M1019" s="63">
        <f>L1019/I1019</f>
        <v>0.72399999999999998</v>
      </c>
      <c r="N1019" s="63">
        <f>K1019/L1019</f>
        <v>0.23204419889502761</v>
      </c>
      <c r="O1019" s="63" t="s">
        <v>396</v>
      </c>
      <c r="P1019" s="51" t="s">
        <v>416</v>
      </c>
      <c r="Q1019" s="51" t="s">
        <v>534</v>
      </c>
      <c r="R1019" s="51" t="s">
        <v>246</v>
      </c>
      <c r="S1019" s="51" t="s">
        <v>909</v>
      </c>
      <c r="T1019" s="20" t="s">
        <v>317</v>
      </c>
      <c r="U1019" s="20" t="s">
        <v>318</v>
      </c>
      <c r="V1019" s="20" t="s">
        <v>444</v>
      </c>
    </row>
    <row r="1020" spans="1:22">
      <c r="A1020" s="20" t="s">
        <v>110</v>
      </c>
      <c r="B1020" s="20" t="s">
        <v>111</v>
      </c>
      <c r="C1020" s="20">
        <f>'Ionescu 2009'!C4</f>
        <v>43.807860618779799</v>
      </c>
      <c r="D1020" s="20">
        <f>'Ionescu 2009'!D4</f>
        <v>8150658.2855469901</v>
      </c>
      <c r="E1020" s="20">
        <f>'Ionescu 2009'!E4</f>
        <v>4829531.3619659804</v>
      </c>
      <c r="F1020" s="20">
        <f>'Ionescu 2009'!F4</f>
        <v>2298690.4074987499</v>
      </c>
      <c r="G1020" s="20">
        <f>'Ionescu 2009'!G4</f>
        <v>0</v>
      </c>
      <c r="H1020" s="20">
        <f>'Ionescu 2009'!H4</f>
        <v>0</v>
      </c>
      <c r="I1020" s="51">
        <f>'Ionescu 2009'!D4</f>
        <v>8150658.2855469901</v>
      </c>
      <c r="J1020" s="51">
        <f>'Ionescu 2009'!E4</f>
        <v>4829531.3619659804</v>
      </c>
      <c r="K1020" s="51">
        <f>'Ionescu 2009'!F4</f>
        <v>2298690.4074987499</v>
      </c>
      <c r="L1020" s="51">
        <f>J1020+K1020</f>
        <v>7128221.7694647303</v>
      </c>
      <c r="M1020" s="63">
        <f>L1020/I1020</f>
        <v>0.87455779885959917</v>
      </c>
      <c r="N1020" s="63">
        <f>K1020/L1020</f>
        <v>0.32247739784776119</v>
      </c>
      <c r="O1020" s="63" t="s">
        <v>396</v>
      </c>
      <c r="P1020" s="51" t="s">
        <v>535</v>
      </c>
      <c r="Q1020" s="51" t="s">
        <v>534</v>
      </c>
      <c r="R1020" s="51" t="s">
        <v>246</v>
      </c>
      <c r="S1020" s="51" t="s">
        <v>537</v>
      </c>
      <c r="T1020" s="51" t="s">
        <v>112</v>
      </c>
      <c r="U1020" s="20" t="s">
        <v>104</v>
      </c>
      <c r="V1020" s="51" t="s">
        <v>536</v>
      </c>
    </row>
    <row r="1021" spans="1:22">
      <c r="A1021" s="20" t="s">
        <v>110</v>
      </c>
      <c r="B1021" s="20" t="s">
        <v>111</v>
      </c>
      <c r="C1021" s="20">
        <f>'Ionescu 2009'!C5</f>
        <v>145.00273186374301</v>
      </c>
      <c r="D1021" s="20">
        <f>'Ionescu 2009'!D5</f>
        <v>10607043.953219499</v>
      </c>
      <c r="E1021" s="20">
        <f>'Ionescu 2009'!E5</f>
        <v>5344070.1535801003</v>
      </c>
      <c r="F1021" s="20">
        <f>'Ionescu 2009'!F5</f>
        <v>4205758.3602689896</v>
      </c>
      <c r="G1021" s="20">
        <f>'Ionescu 2009'!G5</f>
        <v>0</v>
      </c>
      <c r="H1021" s="20">
        <f>'Ionescu 2009'!H5</f>
        <v>0</v>
      </c>
      <c r="I1021" s="51">
        <f>'Ionescu 2009'!D5</f>
        <v>10607043.953219499</v>
      </c>
      <c r="J1021" s="51">
        <f>'Ionescu 2009'!E5</f>
        <v>5344070.1535801003</v>
      </c>
      <c r="K1021" s="51">
        <f>'Ionescu 2009'!F5</f>
        <v>4205758.3602689896</v>
      </c>
      <c r="L1021" s="51">
        <f>J1021+K1021</f>
        <v>9549828.5138490908</v>
      </c>
      <c r="M1021" s="63">
        <f>L1021/I1021</f>
        <v>0.90032892820722987</v>
      </c>
      <c r="N1021" s="63">
        <f>K1021/L1021</f>
        <v>0.44040145371928197</v>
      </c>
      <c r="O1021" s="63" t="s">
        <v>396</v>
      </c>
      <c r="P1021" s="51" t="s">
        <v>535</v>
      </c>
      <c r="Q1021" s="51" t="s">
        <v>534</v>
      </c>
      <c r="R1021" s="51" t="s">
        <v>246</v>
      </c>
      <c r="S1021" s="51" t="s">
        <v>537</v>
      </c>
      <c r="T1021" s="51" t="s">
        <v>112</v>
      </c>
      <c r="U1021" s="20" t="s">
        <v>104</v>
      </c>
      <c r="V1021" s="51" t="s">
        <v>536</v>
      </c>
    </row>
    <row r="1022" spans="1:22">
      <c r="A1022" s="20" t="s">
        <v>110</v>
      </c>
      <c r="B1022" s="20" t="s">
        <v>111</v>
      </c>
      <c r="C1022" s="20">
        <f>'Ionescu 2009'!C6</f>
        <v>251.99409032341501</v>
      </c>
      <c r="D1022" s="20">
        <f>'Ionescu 2009'!D6</f>
        <v>3515881.74519285</v>
      </c>
      <c r="E1022" s="20">
        <f>'Ionescu 2009'!E6</f>
        <v>1520541.5728386301</v>
      </c>
      <c r="F1022" s="20">
        <f>'Ionescu 2009'!F6</f>
        <v>1614208.0744020001</v>
      </c>
      <c r="G1022" s="20">
        <f>'Ionescu 2009'!G6</f>
        <v>0</v>
      </c>
      <c r="H1022" s="20">
        <f>'Ionescu 2009'!H6</f>
        <v>0</v>
      </c>
      <c r="I1022" s="51">
        <f>'Ionescu 2009'!D6</f>
        <v>3515881.74519285</v>
      </c>
      <c r="J1022" s="51">
        <f>'Ionescu 2009'!E6</f>
        <v>1520541.5728386301</v>
      </c>
      <c r="K1022" s="51">
        <f>'Ionescu 2009'!F6</f>
        <v>1614208.0744020001</v>
      </c>
      <c r="L1022" s="51">
        <f>J1022+K1022</f>
        <v>3134749.6472406304</v>
      </c>
      <c r="M1022" s="63">
        <f>L1022/I1022</f>
        <v>0.89159700878070514</v>
      </c>
      <c r="N1022" s="63">
        <f>K1022/L1022</f>
        <v>0.5149400290459909</v>
      </c>
      <c r="O1022" s="63" t="s">
        <v>396</v>
      </c>
      <c r="P1022" s="51" t="s">
        <v>535</v>
      </c>
      <c r="Q1022" s="51" t="s">
        <v>534</v>
      </c>
      <c r="R1022" s="51" t="s">
        <v>246</v>
      </c>
      <c r="S1022" s="51" t="s">
        <v>537</v>
      </c>
      <c r="T1022" s="51" t="s">
        <v>112</v>
      </c>
      <c r="U1022" s="20" t="s">
        <v>104</v>
      </c>
      <c r="V1022" s="51" t="s">
        <v>536</v>
      </c>
    </row>
    <row r="1023" spans="1:22">
      <c r="A1023" s="20" t="s">
        <v>110</v>
      </c>
      <c r="B1023" s="20" t="s">
        <v>111</v>
      </c>
      <c r="C1023" s="20">
        <f>'Ionescu 2009'!C7</f>
        <v>304.02903094580302</v>
      </c>
      <c r="D1023" s="20">
        <f>'Ionescu 2009'!D7</f>
        <v>2487750.5272241598</v>
      </c>
      <c r="E1023" s="20">
        <f>'Ionescu 2009'!E7</f>
        <v>1858228.3565754499</v>
      </c>
      <c r="F1023" s="20">
        <f>'Ionescu 2009'!F7</f>
        <v>452237.14960230398</v>
      </c>
      <c r="G1023" s="20">
        <f>'Ionescu 2009'!G7</f>
        <v>0</v>
      </c>
      <c r="H1023" s="20">
        <f>'Ionescu 2009'!H7</f>
        <v>0</v>
      </c>
      <c r="I1023" s="51">
        <f>'Ionescu 2009'!D7</f>
        <v>2487750.5272241598</v>
      </c>
      <c r="J1023" s="51">
        <f>'Ionescu 2009'!E7</f>
        <v>1858228.3565754499</v>
      </c>
      <c r="K1023" s="51">
        <f>'Ionescu 2009'!F7</f>
        <v>452237.14960230398</v>
      </c>
      <c r="L1023" s="51">
        <f>J1023+K1023</f>
        <v>2310465.5061777541</v>
      </c>
      <c r="M1023" s="63">
        <f>L1023/I1023</f>
        <v>0.92873681701347244</v>
      </c>
      <c r="N1023" s="63">
        <f>K1023/L1023</f>
        <v>0.19573421390326154</v>
      </c>
      <c r="O1023" s="63" t="s">
        <v>396</v>
      </c>
      <c r="P1023" s="51" t="s">
        <v>535</v>
      </c>
      <c r="Q1023" s="51" t="s">
        <v>534</v>
      </c>
      <c r="R1023" s="51" t="s">
        <v>246</v>
      </c>
      <c r="S1023" s="51" t="s">
        <v>537</v>
      </c>
      <c r="T1023" s="51" t="s">
        <v>112</v>
      </c>
      <c r="U1023" s="20" t="s">
        <v>104</v>
      </c>
      <c r="V1023" s="51" t="s">
        <v>536</v>
      </c>
    </row>
    <row r="1024" spans="1:22">
      <c r="A1024" s="20" t="s">
        <v>110</v>
      </c>
      <c r="B1024" s="20" t="s">
        <v>111</v>
      </c>
      <c r="C1024" s="20">
        <f>'Ionescu 2009'!C8</f>
        <v>402.97679532808701</v>
      </c>
      <c r="D1024" s="20">
        <f>'Ionescu 2009'!D8</f>
        <v>2399691.23982359</v>
      </c>
      <c r="E1024" s="20">
        <f>'Ionescu 2009'!E8</f>
        <v>1328263.8112307601</v>
      </c>
      <c r="F1024" s="20">
        <f>'Ionescu 2009'!F8</f>
        <v>859505.43904709595</v>
      </c>
      <c r="G1024" s="20">
        <f>'Ionescu 2009'!G8</f>
        <v>0</v>
      </c>
      <c r="H1024" s="20">
        <f>'Ionescu 2009'!H8</f>
        <v>0</v>
      </c>
      <c r="I1024" s="51">
        <f>'Ionescu 2009'!D8</f>
        <v>2399691.23982359</v>
      </c>
      <c r="J1024" s="51">
        <f>'Ionescu 2009'!E8</f>
        <v>1328263.8112307601</v>
      </c>
      <c r="K1024" s="51">
        <f>'Ionescu 2009'!F8</f>
        <v>859505.43904709595</v>
      </c>
      <c r="L1024" s="51">
        <f>J1024+K1024</f>
        <v>2187769.2502778559</v>
      </c>
      <c r="M1024" s="63">
        <f>L1024/I1024</f>
        <v>0.91168780965283125</v>
      </c>
      <c r="N1024" s="63">
        <f>K1024/L1024</f>
        <v>0.39286841559635921</v>
      </c>
      <c r="O1024" s="63" t="s">
        <v>396</v>
      </c>
      <c r="P1024" s="51" t="s">
        <v>535</v>
      </c>
      <c r="Q1024" s="51" t="s">
        <v>534</v>
      </c>
      <c r="R1024" s="51" t="s">
        <v>246</v>
      </c>
      <c r="S1024" s="51" t="s">
        <v>537</v>
      </c>
      <c r="T1024" s="51" t="s">
        <v>112</v>
      </c>
      <c r="U1024" s="20" t="s">
        <v>104</v>
      </c>
      <c r="V1024" s="51" t="s">
        <v>536</v>
      </c>
    </row>
    <row r="1025" spans="1:22">
      <c r="A1025" s="20" t="s">
        <v>110</v>
      </c>
      <c r="B1025" s="20" t="s">
        <v>111</v>
      </c>
      <c r="C1025" s="20">
        <f>'Ionescu 2009'!C9</f>
        <v>503.27568334890702</v>
      </c>
      <c r="D1025" s="20">
        <f>'Ionescu 2009'!D9</f>
        <v>1026160.3612528</v>
      </c>
      <c r="E1025" s="20">
        <f>'Ionescu 2009'!E9</f>
        <v>677850.62747760897</v>
      </c>
      <c r="F1025" s="20">
        <f>'Ionescu 2009'!F9</f>
        <v>289722.57540709502</v>
      </c>
      <c r="G1025" s="20">
        <f>'Ionescu 2009'!G9</f>
        <v>0</v>
      </c>
      <c r="H1025" s="20">
        <f>'Ionescu 2009'!H9</f>
        <v>0</v>
      </c>
      <c r="I1025" s="51">
        <f>'Ionescu 2009'!D9</f>
        <v>1026160.3612528</v>
      </c>
      <c r="J1025" s="51">
        <f>'Ionescu 2009'!E9</f>
        <v>677850.62747760897</v>
      </c>
      <c r="K1025" s="51">
        <f>'Ionescu 2009'!F9</f>
        <v>289722.57540709502</v>
      </c>
      <c r="L1025" s="51">
        <f>J1025+K1025</f>
        <v>967573.20288470399</v>
      </c>
      <c r="M1025" s="63">
        <f>L1025/I1025</f>
        <v>0.9429064300470843</v>
      </c>
      <c r="N1025" s="63">
        <f>K1025/L1025</f>
        <v>0.29943220269362747</v>
      </c>
      <c r="O1025" s="63" t="s">
        <v>396</v>
      </c>
      <c r="P1025" s="51" t="s">
        <v>535</v>
      </c>
      <c r="Q1025" s="51" t="s">
        <v>534</v>
      </c>
      <c r="R1025" s="51" t="s">
        <v>246</v>
      </c>
      <c r="S1025" s="51" t="s">
        <v>537</v>
      </c>
      <c r="T1025" s="51" t="s">
        <v>112</v>
      </c>
      <c r="U1025" s="20" t="s">
        <v>104</v>
      </c>
      <c r="V1025" s="51" t="s">
        <v>536</v>
      </c>
    </row>
    <row r="1026" spans="1:22">
      <c r="A1026" s="20" t="s">
        <v>110</v>
      </c>
      <c r="B1026" s="20" t="s">
        <v>111</v>
      </c>
      <c r="C1026" s="20">
        <f>'Ionescu 2009'!C10</f>
        <v>604.47770339619103</v>
      </c>
      <c r="D1026" s="20">
        <f>'Ionescu 2009'!D10</f>
        <v>3402199.6183901201</v>
      </c>
      <c r="E1026" s="20">
        <f>'Ionescu 2009'!E10</f>
        <v>1661005.8364864599</v>
      </c>
      <c r="F1026" s="20">
        <f>'Ionescu 2009'!F10</f>
        <v>1433499.6280920601</v>
      </c>
      <c r="G1026" s="20">
        <f>'Ionescu 2009'!G10</f>
        <v>0</v>
      </c>
      <c r="H1026" s="20">
        <f>'Ionescu 2009'!H10</f>
        <v>0</v>
      </c>
      <c r="I1026" s="51">
        <f>'Ionescu 2009'!D10</f>
        <v>3402199.6183901201</v>
      </c>
      <c r="J1026" s="51">
        <f>'Ionescu 2009'!E10</f>
        <v>1661005.8364864599</v>
      </c>
      <c r="K1026" s="51">
        <f>'Ionescu 2009'!F10</f>
        <v>1433499.6280920601</v>
      </c>
      <c r="L1026" s="51">
        <f>J1026+K1026</f>
        <v>3094505.46457852</v>
      </c>
      <c r="M1026" s="63">
        <f>L1026/I1026</f>
        <v>0.90956022916809409</v>
      </c>
      <c r="N1026" s="63">
        <f>K1026/L1026</f>
        <v>0.46324029622849822</v>
      </c>
      <c r="O1026" s="63" t="s">
        <v>396</v>
      </c>
      <c r="P1026" s="51" t="s">
        <v>535</v>
      </c>
      <c r="Q1026" s="51" t="s">
        <v>534</v>
      </c>
      <c r="R1026" s="51" t="s">
        <v>246</v>
      </c>
      <c r="S1026" s="51" t="s">
        <v>537</v>
      </c>
      <c r="T1026" s="51" t="s">
        <v>112</v>
      </c>
      <c r="U1026" s="20" t="s">
        <v>104</v>
      </c>
      <c r="V1026" s="51" t="s">
        <v>536</v>
      </c>
    </row>
    <row r="1027" spans="1:22">
      <c r="A1027" s="20" t="s">
        <v>110</v>
      </c>
      <c r="B1027" s="20" t="s">
        <v>111</v>
      </c>
      <c r="C1027" s="20">
        <f>'Ionescu 2009'!C11</f>
        <v>719.88558512095995</v>
      </c>
      <c r="D1027" s="20">
        <f>'Ionescu 2009'!D11</f>
        <v>12916530.073479399</v>
      </c>
      <c r="E1027" s="20">
        <f>'Ionescu 2009'!E11</f>
        <v>7613596.0007557198</v>
      </c>
      <c r="F1027" s="20">
        <f>'Ionescu 2009'!F11</f>
        <v>4212406.57621729</v>
      </c>
      <c r="G1027" s="20">
        <f>'Ionescu 2009'!G11</f>
        <v>0</v>
      </c>
      <c r="H1027" s="20">
        <f>'Ionescu 2009'!H11</f>
        <v>0</v>
      </c>
      <c r="I1027" s="51">
        <f>'Ionescu 2009'!D11</f>
        <v>12916530.073479399</v>
      </c>
      <c r="J1027" s="51">
        <f>'Ionescu 2009'!E11</f>
        <v>7613596.0007557198</v>
      </c>
      <c r="K1027" s="51">
        <f>'Ionescu 2009'!F11</f>
        <v>4212406.57621729</v>
      </c>
      <c r="L1027" s="51">
        <f>J1027+K1027</f>
        <v>11826002.57697301</v>
      </c>
      <c r="M1027" s="63">
        <f>L1027/I1027</f>
        <v>0.91557117195542381</v>
      </c>
      <c r="N1027" s="63">
        <f>K1027/L1027</f>
        <v>0.35619868580271358</v>
      </c>
      <c r="O1027" s="63" t="s">
        <v>396</v>
      </c>
      <c r="P1027" s="51" t="s">
        <v>535</v>
      </c>
      <c r="Q1027" s="51" t="s">
        <v>534</v>
      </c>
      <c r="R1027" s="51" t="s">
        <v>246</v>
      </c>
      <c r="S1027" s="51" t="s">
        <v>537</v>
      </c>
      <c r="T1027" s="51" t="s">
        <v>112</v>
      </c>
      <c r="U1027" s="20" t="s">
        <v>104</v>
      </c>
      <c r="V1027" s="51" t="s">
        <v>536</v>
      </c>
    </row>
    <row r="1028" spans="1:22">
      <c r="A1028" s="20" t="s">
        <v>851</v>
      </c>
      <c r="B1028" s="20" t="s">
        <v>852</v>
      </c>
      <c r="C1028" s="20">
        <f>'Wakeham 2007 Figure 4'!A4</f>
        <v>9.8772960211021399</v>
      </c>
      <c r="I1028" s="51">
        <f>'Wakeham 2007 Figure 4'!F4</f>
        <v>401019.60021669901</v>
      </c>
      <c r="J1028" s="51">
        <f>'Wakeham 2007 Figure 4'!G4</f>
        <v>225442.11742688745</v>
      </c>
      <c r="K1028" s="51">
        <f>'Wakeham 2007 Figure 4'!I4</f>
        <v>85781.164293274996</v>
      </c>
      <c r="L1028" s="51">
        <f>J1028+K1028</f>
        <v>311223.28172016243</v>
      </c>
      <c r="M1028" s="63">
        <f>L1028/I1028</f>
        <v>0.77607997602108891</v>
      </c>
      <c r="N1028" s="63">
        <f>K1028/L1028</f>
        <v>0.27562579450725494</v>
      </c>
      <c r="O1028" s="63" t="s">
        <v>396</v>
      </c>
      <c r="P1028" s="51" t="s">
        <v>367</v>
      </c>
      <c r="Q1028" s="51" t="s">
        <v>263</v>
      </c>
      <c r="R1028" s="51" t="s">
        <v>537</v>
      </c>
      <c r="S1028" s="51" t="s">
        <v>224</v>
      </c>
      <c r="T1028" s="20" t="s">
        <v>701</v>
      </c>
      <c r="U1028" s="20" t="s">
        <v>414</v>
      </c>
      <c r="V1028" s="51" t="s">
        <v>536</v>
      </c>
    </row>
    <row r="1029" spans="1:22">
      <c r="A1029" s="20" t="s">
        <v>851</v>
      </c>
      <c r="B1029" s="20" t="s">
        <v>852</v>
      </c>
      <c r="C1029" s="20">
        <f>'Wakeham 2007 Figure 4'!A5</f>
        <v>29.274395483793299</v>
      </c>
      <c r="I1029" s="51">
        <f>'Wakeham 2007 Figure 4'!F5</f>
        <v>520621.206017586</v>
      </c>
      <c r="J1029" s="51">
        <f>'Wakeham 2007 Figure 4'!G5</f>
        <v>201067.50025506708</v>
      </c>
      <c r="K1029" s="51">
        <f>'Wakeham 2007 Figure 4'!I5</f>
        <v>71427.764649648991</v>
      </c>
      <c r="L1029" s="51">
        <f>J1029+K1029</f>
        <v>272495.26490471605</v>
      </c>
      <c r="M1029" s="63">
        <f>L1029/I1029</f>
        <v>0.52340408295913987</v>
      </c>
      <c r="N1029" s="63">
        <f>K1029/L1029</f>
        <v>0.26212479205693823</v>
      </c>
      <c r="O1029" s="63" t="s">
        <v>396</v>
      </c>
      <c r="P1029" s="51" t="s">
        <v>367</v>
      </c>
      <c r="Q1029" s="51" t="s">
        <v>263</v>
      </c>
      <c r="R1029" s="51" t="s">
        <v>537</v>
      </c>
      <c r="S1029" s="51" t="s">
        <v>224</v>
      </c>
      <c r="T1029" s="20" t="s">
        <v>701</v>
      </c>
      <c r="U1029" s="20" t="s">
        <v>414</v>
      </c>
      <c r="V1029" s="51" t="s">
        <v>536</v>
      </c>
    </row>
    <row r="1030" spans="1:22">
      <c r="A1030" s="20" t="s">
        <v>851</v>
      </c>
      <c r="B1030" s="20" t="s">
        <v>852</v>
      </c>
      <c r="C1030" s="20">
        <f>'Wakeham 2007 Figure 4'!A6</f>
        <v>61.405002495507901</v>
      </c>
      <c r="I1030" s="51">
        <f>'Wakeham 2007 Figure 4'!F6</f>
        <v>304004.77850782697</v>
      </c>
      <c r="J1030" s="51">
        <f>'Wakeham 2007 Figure 4'!G6</f>
        <v>127683.19580218599</v>
      </c>
      <c r="K1030" s="51">
        <f>'Wakeham 2007 Figure 4'!I6</f>
        <v>98242.910678185392</v>
      </c>
      <c r="L1030" s="51">
        <f>J1030+K1030</f>
        <v>225926.10648037138</v>
      </c>
      <c r="M1030" s="63">
        <f>L1030/I1030</f>
        <v>0.74316630017891194</v>
      </c>
      <c r="N1030" s="63">
        <f>K1030/L1030</f>
        <v>0.43484532269722803</v>
      </c>
      <c r="O1030" s="63" t="s">
        <v>396</v>
      </c>
      <c r="P1030" s="51" t="s">
        <v>367</v>
      </c>
      <c r="Q1030" s="51" t="s">
        <v>263</v>
      </c>
      <c r="R1030" s="51" t="s">
        <v>537</v>
      </c>
      <c r="S1030" s="51" t="s">
        <v>224</v>
      </c>
      <c r="T1030" s="20" t="s">
        <v>701</v>
      </c>
      <c r="U1030" s="20" t="s">
        <v>414</v>
      </c>
      <c r="V1030" s="51" t="s">
        <v>536</v>
      </c>
    </row>
    <row r="1031" spans="1:22">
      <c r="A1031" s="20" t="s">
        <v>851</v>
      </c>
      <c r="B1031" s="20" t="s">
        <v>852</v>
      </c>
      <c r="C1031" s="20">
        <f>'Wakeham 2007 Figure 4'!A7</f>
        <v>68.621645196072606</v>
      </c>
      <c r="I1031" s="51">
        <f>'Wakeham 2007 Figure 4'!F7</f>
        <v>416071.89987359103</v>
      </c>
      <c r="J1031" s="51">
        <f>'Wakeham 2007 Figure 4'!G7</f>
        <v>220106.51529785764</v>
      </c>
      <c r="K1031" s="51">
        <f>'Wakeham 2007 Figure 4'!I7</f>
        <v>125908.85484891289</v>
      </c>
      <c r="L1031" s="51">
        <f>J1031+K1031</f>
        <v>346015.3701467705</v>
      </c>
      <c r="M1031" s="63">
        <f>L1031/I1031</f>
        <v>0.83162398194133091</v>
      </c>
      <c r="N1031" s="63">
        <f>K1031/L1031</f>
        <v>0.36388225989933831</v>
      </c>
      <c r="O1031" s="63" t="s">
        <v>396</v>
      </c>
      <c r="P1031" s="51" t="s">
        <v>367</v>
      </c>
      <c r="Q1031" s="51" t="s">
        <v>263</v>
      </c>
      <c r="R1031" s="51" t="s">
        <v>537</v>
      </c>
      <c r="S1031" s="51" t="s">
        <v>224</v>
      </c>
      <c r="T1031" s="20" t="s">
        <v>701</v>
      </c>
      <c r="U1031" s="20" t="s">
        <v>414</v>
      </c>
      <c r="V1031" s="51" t="s">
        <v>536</v>
      </c>
    </row>
    <row r="1032" spans="1:22">
      <c r="A1032" s="20" t="s">
        <v>851</v>
      </c>
      <c r="B1032" s="20" t="s">
        <v>852</v>
      </c>
      <c r="C1032" s="20">
        <f>'Wakeham 2007 Figure 4'!A8</f>
        <v>75.745453193273306</v>
      </c>
      <c r="I1032" s="51">
        <f>'Wakeham 2007 Figure 4'!F8</f>
        <v>450402.14477211703</v>
      </c>
      <c r="J1032" s="51">
        <f>'Wakeham 2007 Figure 4'!G8</f>
        <v>275902.68726682424</v>
      </c>
      <c r="K1032" s="51">
        <f>'Wakeham 2007 Figure 4'!I8</f>
        <v>113103.1407449457</v>
      </c>
      <c r="L1032" s="51">
        <f>J1032+K1032</f>
        <v>389005.82801176992</v>
      </c>
      <c r="M1032" s="63">
        <f>L1032/I1032</f>
        <v>0.86368555862137186</v>
      </c>
      <c r="N1032" s="63">
        <f>K1032/L1032</f>
        <v>0.29074921916471547</v>
      </c>
      <c r="O1032" s="63" t="s">
        <v>396</v>
      </c>
      <c r="P1032" s="51" t="s">
        <v>367</v>
      </c>
      <c r="Q1032" s="51" t="s">
        <v>263</v>
      </c>
      <c r="R1032" s="51" t="s">
        <v>537</v>
      </c>
      <c r="S1032" s="51" t="s">
        <v>224</v>
      </c>
      <c r="T1032" s="20" t="s">
        <v>701</v>
      </c>
      <c r="U1032" s="20" t="s">
        <v>414</v>
      </c>
      <c r="V1032" s="51" t="s">
        <v>536</v>
      </c>
    </row>
    <row r="1033" spans="1:22">
      <c r="A1033" s="20" t="s">
        <v>851</v>
      </c>
      <c r="B1033" s="20" t="s">
        <v>852</v>
      </c>
      <c r="C1033" s="20">
        <f>'Wakeham 2007 Figure 4'!A9</f>
        <v>82.582890651671704</v>
      </c>
      <c r="I1033" s="51">
        <f>'Wakeham 2007 Figure 4'!F9</f>
        <v>354145.772270763</v>
      </c>
      <c r="J1033" s="51">
        <f>'Wakeham 2007 Figure 4'!G9</f>
        <v>231123.87703459896</v>
      </c>
      <c r="K1033" s="51">
        <f>'Wakeham 2007 Figure 4'!I9</f>
        <v>156495.99049102687</v>
      </c>
      <c r="L1033" s="51">
        <f>J1033+K1033</f>
        <v>387619.86752562586</v>
      </c>
      <c r="M1033" s="63">
        <f>L1033/I1033</f>
        <v>1.0945206688201552</v>
      </c>
      <c r="N1033" s="63">
        <f>K1033/L1033</f>
        <v>0.4037357308076599</v>
      </c>
      <c r="O1033" s="63" t="s">
        <v>396</v>
      </c>
      <c r="P1033" s="51" t="s">
        <v>367</v>
      </c>
      <c r="Q1033" s="51" t="s">
        <v>263</v>
      </c>
      <c r="R1033" s="51" t="s">
        <v>537</v>
      </c>
      <c r="S1033" s="51" t="s">
        <v>224</v>
      </c>
      <c r="T1033" s="20" t="s">
        <v>701</v>
      </c>
      <c r="U1033" s="20" t="s">
        <v>414</v>
      </c>
      <c r="V1033" s="51" t="s">
        <v>536</v>
      </c>
    </row>
    <row r="1034" spans="1:22">
      <c r="A1034" s="20" t="s">
        <v>851</v>
      </c>
      <c r="B1034" s="20" t="s">
        <v>852</v>
      </c>
      <c r="C1034" s="20">
        <f>'Wakeham 2007 Figure 4'!A10</f>
        <v>90.037534147219404</v>
      </c>
      <c r="I1034" s="51">
        <f>'Wakeham 2007 Figure 4'!F10</f>
        <v>338718.41531345004</v>
      </c>
      <c r="J1034" s="51">
        <f>'Wakeham 2007 Figure 4'!G10</f>
        <v>176867.67637623311</v>
      </c>
      <c r="K1034" s="51">
        <f>'Wakeham 2007 Figure 4'!I10</f>
        <v>110408.91921570385</v>
      </c>
      <c r="L1034" s="51">
        <f>J1034+K1034</f>
        <v>287276.59559193696</v>
      </c>
      <c r="M1034" s="63">
        <f>L1034/I1034</f>
        <v>0.84812806922851003</v>
      </c>
      <c r="N1034" s="63">
        <f>K1034/L1034</f>
        <v>0.38432967011532881</v>
      </c>
      <c r="O1034" s="63" t="s">
        <v>396</v>
      </c>
      <c r="P1034" s="51" t="s">
        <v>367</v>
      </c>
      <c r="Q1034" s="51" t="s">
        <v>263</v>
      </c>
      <c r="R1034" s="51" t="s">
        <v>537</v>
      </c>
      <c r="S1034" s="51" t="s">
        <v>224</v>
      </c>
      <c r="T1034" s="20" t="s">
        <v>701</v>
      </c>
      <c r="U1034" s="20" t="s">
        <v>414</v>
      </c>
      <c r="V1034" s="51" t="s">
        <v>536</v>
      </c>
    </row>
    <row r="1035" spans="1:22">
      <c r="A1035" s="20" t="s">
        <v>851</v>
      </c>
      <c r="B1035" s="20" t="s">
        <v>852</v>
      </c>
      <c r="C1035" s="20">
        <f>'Wakeham 2007 Figure 4'!A11</f>
        <v>99.384586436238294</v>
      </c>
      <c r="I1035" s="51">
        <f>'Wakeham 2007 Figure 4'!F11</f>
        <v>335742.96073011099</v>
      </c>
      <c r="J1035" s="51">
        <f>'Wakeham 2007 Figure 4'!G11</f>
        <v>169277.73605873206</v>
      </c>
      <c r="K1035" s="51">
        <f>'Wakeham 2007 Figure 4'!I11</f>
        <v>93016.80246420468</v>
      </c>
      <c r="L1035" s="51">
        <f>J1035+K1035</f>
        <v>262294.53852293675</v>
      </c>
      <c r="M1035" s="63">
        <f>L1035/I1035</f>
        <v>0.78123615146702596</v>
      </c>
      <c r="N1035" s="63">
        <f>K1035/L1035</f>
        <v>0.35462729414044081</v>
      </c>
      <c r="O1035" s="63" t="s">
        <v>396</v>
      </c>
      <c r="P1035" s="51" t="s">
        <v>367</v>
      </c>
      <c r="Q1035" s="51" t="s">
        <v>263</v>
      </c>
      <c r="R1035" s="51" t="s">
        <v>537</v>
      </c>
      <c r="S1035" s="51" t="s">
        <v>224</v>
      </c>
      <c r="T1035" s="20" t="s">
        <v>701</v>
      </c>
      <c r="U1035" s="20" t="s">
        <v>414</v>
      </c>
      <c r="V1035" s="51" t="s">
        <v>536</v>
      </c>
    </row>
    <row r="1036" spans="1:22">
      <c r="A1036" s="20" t="s">
        <v>851</v>
      </c>
      <c r="B1036" s="20" t="s">
        <v>852</v>
      </c>
      <c r="C1036" s="20">
        <f>'Wakeham 2007 Figure 4'!A12</f>
        <v>115.255643115678</v>
      </c>
      <c r="I1036" s="51">
        <f>'Wakeham 2007 Figure 4'!F12</f>
        <v>289310.86693800398</v>
      </c>
      <c r="J1036" s="51">
        <f>'Wakeham 2007 Figure 4'!G12</f>
        <v>141726.40388221719</v>
      </c>
      <c r="K1036" s="51">
        <f>'Wakeham 2007 Figure 4'!I12</f>
        <v>82413.796493049405</v>
      </c>
      <c r="L1036" s="51">
        <f>J1036+K1036</f>
        <v>224140.20037526661</v>
      </c>
      <c r="M1036" s="63">
        <f>L1036/I1036</f>
        <v>0.77473826941764101</v>
      </c>
      <c r="N1036" s="63">
        <f>K1036/L1036</f>
        <v>0.36768860005955267</v>
      </c>
      <c r="O1036" s="63" t="s">
        <v>396</v>
      </c>
      <c r="P1036" s="51" t="s">
        <v>367</v>
      </c>
      <c r="Q1036" s="51" t="s">
        <v>263</v>
      </c>
      <c r="R1036" s="51" t="s">
        <v>537</v>
      </c>
      <c r="S1036" s="51" t="s">
        <v>224</v>
      </c>
      <c r="T1036" s="20" t="s">
        <v>701</v>
      </c>
      <c r="U1036" s="20" t="s">
        <v>414</v>
      </c>
      <c r="V1036" s="51" t="s">
        <v>536</v>
      </c>
    </row>
    <row r="1037" spans="1:22">
      <c r="A1037" s="20" t="s">
        <v>851</v>
      </c>
      <c r="B1037" s="20" t="s">
        <v>852</v>
      </c>
      <c r="C1037" s="20">
        <f>'Wakeham 2007 Figure 4'!A13</f>
        <v>128.80109970369</v>
      </c>
      <c r="I1037" s="51">
        <f>'Wakeham 2007 Figure 4'!F13</f>
        <v>280134.46498770599</v>
      </c>
      <c r="J1037" s="51">
        <f>'Wakeham 2007 Figure 4'!G13</f>
        <v>128135.86192044601</v>
      </c>
      <c r="K1037" s="51">
        <f>'Wakeham 2007 Figure 4'!I13</f>
        <v>94256.926240214641</v>
      </c>
      <c r="L1037" s="51">
        <f>J1037+K1037</f>
        <v>222392.78816066065</v>
      </c>
      <c r="M1037" s="63">
        <f>L1037/I1037</f>
        <v>0.79387871167662505</v>
      </c>
      <c r="N1037" s="63">
        <f>K1037/L1037</f>
        <v>0.42383085809474047</v>
      </c>
      <c r="O1037" s="63" t="s">
        <v>396</v>
      </c>
      <c r="P1037" s="51" t="s">
        <v>367</v>
      </c>
      <c r="Q1037" s="51" t="s">
        <v>263</v>
      </c>
      <c r="R1037" s="51" t="s">
        <v>537</v>
      </c>
      <c r="S1037" s="51" t="s">
        <v>224</v>
      </c>
      <c r="T1037" s="20" t="s">
        <v>701</v>
      </c>
      <c r="U1037" s="20" t="s">
        <v>414</v>
      </c>
      <c r="V1037" s="51" t="s">
        <v>536</v>
      </c>
    </row>
    <row r="1038" spans="1:22">
      <c r="A1038" s="20" t="s">
        <v>851</v>
      </c>
      <c r="B1038" s="20" t="s">
        <v>852</v>
      </c>
      <c r="C1038" s="20">
        <f>'Wakeham 2007 Figure 4'!A14</f>
        <v>158.881154178956</v>
      </c>
      <c r="I1038" s="51">
        <f>'Wakeham 2007 Figure 4'!F14</f>
        <v>299070.69135562301</v>
      </c>
      <c r="J1038" s="51">
        <f>'Wakeham 2007 Figure 4'!G14</f>
        <v>132557.89100421651</v>
      </c>
      <c r="K1038" s="51">
        <f>'Wakeham 2007 Figure 4'!I14</f>
        <v>71373.51000326006</v>
      </c>
      <c r="L1038" s="51">
        <f>J1038+K1038</f>
        <v>203931.40100747655</v>
      </c>
      <c r="M1038" s="63">
        <f>L1038/I1038</f>
        <v>0.68188360445184193</v>
      </c>
      <c r="N1038" s="63">
        <f>K1038/L1038</f>
        <v>0.34998783733478767</v>
      </c>
      <c r="O1038" s="63" t="s">
        <v>396</v>
      </c>
      <c r="P1038" s="51" t="s">
        <v>367</v>
      </c>
      <c r="Q1038" s="51" t="s">
        <v>263</v>
      </c>
      <c r="R1038" s="51" t="s">
        <v>537</v>
      </c>
      <c r="S1038" s="51" t="s">
        <v>224</v>
      </c>
      <c r="T1038" s="20" t="s">
        <v>701</v>
      </c>
      <c r="U1038" s="20" t="s">
        <v>414</v>
      </c>
      <c r="V1038" s="51" t="s">
        <v>536</v>
      </c>
    </row>
    <row r="1039" spans="1:22">
      <c r="A1039" s="20" t="s">
        <v>851</v>
      </c>
      <c r="B1039" s="20" t="s">
        <v>852</v>
      </c>
      <c r="C1039" s="20">
        <f>'Wakeham 2007 Figure 4'!A15</f>
        <v>195.98606852977099</v>
      </c>
      <c r="I1039" s="51">
        <f>'Wakeham 2007 Figure 4'!F15</f>
        <v>311789.30114323</v>
      </c>
      <c r="J1039" s="51">
        <f>'Wakeham 2007 Figure 4'!G15</f>
        <v>143971.48908699458</v>
      </c>
      <c r="K1039" s="51">
        <f>'Wakeham 2007 Figure 4'!I15</f>
        <v>59981.190127757218</v>
      </c>
      <c r="L1039" s="51">
        <f>J1039+K1039</f>
        <v>203952.67921475181</v>
      </c>
      <c r="M1039" s="63">
        <f>L1039/I1039</f>
        <v>0.65413623388270103</v>
      </c>
      <c r="N1039" s="63">
        <f>K1039/L1039</f>
        <v>0.29409366113107083</v>
      </c>
      <c r="O1039" s="63" t="s">
        <v>396</v>
      </c>
      <c r="P1039" s="51" t="s">
        <v>367</v>
      </c>
      <c r="Q1039" s="51" t="s">
        <v>263</v>
      </c>
      <c r="R1039" s="51" t="s">
        <v>537</v>
      </c>
      <c r="S1039" s="51" t="s">
        <v>224</v>
      </c>
      <c r="T1039" s="20" t="s">
        <v>701</v>
      </c>
      <c r="U1039" s="20" t="s">
        <v>414</v>
      </c>
      <c r="V1039" s="51" t="s">
        <v>536</v>
      </c>
    </row>
    <row r="1040" spans="1:22">
      <c r="A1040" s="20" t="s">
        <v>851</v>
      </c>
      <c r="B1040" s="20" t="s">
        <v>852</v>
      </c>
      <c r="C1040" s="20">
        <f>'Wakeham 2007 Figure 4'!A16</f>
        <v>294.55669670240798</v>
      </c>
      <c r="I1040" s="51">
        <f>'Wakeham 2007 Figure 4'!F16</f>
        <v>340318.65979524597</v>
      </c>
      <c r="J1040" s="51">
        <f>'Wakeham 2007 Figure 4'!G16</f>
        <v>117858.88106605671</v>
      </c>
      <c r="K1040" s="51">
        <f>'Wakeham 2007 Figure 4'!I16</f>
        <v>35728.215503288586</v>
      </c>
      <c r="L1040" s="51">
        <f>J1040+K1040</f>
        <v>153587.0965693453</v>
      </c>
      <c r="M1040" s="63">
        <f>L1040/I1040</f>
        <v>0.45130377705927605</v>
      </c>
      <c r="N1040" s="63">
        <f>K1040/L1040</f>
        <v>0.23262511175316819</v>
      </c>
      <c r="O1040" s="63" t="s">
        <v>396</v>
      </c>
      <c r="P1040" s="51" t="s">
        <v>367</v>
      </c>
      <c r="Q1040" s="51" t="s">
        <v>263</v>
      </c>
      <c r="R1040" s="51" t="s">
        <v>537</v>
      </c>
      <c r="S1040" s="51" t="s">
        <v>224</v>
      </c>
      <c r="T1040" s="20" t="s">
        <v>701</v>
      </c>
      <c r="U1040" s="20" t="s">
        <v>414</v>
      </c>
      <c r="V1040" s="51" t="s">
        <v>536</v>
      </c>
    </row>
    <row r="1041" spans="1:22">
      <c r="A1041" s="20" t="s">
        <v>851</v>
      </c>
      <c r="B1041" s="20" t="s">
        <v>852</v>
      </c>
      <c r="C1041" s="20">
        <f>'Wakeham 2007 Figure 4'!A17</f>
        <v>401.06721120210199</v>
      </c>
      <c r="I1041" s="51">
        <f>'Wakeham 2007 Figure 4'!F17</f>
        <v>188403.78391143001</v>
      </c>
      <c r="J1041" s="51">
        <f>'Wakeham 2007 Figure 4'!G17</f>
        <v>79682.899220048028</v>
      </c>
      <c r="K1041" s="51">
        <f>'Wakeham 2007 Figure 4'!I17</f>
        <v>26123.148098825633</v>
      </c>
      <c r="L1041" s="51">
        <f>J1041+K1041</f>
        <v>105806.04731887367</v>
      </c>
      <c r="M1041" s="63">
        <f>L1041/I1041</f>
        <v>0.56159194429244508</v>
      </c>
      <c r="N1041" s="63">
        <f>K1041/L1041</f>
        <v>0.24689655044098591</v>
      </c>
      <c r="O1041" s="63" t="s">
        <v>396</v>
      </c>
      <c r="P1041" s="51" t="s">
        <v>367</v>
      </c>
      <c r="Q1041" s="51" t="s">
        <v>263</v>
      </c>
      <c r="R1041" s="51" t="s">
        <v>537</v>
      </c>
      <c r="S1041" s="51" t="s">
        <v>224</v>
      </c>
      <c r="T1041" s="20" t="s">
        <v>701</v>
      </c>
      <c r="U1041" s="20" t="s">
        <v>414</v>
      </c>
      <c r="V1041" s="51" t="s">
        <v>536</v>
      </c>
    </row>
    <row r="1042" spans="1:22">
      <c r="A1042" s="20" t="s">
        <v>851</v>
      </c>
      <c r="B1042" s="20" t="s">
        <v>852</v>
      </c>
      <c r="C1042" s="20">
        <f>'Wakeham 2007 Figure 4'!A18</f>
        <v>595.38642396189698</v>
      </c>
      <c r="I1042" s="51">
        <f>'Wakeham 2007 Figure 4'!F18</f>
        <v>263548.59770242596</v>
      </c>
      <c r="J1042" s="51">
        <f>'Wakeham 2007 Figure 4'!G18</f>
        <v>97301.077785842208</v>
      </c>
      <c r="K1042" s="51">
        <f>'Wakeham 2007 Figure 4'!I18</f>
        <v>21657.362688631874</v>
      </c>
      <c r="L1042" s="51">
        <f>J1042+K1042</f>
        <v>118958.44047447408</v>
      </c>
      <c r="M1042" s="63">
        <f>L1042/I1042</f>
        <v>0.45137193485958382</v>
      </c>
      <c r="N1042" s="63">
        <f>K1042/L1042</f>
        <v>0.18205822640453226</v>
      </c>
      <c r="O1042" s="63" t="s">
        <v>396</v>
      </c>
      <c r="P1042" s="51" t="s">
        <v>367</v>
      </c>
      <c r="Q1042" s="51" t="s">
        <v>263</v>
      </c>
      <c r="R1042" s="51" t="s">
        <v>537</v>
      </c>
      <c r="S1042" s="51" t="s">
        <v>224</v>
      </c>
      <c r="T1042" s="20" t="s">
        <v>701</v>
      </c>
      <c r="U1042" s="20" t="s">
        <v>414</v>
      </c>
      <c r="V1042" s="51" t="s">
        <v>536</v>
      </c>
    </row>
    <row r="1043" spans="1:22">
      <c r="A1043" s="20" t="s">
        <v>851</v>
      </c>
      <c r="B1043" s="20" t="s">
        <v>852</v>
      </c>
      <c r="C1043" s="20">
        <f>'Wakeham 2007 Figure 4'!A19</f>
        <v>800.72844145120098</v>
      </c>
      <c r="I1043" s="51">
        <f>'Wakeham 2007 Figure 4'!F19</f>
        <v>332342.44120629499</v>
      </c>
      <c r="J1043" s="51">
        <f>'Wakeham 2007 Figure 4'!G19</f>
        <v>116815.3440885311</v>
      </c>
      <c r="K1043" s="51">
        <f>'Wakeham 2007 Figure 4'!I19</f>
        <v>39354.951822018251</v>
      </c>
      <c r="L1043" s="51">
        <f>J1043+K1043</f>
        <v>156170.29591054935</v>
      </c>
      <c r="M1043" s="63">
        <f>L1043/I1043</f>
        <v>0.46990777146518503</v>
      </c>
      <c r="N1043" s="63">
        <f>K1043/L1043</f>
        <v>0.25200023853806253</v>
      </c>
      <c r="O1043" s="63" t="s">
        <v>396</v>
      </c>
      <c r="P1043" s="51" t="s">
        <v>367</v>
      </c>
      <c r="Q1043" s="51" t="s">
        <v>263</v>
      </c>
      <c r="R1043" s="51" t="s">
        <v>537</v>
      </c>
      <c r="S1043" s="51" t="s">
        <v>224</v>
      </c>
      <c r="T1043" s="20" t="s">
        <v>701</v>
      </c>
      <c r="U1043" s="20" t="s">
        <v>414</v>
      </c>
      <c r="V1043" s="51" t="s">
        <v>536</v>
      </c>
    </row>
    <row r="1044" spans="1:22">
      <c r="A1044" s="20" t="s">
        <v>851</v>
      </c>
      <c r="B1044" s="20" t="s">
        <v>852</v>
      </c>
      <c r="C1044" s="20">
        <f>'Wakeham 2007 Figure 4'!A20</f>
        <v>999.99999999999898</v>
      </c>
      <c r="I1044" s="51">
        <f>'Wakeham 2007 Figure 4'!F20</f>
        <v>220725.38860103599</v>
      </c>
      <c r="J1044" s="51">
        <f>'Wakeham 2007 Figure 4'!G20</f>
        <v>34429.288733267094</v>
      </c>
      <c r="K1044" s="51">
        <f>'Wakeham 2007 Figure 4'!I20</f>
        <v>15354.968785396017</v>
      </c>
      <c r="L1044" s="51">
        <f>J1044+K1044</f>
        <v>49784.257518663115</v>
      </c>
      <c r="M1044" s="63">
        <f>L1044/I1044</f>
        <v>0.2255483967394834</v>
      </c>
      <c r="N1044" s="63">
        <f>K1044/L1044</f>
        <v>0.30843020566571167</v>
      </c>
      <c r="O1044" s="63" t="s">
        <v>396</v>
      </c>
      <c r="P1044" s="51" t="s">
        <v>367</v>
      </c>
      <c r="Q1044" s="51" t="s">
        <v>263</v>
      </c>
      <c r="R1044" s="51" t="s">
        <v>537</v>
      </c>
      <c r="S1044" s="51" t="s">
        <v>224</v>
      </c>
      <c r="T1044" s="20" t="s">
        <v>701</v>
      </c>
      <c r="U1044" s="20" t="s">
        <v>414</v>
      </c>
      <c r="V1044" s="51" t="s">
        <v>536</v>
      </c>
    </row>
    <row r="1045" spans="1:22">
      <c r="A1045" s="20" t="s">
        <v>851</v>
      </c>
      <c r="B1045" s="20" t="s">
        <v>852</v>
      </c>
      <c r="C1045" s="20">
        <f>'Wakeham 2007 Figure 4'!A21</f>
        <v>1502.94711717053</v>
      </c>
      <c r="I1045" s="51">
        <f>'Wakeham 2007 Figure 4'!F21</f>
        <v>227493.08922196398</v>
      </c>
      <c r="J1045" s="51">
        <f>'Wakeham 2007 Figure 4'!G21</f>
        <v>45528.8015617653</v>
      </c>
      <c r="K1045" s="51">
        <f>'Wakeham 2007 Figure 4'!I21</f>
        <v>19980.27069842588</v>
      </c>
      <c r="L1045" s="51">
        <f>J1045+K1045</f>
        <v>65509.072260191184</v>
      </c>
      <c r="M1045" s="63">
        <f>L1045/I1045</f>
        <v>0.28796071337478862</v>
      </c>
      <c r="N1045" s="63">
        <f>K1045/L1045</f>
        <v>0.30500005585589052</v>
      </c>
      <c r="O1045" s="63" t="s">
        <v>396</v>
      </c>
      <c r="P1045" s="51" t="s">
        <v>367</v>
      </c>
      <c r="Q1045" s="51" t="s">
        <v>263</v>
      </c>
      <c r="R1045" s="51" t="s">
        <v>537</v>
      </c>
      <c r="S1045" s="51" t="s">
        <v>224</v>
      </c>
      <c r="T1045" s="20" t="s">
        <v>701</v>
      </c>
      <c r="U1045" s="20" t="s">
        <v>414</v>
      </c>
      <c r="V1045" s="51" t="s">
        <v>536</v>
      </c>
    </row>
    <row r="1046" spans="1:22">
      <c r="A1046" s="20" t="s">
        <v>851</v>
      </c>
      <c r="B1046" s="20" t="s">
        <v>852</v>
      </c>
      <c r="C1046" s="20">
        <f>'Wakeham 2007 Figure 4'!A22</f>
        <v>1971.9966199739499</v>
      </c>
      <c r="I1046" s="51">
        <f>'Wakeham 2007 Figure 4'!F22</f>
        <v>224751.00362555298</v>
      </c>
      <c r="J1046" s="51">
        <f>'Wakeham 2007 Figure 4'!G22</f>
        <v>25516.729983833502</v>
      </c>
      <c r="K1046" s="51">
        <f>'Wakeham 2007 Figure 4'!I22</f>
        <v>12248.049179792966</v>
      </c>
      <c r="L1046" s="51">
        <f>J1046+K1046</f>
        <v>37764.779163626466</v>
      </c>
      <c r="M1046" s="63">
        <f>L1046/I1046</f>
        <v>0.16802941279205399</v>
      </c>
      <c r="N1046" s="63">
        <f>K1046/L1046</f>
        <v>0.3243246604653735</v>
      </c>
      <c r="O1046" s="63" t="s">
        <v>396</v>
      </c>
      <c r="P1046" s="51" t="s">
        <v>367</v>
      </c>
      <c r="Q1046" s="51" t="s">
        <v>263</v>
      </c>
      <c r="R1046" s="51" t="s">
        <v>537</v>
      </c>
      <c r="S1046" s="51" t="s">
        <v>224</v>
      </c>
      <c r="T1046" s="20" t="s">
        <v>701</v>
      </c>
      <c r="U1046" s="20" t="s">
        <v>414</v>
      </c>
      <c r="V1046" s="51" t="s">
        <v>536</v>
      </c>
    </row>
    <row r="1047" spans="1:22">
      <c r="A1047" s="20" t="s">
        <v>903</v>
      </c>
      <c r="B1047" s="20" t="str">
        <f>'Herfort 2007'!A33</f>
        <v>North Sea, B14</v>
      </c>
      <c r="D1047" s="20" t="s">
        <v>904</v>
      </c>
      <c r="I1047" s="65">
        <f>'Herfort 2007'!C33</f>
        <v>1200000</v>
      </c>
      <c r="K1047" s="51">
        <f>'Herfort 2007'!K33</f>
        <v>4000</v>
      </c>
      <c r="O1047" s="63" t="s">
        <v>396</v>
      </c>
      <c r="P1047" s="51" t="s">
        <v>416</v>
      </c>
      <c r="Q1047" s="51" t="s">
        <v>534</v>
      </c>
      <c r="R1047" s="51" t="s">
        <v>246</v>
      </c>
      <c r="S1047" s="51" t="s">
        <v>538</v>
      </c>
      <c r="T1047" s="51" t="s">
        <v>247</v>
      </c>
      <c r="U1047" s="20" t="s">
        <v>104</v>
      </c>
      <c r="V1047" s="51" t="s">
        <v>536</v>
      </c>
    </row>
    <row r="1048" spans="1:22">
      <c r="A1048" s="20" t="s">
        <v>903</v>
      </c>
      <c r="B1048" s="20" t="str">
        <f>'Herfort 2007'!A20</f>
        <v>North Sea, B14</v>
      </c>
      <c r="D1048" s="20" t="s">
        <v>730</v>
      </c>
      <c r="I1048" s="65">
        <f>'Herfort 2007'!C20</f>
        <v>1400000</v>
      </c>
      <c r="K1048" s="51">
        <f>'Herfort 2007'!K20</f>
        <v>18000</v>
      </c>
      <c r="O1048" s="63" t="s">
        <v>396</v>
      </c>
      <c r="P1048" s="51" t="s">
        <v>416</v>
      </c>
      <c r="Q1048" s="51" t="s">
        <v>534</v>
      </c>
      <c r="R1048" s="51" t="s">
        <v>246</v>
      </c>
      <c r="S1048" s="51" t="s">
        <v>538</v>
      </c>
      <c r="T1048" s="51" t="s">
        <v>247</v>
      </c>
      <c r="U1048" s="20" t="s">
        <v>104</v>
      </c>
      <c r="V1048" s="51" t="s">
        <v>536</v>
      </c>
    </row>
    <row r="1049" spans="1:22">
      <c r="A1049" s="20" t="s">
        <v>903</v>
      </c>
      <c r="B1049" s="20" t="str">
        <f>'Herfort 2007'!A21</f>
        <v>North Sea, CSB</v>
      </c>
      <c r="D1049" s="20" t="s">
        <v>730</v>
      </c>
      <c r="I1049" s="65">
        <f>'Herfort 2007'!C21</f>
        <v>500000</v>
      </c>
      <c r="K1049" s="51">
        <f>'Herfort 2007'!K21</f>
        <v>10800</v>
      </c>
      <c r="O1049" s="63" t="s">
        <v>396</v>
      </c>
      <c r="P1049" s="51" t="s">
        <v>416</v>
      </c>
      <c r="Q1049" s="51" t="s">
        <v>534</v>
      </c>
      <c r="R1049" s="51" t="s">
        <v>246</v>
      </c>
      <c r="S1049" s="51" t="s">
        <v>538</v>
      </c>
      <c r="T1049" s="51" t="s">
        <v>247</v>
      </c>
      <c r="U1049" s="20" t="s">
        <v>104</v>
      </c>
      <c r="V1049" s="51" t="s">
        <v>536</v>
      </c>
    </row>
    <row r="1050" spans="1:22">
      <c r="A1050" s="20" t="s">
        <v>903</v>
      </c>
      <c r="B1050" s="20" t="str">
        <f>'Herfort 2007'!A34</f>
        <v>North Sea, CSB</v>
      </c>
      <c r="D1050" s="20" t="s">
        <v>904</v>
      </c>
      <c r="I1050" s="65">
        <f>'Herfort 2007'!C34</f>
        <v>500000</v>
      </c>
      <c r="K1050" s="51">
        <f>'Herfort 2007'!K34</f>
        <v>8600</v>
      </c>
      <c r="O1050" s="63" t="s">
        <v>396</v>
      </c>
      <c r="P1050" s="51" t="s">
        <v>416</v>
      </c>
      <c r="Q1050" s="51" t="s">
        <v>534</v>
      </c>
      <c r="R1050" s="51" t="s">
        <v>246</v>
      </c>
      <c r="S1050" s="51" t="s">
        <v>538</v>
      </c>
      <c r="T1050" s="51" t="s">
        <v>247</v>
      </c>
      <c r="U1050" s="20" t="s">
        <v>104</v>
      </c>
      <c r="V1050" s="51" t="s">
        <v>536</v>
      </c>
    </row>
    <row r="1051" spans="1:22">
      <c r="A1051" s="20" t="s">
        <v>903</v>
      </c>
      <c r="B1051" s="20" t="str">
        <f>'Herfort 2007'!A31</f>
        <v>North Sea, DB</v>
      </c>
      <c r="D1051" s="20" t="s">
        <v>904</v>
      </c>
      <c r="I1051" s="65">
        <f>'Herfort 2007'!C31</f>
        <v>600000</v>
      </c>
      <c r="K1051" s="51">
        <f>'Herfort 2007'!K31</f>
        <v>1000</v>
      </c>
      <c r="O1051" s="63" t="s">
        <v>396</v>
      </c>
      <c r="P1051" s="51" t="s">
        <v>416</v>
      </c>
      <c r="Q1051" s="51" t="s">
        <v>534</v>
      </c>
      <c r="R1051" s="51" t="s">
        <v>246</v>
      </c>
      <c r="S1051" s="51" t="s">
        <v>538</v>
      </c>
      <c r="T1051" s="51" t="s">
        <v>247</v>
      </c>
      <c r="U1051" s="20" t="s">
        <v>104</v>
      </c>
      <c r="V1051" s="51" t="s">
        <v>536</v>
      </c>
    </row>
    <row r="1052" spans="1:22">
      <c r="A1052" s="20" t="s">
        <v>903</v>
      </c>
      <c r="B1052" s="20" t="str">
        <f>'Herfort 2007'!A39</f>
        <v>North Sea, DB</v>
      </c>
      <c r="D1052" s="20" t="s">
        <v>904</v>
      </c>
      <c r="I1052" s="65">
        <f>'Herfort 2007'!C39</f>
        <v>1200000</v>
      </c>
      <c r="K1052" s="51">
        <f>'Herfort 2007'!K39</f>
        <v>1000</v>
      </c>
      <c r="O1052" s="63" t="s">
        <v>396</v>
      </c>
      <c r="P1052" s="51" t="s">
        <v>416</v>
      </c>
      <c r="Q1052" s="51" t="s">
        <v>534</v>
      </c>
      <c r="R1052" s="51" t="s">
        <v>246</v>
      </c>
      <c r="S1052" s="51" t="s">
        <v>538</v>
      </c>
      <c r="T1052" s="51" t="s">
        <v>247</v>
      </c>
      <c r="U1052" s="20" t="s">
        <v>104</v>
      </c>
      <c r="V1052" s="51" t="s">
        <v>536</v>
      </c>
    </row>
    <row r="1053" spans="1:22">
      <c r="A1053" s="20" t="s">
        <v>903</v>
      </c>
      <c r="B1053" s="20" t="str">
        <f>'Herfort 2007'!A19</f>
        <v>North Sea, DC</v>
      </c>
      <c r="C1053" s="51"/>
      <c r="D1053" s="20" t="s">
        <v>730</v>
      </c>
      <c r="I1053" s="65">
        <f>'Herfort 2007'!C19</f>
        <v>800000</v>
      </c>
      <c r="K1053" s="51">
        <f>'Herfort 2007'!K19</f>
        <v>18000</v>
      </c>
      <c r="O1053" s="63" t="s">
        <v>396</v>
      </c>
      <c r="P1053" s="51" t="s">
        <v>416</v>
      </c>
      <c r="Q1053" s="51" t="s">
        <v>534</v>
      </c>
      <c r="R1053" s="51" t="s">
        <v>246</v>
      </c>
      <c r="S1053" s="51" t="s">
        <v>538</v>
      </c>
      <c r="T1053" s="51" t="s">
        <v>247</v>
      </c>
      <c r="U1053" s="20" t="s">
        <v>104</v>
      </c>
      <c r="V1053" s="51" t="s">
        <v>536</v>
      </c>
    </row>
    <row r="1054" spans="1:22">
      <c r="A1054" s="20" t="s">
        <v>903</v>
      </c>
      <c r="B1054" s="20" t="str">
        <f>'Herfort 2007'!A32</f>
        <v>North Sea, DC</v>
      </c>
      <c r="D1054" s="20" t="s">
        <v>904</v>
      </c>
      <c r="I1054" s="65">
        <f>'Herfort 2007'!C32</f>
        <v>1900000</v>
      </c>
      <c r="K1054" s="51">
        <f>'Herfort 2007'!K32</f>
        <v>17000</v>
      </c>
      <c r="O1054" s="63" t="s">
        <v>396</v>
      </c>
      <c r="P1054" s="51" t="s">
        <v>416</v>
      </c>
      <c r="Q1054" s="51" t="s">
        <v>534</v>
      </c>
      <c r="R1054" s="51" t="s">
        <v>246</v>
      </c>
      <c r="S1054" s="51" t="s">
        <v>538</v>
      </c>
      <c r="T1054" s="51" t="s">
        <v>247</v>
      </c>
      <c r="U1054" s="20" t="s">
        <v>104</v>
      </c>
      <c r="V1054" s="51" t="s">
        <v>536</v>
      </c>
    </row>
    <row r="1055" spans="1:22">
      <c r="A1055" s="20" t="s">
        <v>903</v>
      </c>
      <c r="B1055" s="20" t="str">
        <f>'Herfort 2007'!A23</f>
        <v>North Sea, FF</v>
      </c>
      <c r="D1055" s="20" t="s">
        <v>730</v>
      </c>
      <c r="I1055" s="65">
        <f>'Herfort 2007'!C23</f>
        <v>400000</v>
      </c>
      <c r="K1055" s="51">
        <f>'Herfort 2007'!K23</f>
        <v>11700</v>
      </c>
      <c r="O1055" s="63" t="s">
        <v>396</v>
      </c>
      <c r="P1055" s="51" t="s">
        <v>416</v>
      </c>
      <c r="Q1055" s="51" t="s">
        <v>534</v>
      </c>
      <c r="R1055" s="51" t="s">
        <v>246</v>
      </c>
      <c r="S1055" s="51" t="s">
        <v>538</v>
      </c>
      <c r="T1055" s="51" t="s">
        <v>247</v>
      </c>
      <c r="U1055" s="20" t="s">
        <v>104</v>
      </c>
      <c r="V1055" s="51" t="s">
        <v>536</v>
      </c>
    </row>
    <row r="1056" spans="1:22">
      <c r="A1056" s="20" t="s">
        <v>903</v>
      </c>
      <c r="B1056" s="20" t="str">
        <f>'Herfort 2007'!A36</f>
        <v>North Sea, FF</v>
      </c>
      <c r="D1056" s="20" t="s">
        <v>904</v>
      </c>
      <c r="I1056" s="65">
        <f>'Herfort 2007'!C36</f>
        <v>600000</v>
      </c>
      <c r="K1056" s="51">
        <f>'Herfort 2007'!K36</f>
        <v>7400</v>
      </c>
      <c r="O1056" s="63" t="s">
        <v>396</v>
      </c>
      <c r="P1056" s="51" t="s">
        <v>416</v>
      </c>
      <c r="Q1056" s="51" t="s">
        <v>534</v>
      </c>
      <c r="R1056" s="51" t="s">
        <v>246</v>
      </c>
      <c r="S1056" s="51" t="s">
        <v>538</v>
      </c>
      <c r="T1056" s="51" t="s">
        <v>247</v>
      </c>
      <c r="U1056" s="20" t="s">
        <v>104</v>
      </c>
      <c r="V1056" s="51" t="s">
        <v>536</v>
      </c>
    </row>
    <row r="1057" spans="1:22">
      <c r="A1057" s="20" t="s">
        <v>903</v>
      </c>
      <c r="B1057" s="20" t="str">
        <f>'Herfort 2007'!A24</f>
        <v>North Sea, NFF</v>
      </c>
      <c r="D1057" s="20" t="s">
        <v>730</v>
      </c>
      <c r="I1057" s="65">
        <f>'Herfort 2007'!C24</f>
        <v>300000</v>
      </c>
      <c r="K1057" s="51">
        <f>'Herfort 2007'!K24</f>
        <v>2400</v>
      </c>
      <c r="O1057" s="63" t="s">
        <v>396</v>
      </c>
      <c r="P1057" s="51" t="s">
        <v>416</v>
      </c>
      <c r="Q1057" s="51" t="s">
        <v>534</v>
      </c>
      <c r="R1057" s="51" t="s">
        <v>246</v>
      </c>
      <c r="S1057" s="51" t="s">
        <v>538</v>
      </c>
      <c r="T1057" s="51" t="s">
        <v>247</v>
      </c>
      <c r="U1057" s="20" t="s">
        <v>104</v>
      </c>
      <c r="V1057" s="51" t="s">
        <v>536</v>
      </c>
    </row>
    <row r="1058" spans="1:22">
      <c r="A1058" s="20" t="s">
        <v>903</v>
      </c>
      <c r="B1058" s="20" t="str">
        <f>'Herfort 2007'!A37</f>
        <v>North Sea, NFF</v>
      </c>
      <c r="D1058" s="20" t="s">
        <v>904</v>
      </c>
      <c r="I1058" s="65">
        <f>'Herfort 2007'!C37</f>
        <v>700000</v>
      </c>
      <c r="K1058" s="51">
        <f>'Herfort 2007'!K37</f>
        <v>9000</v>
      </c>
      <c r="O1058" s="63" t="s">
        <v>396</v>
      </c>
      <c r="P1058" s="51" t="s">
        <v>416</v>
      </c>
      <c r="Q1058" s="51" t="s">
        <v>534</v>
      </c>
      <c r="R1058" s="51" t="s">
        <v>246</v>
      </c>
      <c r="S1058" s="51" t="s">
        <v>538</v>
      </c>
      <c r="T1058" s="51" t="s">
        <v>247</v>
      </c>
      <c r="U1058" s="20" t="s">
        <v>104</v>
      </c>
      <c r="V1058" s="51" t="s">
        <v>536</v>
      </c>
    </row>
    <row r="1059" spans="1:22">
      <c r="A1059" s="20" t="s">
        <v>903</v>
      </c>
      <c r="B1059" s="20" t="str">
        <f>'Herfort 2007'!A25</f>
        <v>North Sea, OG</v>
      </c>
      <c r="D1059" s="20" t="s">
        <v>730</v>
      </c>
      <c r="I1059" s="65">
        <f>'Herfort 2007'!C25</f>
        <v>200000</v>
      </c>
      <c r="K1059" s="51">
        <f>'Herfort 2007'!K25</f>
        <v>1000</v>
      </c>
      <c r="O1059" s="63" t="s">
        <v>396</v>
      </c>
      <c r="P1059" s="51" t="s">
        <v>416</v>
      </c>
      <c r="Q1059" s="51" t="s">
        <v>534</v>
      </c>
      <c r="R1059" s="51" t="s">
        <v>246</v>
      </c>
      <c r="S1059" s="51" t="s">
        <v>538</v>
      </c>
      <c r="T1059" s="51" t="s">
        <v>247</v>
      </c>
      <c r="U1059" s="20" t="s">
        <v>104</v>
      </c>
      <c r="V1059" s="51" t="s">
        <v>536</v>
      </c>
    </row>
    <row r="1060" spans="1:22">
      <c r="A1060" s="20" t="s">
        <v>903</v>
      </c>
      <c r="B1060" s="20" t="str">
        <f>'Herfort 2007'!A38</f>
        <v>North Sea, OG</v>
      </c>
      <c r="D1060" s="20" t="s">
        <v>904</v>
      </c>
      <c r="I1060" s="65">
        <f>'Herfort 2007'!C38</f>
        <v>800000</v>
      </c>
      <c r="K1060" s="51">
        <f>'Herfort 2007'!K38</f>
        <v>2000</v>
      </c>
      <c r="O1060" s="63" t="s">
        <v>396</v>
      </c>
      <c r="P1060" s="51" t="s">
        <v>416</v>
      </c>
      <c r="Q1060" s="51" t="s">
        <v>534</v>
      </c>
      <c r="R1060" s="51" t="s">
        <v>246</v>
      </c>
      <c r="S1060" s="51" t="s">
        <v>538</v>
      </c>
      <c r="T1060" s="51" t="s">
        <v>247</v>
      </c>
      <c r="U1060" s="20" t="s">
        <v>104</v>
      </c>
      <c r="V1060" s="51" t="s">
        <v>536</v>
      </c>
    </row>
    <row r="1061" spans="1:22">
      <c r="A1061" s="20" t="s">
        <v>903</v>
      </c>
      <c r="B1061" s="20" t="str">
        <f>'Herfort 2007'!A22</f>
        <v>North Sea, SFF</v>
      </c>
      <c r="D1061" s="20" t="s">
        <v>730</v>
      </c>
      <c r="I1061" s="65">
        <f>'Herfort 2007'!C22</f>
        <v>700000</v>
      </c>
      <c r="K1061" s="51">
        <f>'Herfort 2007'!K22</f>
        <v>25000</v>
      </c>
      <c r="O1061" s="63" t="s">
        <v>396</v>
      </c>
      <c r="P1061" s="51" t="s">
        <v>416</v>
      </c>
      <c r="Q1061" s="51" t="s">
        <v>534</v>
      </c>
      <c r="R1061" s="51" t="s">
        <v>246</v>
      </c>
      <c r="S1061" s="51" t="s">
        <v>538</v>
      </c>
      <c r="T1061" s="51" t="s">
        <v>247</v>
      </c>
      <c r="U1061" s="20" t="s">
        <v>104</v>
      </c>
      <c r="V1061" s="51" t="s">
        <v>536</v>
      </c>
    </row>
    <row r="1062" spans="1:22">
      <c r="A1062" s="20" t="s">
        <v>903</v>
      </c>
      <c r="B1062" s="20" t="str">
        <f>'Herfort 2007'!A35</f>
        <v>North Sea, SFF</v>
      </c>
      <c r="D1062" s="20" t="s">
        <v>904</v>
      </c>
      <c r="I1062" s="65">
        <f>'Herfort 2007'!C35</f>
        <v>1400000</v>
      </c>
      <c r="K1062" s="51">
        <f>'Herfort 2007'!K35</f>
        <v>27000</v>
      </c>
      <c r="O1062" s="63" t="s">
        <v>396</v>
      </c>
      <c r="P1062" s="51" t="s">
        <v>416</v>
      </c>
      <c r="Q1062" s="51" t="s">
        <v>534</v>
      </c>
      <c r="R1062" s="51" t="s">
        <v>246</v>
      </c>
      <c r="S1062" s="51" t="s">
        <v>538</v>
      </c>
      <c r="T1062" s="51" t="s">
        <v>247</v>
      </c>
      <c r="U1062" s="20" t="s">
        <v>104</v>
      </c>
      <c r="V1062" s="51" t="s">
        <v>536</v>
      </c>
    </row>
    <row r="1063" spans="1:22">
      <c r="T1063" s="51"/>
      <c r="U1063" s="51"/>
      <c r="V1063" s="51"/>
    </row>
    <row r="1064" spans="1:22">
      <c r="T1064" s="51"/>
      <c r="U1064" s="51"/>
      <c r="V1064" s="51"/>
    </row>
    <row r="1065" spans="1:22">
      <c r="T1065" s="51"/>
      <c r="U1065" s="51"/>
      <c r="V1065" s="51"/>
    </row>
    <row r="1066" spans="1:22">
      <c r="T1066" s="51"/>
      <c r="U1066" s="51"/>
      <c r="V1066" s="51"/>
    </row>
  </sheetData>
  <sortState ref="A2:V1066">
    <sortCondition ref="T2:T1066"/>
    <sortCondition ref="A2:A1066"/>
    <sortCondition ref="C2:C1066"/>
  </sortState>
  <phoneticPr fontId="6" type="noConversion"/>
  <pageMargins left="0.75" right="0.75" top="1" bottom="1" header="0.5" footer="0.5"/>
  <pageSetup orientation="portrait" horizontalDpi="4294967292" verticalDpi="4294967292"/>
  <rowBreaks count="1" manualBreakCount="1">
    <brk id="682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00"/>
  <sheetViews>
    <sheetView workbookViewId="0">
      <selection activeCell="A12" sqref="A12"/>
    </sheetView>
  </sheetViews>
  <sheetFormatPr baseColWidth="10" defaultColWidth="7.5703125" defaultRowHeight="13" x14ac:dyDescent="0"/>
  <cols>
    <col min="2" max="2" width="9" customWidth="1"/>
    <col min="8" max="8" width="8.42578125" customWidth="1"/>
    <col min="9" max="9" width="9.7109375" customWidth="1"/>
  </cols>
  <sheetData>
    <row r="1" spans="1:78">
      <c r="A1" t="s">
        <v>113</v>
      </c>
    </row>
    <row r="2" spans="1:78">
      <c r="A2" t="s">
        <v>114</v>
      </c>
    </row>
    <row r="3" spans="1:78">
      <c r="A3" t="s">
        <v>115</v>
      </c>
      <c r="B3" s="24">
        <v>39953</v>
      </c>
    </row>
    <row r="5" spans="1:78">
      <c r="A5" t="s">
        <v>116</v>
      </c>
      <c r="D5" t="s">
        <v>117</v>
      </c>
    </row>
    <row r="6" spans="1:78">
      <c r="A6" t="s">
        <v>118</v>
      </c>
    </row>
    <row r="7" spans="1:78">
      <c r="A7" t="s">
        <v>915</v>
      </c>
    </row>
    <row r="8" spans="1:78">
      <c r="A8" t="s">
        <v>911</v>
      </c>
    </row>
    <row r="9" spans="1:78">
      <c r="A9" t="s">
        <v>912</v>
      </c>
    </row>
    <row r="10" spans="1:78">
      <c r="A10" t="s">
        <v>913</v>
      </c>
    </row>
    <row r="11" spans="1:78">
      <c r="A11" t="s">
        <v>914</v>
      </c>
    </row>
    <row r="12" spans="1:78">
      <c r="A12" t="s">
        <v>916</v>
      </c>
    </row>
    <row r="14" spans="1:78">
      <c r="A14" t="s">
        <v>119</v>
      </c>
      <c r="B14" t="s">
        <v>395</v>
      </c>
      <c r="E14" t="s">
        <v>120</v>
      </c>
      <c r="G14" t="s">
        <v>395</v>
      </c>
      <c r="H14" t="s">
        <v>121</v>
      </c>
      <c r="J14" t="s">
        <v>122</v>
      </c>
      <c r="N14" t="s">
        <v>123</v>
      </c>
      <c r="Q14" t="s">
        <v>124</v>
      </c>
      <c r="R14" t="s">
        <v>125</v>
      </c>
      <c r="S14" t="s">
        <v>126</v>
      </c>
      <c r="T14" t="s">
        <v>127</v>
      </c>
      <c r="U14" t="s">
        <v>128</v>
      </c>
      <c r="V14" t="s">
        <v>129</v>
      </c>
      <c r="W14" t="s">
        <v>130</v>
      </c>
      <c r="X14" t="s">
        <v>131</v>
      </c>
      <c r="Y14" t="s">
        <v>132</v>
      </c>
      <c r="Z14" t="s">
        <v>133</v>
      </c>
      <c r="AA14" t="s">
        <v>134</v>
      </c>
      <c r="AB14" t="s">
        <v>135</v>
      </c>
      <c r="AC14" t="s">
        <v>136</v>
      </c>
      <c r="AD14" t="s">
        <v>137</v>
      </c>
      <c r="AE14" t="s">
        <v>138</v>
      </c>
      <c r="AF14" t="s">
        <v>139</v>
      </c>
      <c r="AG14" t="s">
        <v>140</v>
      </c>
      <c r="AH14" t="s">
        <v>141</v>
      </c>
      <c r="AI14" t="s">
        <v>142</v>
      </c>
      <c r="AJ14" t="s">
        <v>143</v>
      </c>
      <c r="AK14" t="s">
        <v>144</v>
      </c>
      <c r="AL14" t="s">
        <v>145</v>
      </c>
      <c r="AM14" t="s">
        <v>146</v>
      </c>
      <c r="AN14" t="s">
        <v>147</v>
      </c>
      <c r="AO14" t="s">
        <v>146</v>
      </c>
      <c r="AP14" t="s">
        <v>147</v>
      </c>
      <c r="AQ14" t="s">
        <v>148</v>
      </c>
      <c r="AR14" t="s">
        <v>149</v>
      </c>
      <c r="AS14" t="s">
        <v>148</v>
      </c>
      <c r="AT14" t="s">
        <v>149</v>
      </c>
      <c r="AU14" t="s">
        <v>150</v>
      </c>
      <c r="AV14" t="s">
        <v>151</v>
      </c>
      <c r="AW14" t="s">
        <v>150</v>
      </c>
      <c r="AX14" t="s">
        <v>151</v>
      </c>
      <c r="AY14" t="s">
        <v>152</v>
      </c>
      <c r="AZ14" t="s">
        <v>153</v>
      </c>
      <c r="BA14" t="s">
        <v>152</v>
      </c>
      <c r="BB14" t="s">
        <v>153</v>
      </c>
      <c r="BC14" t="s">
        <v>154</v>
      </c>
      <c r="BD14" t="s">
        <v>155</v>
      </c>
      <c r="BE14" t="s">
        <v>154</v>
      </c>
      <c r="BF14" t="s">
        <v>155</v>
      </c>
      <c r="BG14" t="s">
        <v>156</v>
      </c>
      <c r="BH14" t="s">
        <v>157</v>
      </c>
      <c r="BI14" t="s">
        <v>156</v>
      </c>
      <c r="BJ14" t="s">
        <v>157</v>
      </c>
      <c r="BK14" t="s">
        <v>158</v>
      </c>
      <c r="BL14" t="s">
        <v>159</v>
      </c>
      <c r="BM14" t="s">
        <v>158</v>
      </c>
      <c r="BN14" t="s">
        <v>159</v>
      </c>
      <c r="BO14" t="s">
        <v>160</v>
      </c>
      <c r="BP14" t="s">
        <v>161</v>
      </c>
      <c r="BQ14" t="s">
        <v>162</v>
      </c>
      <c r="BR14" t="s">
        <v>163</v>
      </c>
      <c r="BS14" t="s">
        <v>164</v>
      </c>
      <c r="BT14" t="s">
        <v>165</v>
      </c>
      <c r="BU14" t="s">
        <v>166</v>
      </c>
      <c r="BV14" t="s">
        <v>167</v>
      </c>
      <c r="BW14" t="s">
        <v>168</v>
      </c>
      <c r="BX14" t="s">
        <v>169</v>
      </c>
      <c r="BY14" t="s">
        <v>170</v>
      </c>
      <c r="BZ14" t="s">
        <v>171</v>
      </c>
    </row>
    <row r="15" spans="1:78" s="3" customFormat="1" ht="12">
      <c r="A15" s="3" t="s">
        <v>172</v>
      </c>
      <c r="B15" s="3" t="s">
        <v>173</v>
      </c>
      <c r="C15" s="3" t="s">
        <v>380</v>
      </c>
      <c r="D15" s="3" t="s">
        <v>174</v>
      </c>
      <c r="E15" s="3" t="s">
        <v>426</v>
      </c>
      <c r="F15" s="3" t="s">
        <v>174</v>
      </c>
      <c r="G15" s="3" t="s">
        <v>520</v>
      </c>
      <c r="H15" s="3" t="s">
        <v>348</v>
      </c>
      <c r="I15" s="3" t="s">
        <v>175</v>
      </c>
      <c r="J15" s="3" t="s">
        <v>87</v>
      </c>
      <c r="K15" s="3" t="s">
        <v>176</v>
      </c>
      <c r="L15" s="3" t="s">
        <v>177</v>
      </c>
      <c r="M15" s="3" t="s">
        <v>74</v>
      </c>
      <c r="N15" s="3" t="s">
        <v>178</v>
      </c>
      <c r="O15" s="3" t="s">
        <v>0</v>
      </c>
      <c r="P15" s="3" t="s">
        <v>429</v>
      </c>
      <c r="Q15" s="3" t="s">
        <v>1</v>
      </c>
      <c r="AB15" s="3" t="s">
        <v>2</v>
      </c>
      <c r="AC15" s="3" t="s">
        <v>3</v>
      </c>
      <c r="AE15" s="3" t="s">
        <v>4</v>
      </c>
      <c r="AK15" s="3" t="s">
        <v>5</v>
      </c>
      <c r="AM15" s="3" t="s">
        <v>5</v>
      </c>
      <c r="AO15" s="3" t="s">
        <v>6</v>
      </c>
      <c r="AQ15" s="3" t="s">
        <v>5</v>
      </c>
      <c r="AS15" s="3" t="s">
        <v>7</v>
      </c>
      <c r="AU15" s="3" t="s">
        <v>5</v>
      </c>
      <c r="AW15" s="3" t="s">
        <v>7</v>
      </c>
      <c r="AY15" s="3" t="s">
        <v>5</v>
      </c>
      <c r="BA15" s="3" t="s">
        <v>7</v>
      </c>
      <c r="BC15" s="3" t="s">
        <v>5</v>
      </c>
      <c r="BE15" s="3" t="s">
        <v>7</v>
      </c>
      <c r="BG15" s="3" t="s">
        <v>5</v>
      </c>
      <c r="BI15" s="3" t="s">
        <v>7</v>
      </c>
      <c r="BK15" s="3" t="s">
        <v>5</v>
      </c>
      <c r="BM15" s="3" t="s">
        <v>7</v>
      </c>
      <c r="BO15" s="3" t="s">
        <v>8</v>
      </c>
      <c r="BQ15" s="3" t="s">
        <v>8</v>
      </c>
      <c r="BS15" s="3" t="s">
        <v>8</v>
      </c>
      <c r="BU15" s="3" t="s">
        <v>7</v>
      </c>
      <c r="BW15" s="3" t="s">
        <v>9</v>
      </c>
      <c r="BY15" s="3" t="s">
        <v>9</v>
      </c>
    </row>
    <row r="18" spans="1:78">
      <c r="A18" t="s">
        <v>27</v>
      </c>
      <c r="B18">
        <v>39</v>
      </c>
      <c r="C18">
        <v>16</v>
      </c>
      <c r="E18">
        <v>291</v>
      </c>
      <c r="F18" t="s">
        <v>20</v>
      </c>
      <c r="G18">
        <v>1700</v>
      </c>
      <c r="H18" s="52">
        <v>42382.97872340426</v>
      </c>
      <c r="I18" s="52">
        <v>7873.188745921173</v>
      </c>
      <c r="J18" s="2">
        <v>0.20880531481820161</v>
      </c>
      <c r="K18" s="2">
        <v>1.1777182484359159E-2</v>
      </c>
      <c r="L18" s="2">
        <v>1.7655691991220032E-3</v>
      </c>
      <c r="M18" s="2">
        <f t="shared" ref="M18:M49" si="0">K18+L18</f>
        <v>1.3542751683481163E-2</v>
      </c>
      <c r="N18" s="1">
        <v>49.266314239234312</v>
      </c>
      <c r="O18" s="1">
        <v>2.7787528954060261</v>
      </c>
      <c r="P18" s="1">
        <v>0.41657506204183808</v>
      </c>
      <c r="Q18" s="1">
        <v>52.461642196682178</v>
      </c>
      <c r="R18" t="s">
        <v>29</v>
      </c>
      <c r="S18" t="s">
        <v>30</v>
      </c>
      <c r="T18">
        <v>16</v>
      </c>
      <c r="U18">
        <v>4</v>
      </c>
      <c r="V18">
        <v>3</v>
      </c>
      <c r="W18">
        <v>3</v>
      </c>
      <c r="X18">
        <v>2</v>
      </c>
      <c r="Y18">
        <v>20020726</v>
      </c>
      <c r="Z18">
        <v>72.2333</v>
      </c>
      <c r="AA18">
        <v>-154.09049999999999</v>
      </c>
      <c r="AB18">
        <v>2008</v>
      </c>
      <c r="AC18">
        <v>1751.5</v>
      </c>
      <c r="AD18">
        <v>2</v>
      </c>
      <c r="AE18">
        <v>-0.3957</v>
      </c>
      <c r="AF18">
        <v>2</v>
      </c>
      <c r="AG18">
        <v>34.932699999999997</v>
      </c>
      <c r="AH18">
        <v>2</v>
      </c>
      <c r="AI18">
        <v>34.931600000000003</v>
      </c>
      <c r="AJ18">
        <v>2</v>
      </c>
      <c r="AK18">
        <v>279.60000000000002</v>
      </c>
      <c r="AL18">
        <v>2</v>
      </c>
      <c r="AM18">
        <v>294.2</v>
      </c>
      <c r="AN18">
        <v>2</v>
      </c>
      <c r="AO18">
        <v>6.7720000000000002</v>
      </c>
      <c r="AP18">
        <v>2</v>
      </c>
      <c r="AQ18">
        <v>10.54</v>
      </c>
      <c r="AR18">
        <v>2</v>
      </c>
      <c r="AS18">
        <v>10.79</v>
      </c>
      <c r="AT18">
        <v>2</v>
      </c>
      <c r="AU18">
        <v>14.08</v>
      </c>
      <c r="AV18">
        <v>2</v>
      </c>
      <c r="AW18">
        <v>14.41</v>
      </c>
      <c r="AX18">
        <v>2</v>
      </c>
      <c r="AY18">
        <v>0</v>
      </c>
      <c r="AZ18">
        <v>2</v>
      </c>
      <c r="BA18">
        <v>0</v>
      </c>
      <c r="BB18">
        <v>2</v>
      </c>
      <c r="BC18">
        <v>0.98</v>
      </c>
      <c r="BD18">
        <v>2</v>
      </c>
      <c r="BE18">
        <v>1</v>
      </c>
      <c r="BF18">
        <v>2</v>
      </c>
      <c r="BG18">
        <v>0.03</v>
      </c>
      <c r="BH18">
        <v>2</v>
      </c>
      <c r="BI18">
        <v>0.03</v>
      </c>
      <c r="BJ18">
        <v>2</v>
      </c>
      <c r="BK18">
        <v>0</v>
      </c>
      <c r="BL18">
        <v>2</v>
      </c>
      <c r="BM18">
        <v>0</v>
      </c>
      <c r="BN18">
        <v>2</v>
      </c>
      <c r="BO18">
        <v>0.107</v>
      </c>
      <c r="BP18">
        <v>2</v>
      </c>
      <c r="BQ18">
        <v>0.52700000000000002</v>
      </c>
      <c r="BR18">
        <v>2</v>
      </c>
      <c r="BS18">
        <v>0</v>
      </c>
      <c r="BT18">
        <v>2</v>
      </c>
      <c r="BU18">
        <v>1.24</v>
      </c>
      <c r="BV18">
        <v>2</v>
      </c>
      <c r="BW18">
        <v>-999</v>
      </c>
      <c r="BX18">
        <v>9</v>
      </c>
      <c r="BY18">
        <v>-999</v>
      </c>
      <c r="BZ18">
        <v>9</v>
      </c>
    </row>
    <row r="19" spans="1:78">
      <c r="A19" t="s">
        <v>52</v>
      </c>
      <c r="B19">
        <v>117</v>
      </c>
      <c r="C19">
        <v>37</v>
      </c>
      <c r="E19">
        <v>3804</v>
      </c>
      <c r="F19" t="s">
        <v>17</v>
      </c>
      <c r="G19">
        <v>2000</v>
      </c>
      <c r="H19" s="52">
        <v>29834.19561468342</v>
      </c>
      <c r="I19" s="52">
        <v>9784.6234756569611</v>
      </c>
      <c r="J19" s="2">
        <v>0.15849763097811084</v>
      </c>
      <c r="K19" s="2">
        <v>1.582865589138098E-2</v>
      </c>
      <c r="L19" s="2">
        <v>8.5376622060197201E-3</v>
      </c>
      <c r="M19" s="2">
        <f t="shared" si="0"/>
        <v>2.43663180974007E-2</v>
      </c>
      <c r="N19" s="1">
        <v>53.126162013935264</v>
      </c>
      <c r="O19" s="1">
        <v>5.3055413646180662</v>
      </c>
      <c r="P19" s="1">
        <v>2.8617035016750245</v>
      </c>
      <c r="Q19" s="1">
        <v>61.293406880228353</v>
      </c>
      <c r="R19" t="s">
        <v>53</v>
      </c>
      <c r="S19" t="s">
        <v>64</v>
      </c>
      <c r="T19">
        <v>37</v>
      </c>
      <c r="U19">
        <v>6</v>
      </c>
      <c r="V19">
        <v>604</v>
      </c>
      <c r="W19">
        <v>4</v>
      </c>
      <c r="X19">
        <v>2</v>
      </c>
      <c r="Y19">
        <v>20040809</v>
      </c>
      <c r="Z19">
        <v>72.766999999999996</v>
      </c>
      <c r="AA19">
        <v>-152.79900000000001</v>
      </c>
      <c r="AB19">
        <v>3825</v>
      </c>
      <c r="AC19">
        <v>2030.4</v>
      </c>
      <c r="AD19">
        <v>2</v>
      </c>
      <c r="AE19">
        <v>-0.40400000000000003</v>
      </c>
      <c r="AF19">
        <v>2</v>
      </c>
      <c r="AG19">
        <v>34.942</v>
      </c>
      <c r="AH19">
        <v>2</v>
      </c>
      <c r="AI19">
        <v>-999</v>
      </c>
      <c r="AJ19">
        <v>9</v>
      </c>
      <c r="AK19">
        <v>270.8</v>
      </c>
      <c r="AL19">
        <v>2</v>
      </c>
      <c r="AM19">
        <v>-999</v>
      </c>
      <c r="AN19">
        <v>9</v>
      </c>
      <c r="AO19">
        <v>-999</v>
      </c>
      <c r="AP19">
        <v>9</v>
      </c>
      <c r="AQ19">
        <v>10.9</v>
      </c>
      <c r="AR19">
        <v>2</v>
      </c>
      <c r="AS19">
        <v>11.17</v>
      </c>
      <c r="AT19">
        <v>2</v>
      </c>
      <c r="AU19">
        <v>14.12</v>
      </c>
      <c r="AV19">
        <v>2</v>
      </c>
      <c r="AW19">
        <v>14.47</v>
      </c>
      <c r="AX19">
        <v>2</v>
      </c>
      <c r="AY19">
        <v>0.01</v>
      </c>
      <c r="AZ19">
        <v>2</v>
      </c>
      <c r="BA19">
        <v>0.01</v>
      </c>
      <c r="BB19">
        <v>2</v>
      </c>
      <c r="BC19">
        <v>1.01</v>
      </c>
      <c r="BD19">
        <v>2</v>
      </c>
      <c r="BE19">
        <v>1.04</v>
      </c>
      <c r="BF19">
        <v>2</v>
      </c>
      <c r="BG19">
        <v>0.02</v>
      </c>
      <c r="BH19">
        <v>2</v>
      </c>
      <c r="BI19">
        <v>0.02</v>
      </c>
      <c r="BJ19">
        <v>2</v>
      </c>
      <c r="BK19">
        <v>0.06</v>
      </c>
      <c r="BL19">
        <v>2</v>
      </c>
      <c r="BM19">
        <v>0.06</v>
      </c>
      <c r="BN19">
        <v>2</v>
      </c>
      <c r="BO19">
        <v>-999</v>
      </c>
      <c r="BP19">
        <v>9</v>
      </c>
      <c r="BS19">
        <v>-999</v>
      </c>
      <c r="BT19">
        <v>9</v>
      </c>
      <c r="BU19">
        <v>0.73</v>
      </c>
      <c r="BV19">
        <v>2</v>
      </c>
      <c r="BW19">
        <v>-999</v>
      </c>
      <c r="BX19">
        <v>9</v>
      </c>
      <c r="BY19">
        <v>-999</v>
      </c>
      <c r="BZ19">
        <v>9</v>
      </c>
    </row>
    <row r="20" spans="1:78">
      <c r="A20" t="s">
        <v>27</v>
      </c>
      <c r="B20">
        <v>96</v>
      </c>
      <c r="C20">
        <v>33</v>
      </c>
      <c r="D20" t="s">
        <v>39</v>
      </c>
      <c r="E20">
        <v>2191</v>
      </c>
      <c r="F20" t="s">
        <v>17</v>
      </c>
      <c r="G20">
        <v>0</v>
      </c>
      <c r="H20" s="52">
        <v>25201.684397163121</v>
      </c>
      <c r="I20" s="52">
        <v>14563.501220646762</v>
      </c>
      <c r="J20" s="2">
        <v>0.23801141289460712</v>
      </c>
      <c r="K20" s="2">
        <v>1.8541310753096871E-2</v>
      </c>
      <c r="L20" s="2">
        <v>6.4325073124487132E-3</v>
      </c>
      <c r="M20" s="2">
        <f t="shared" si="0"/>
        <v>2.4973818065545585E-2</v>
      </c>
      <c r="N20" s="1">
        <v>94.44266071413837</v>
      </c>
      <c r="O20" s="1">
        <v>7.3571712354210783</v>
      </c>
      <c r="P20" s="1">
        <v>2.5524116606955056</v>
      </c>
      <c r="Q20" s="1">
        <v>104.35224361025496</v>
      </c>
      <c r="R20" t="s">
        <v>29</v>
      </c>
      <c r="S20" t="s">
        <v>30</v>
      </c>
      <c r="T20">
        <v>33</v>
      </c>
      <c r="U20">
        <v>2</v>
      </c>
      <c r="V20">
        <v>12</v>
      </c>
      <c r="W20">
        <v>12</v>
      </c>
      <c r="X20">
        <v>2</v>
      </c>
      <c r="Y20">
        <v>20020814</v>
      </c>
      <c r="Z20">
        <v>73.4953</v>
      </c>
      <c r="AA20">
        <v>-159.51570000000001</v>
      </c>
      <c r="AB20">
        <v>2259</v>
      </c>
      <c r="AC20">
        <v>2.2000000000000002</v>
      </c>
      <c r="AD20">
        <v>2</v>
      </c>
      <c r="AE20">
        <v>-0.54520000000000002</v>
      </c>
      <c r="AF20">
        <v>2</v>
      </c>
      <c r="AG20">
        <v>27.0274</v>
      </c>
      <c r="AH20">
        <v>2</v>
      </c>
      <c r="AI20">
        <v>27.052099999999999</v>
      </c>
      <c r="AJ20">
        <v>2</v>
      </c>
      <c r="AK20">
        <v>364.1</v>
      </c>
      <c r="AL20">
        <v>2</v>
      </c>
      <c r="AM20">
        <v>376</v>
      </c>
      <c r="AN20">
        <v>2</v>
      </c>
      <c r="AO20">
        <v>8.6020000000000003</v>
      </c>
      <c r="AP20">
        <v>2</v>
      </c>
      <c r="AQ20">
        <v>2.91</v>
      </c>
      <c r="AR20">
        <v>2</v>
      </c>
      <c r="AS20">
        <v>2.96</v>
      </c>
      <c r="AT20">
        <v>2</v>
      </c>
      <c r="AU20">
        <v>0</v>
      </c>
      <c r="AV20">
        <v>2</v>
      </c>
      <c r="AW20">
        <v>0</v>
      </c>
      <c r="AX20">
        <v>2</v>
      </c>
      <c r="AY20">
        <v>0</v>
      </c>
      <c r="AZ20">
        <v>2</v>
      </c>
      <c r="BA20">
        <v>0</v>
      </c>
      <c r="BB20">
        <v>2</v>
      </c>
      <c r="BC20">
        <v>0.65</v>
      </c>
      <c r="BD20">
        <v>2</v>
      </c>
      <c r="BE20">
        <v>0.66</v>
      </c>
      <c r="BF20">
        <v>2</v>
      </c>
      <c r="BG20">
        <v>0.04</v>
      </c>
      <c r="BH20">
        <v>2</v>
      </c>
      <c r="BI20">
        <v>0.04</v>
      </c>
      <c r="BJ20">
        <v>2</v>
      </c>
      <c r="BK20">
        <v>0.03</v>
      </c>
      <c r="BL20">
        <v>2</v>
      </c>
      <c r="BM20">
        <v>0.03</v>
      </c>
      <c r="BN20">
        <v>2</v>
      </c>
      <c r="BO20">
        <v>8.7999999999999995E-2</v>
      </c>
      <c r="BP20">
        <v>2</v>
      </c>
      <c r="BQ20">
        <v>0.77100000000000002</v>
      </c>
      <c r="BR20">
        <v>2</v>
      </c>
      <c r="BS20">
        <v>1.9390000000000001</v>
      </c>
      <c r="BT20">
        <v>2</v>
      </c>
      <c r="BU20">
        <v>-6.56</v>
      </c>
      <c r="BV20">
        <v>2</v>
      </c>
      <c r="BW20">
        <v>0.05</v>
      </c>
      <c r="BX20">
        <v>2</v>
      </c>
      <c r="BY20">
        <v>0.04</v>
      </c>
      <c r="BZ20">
        <v>2</v>
      </c>
    </row>
    <row r="21" spans="1:78">
      <c r="A21" t="s">
        <v>10</v>
      </c>
      <c r="B21">
        <v>97</v>
      </c>
      <c r="C21">
        <v>33</v>
      </c>
      <c r="D21" t="s">
        <v>23</v>
      </c>
      <c r="E21">
        <v>2132</v>
      </c>
      <c r="F21" t="s">
        <v>17</v>
      </c>
      <c r="G21">
        <v>1000</v>
      </c>
      <c r="H21" s="52">
        <v>79468.08510638299</v>
      </c>
      <c r="I21" s="52">
        <v>14634.326393435354</v>
      </c>
      <c r="J21" s="2">
        <v>0.48799396261890854</v>
      </c>
      <c r="K21" s="2"/>
      <c r="L21" s="2">
        <v>2.5197197716658022E-2</v>
      </c>
      <c r="M21" s="2">
        <f t="shared" si="0"/>
        <v>2.5197197716658022E-2</v>
      </c>
      <c r="N21" s="1">
        <v>61.407540142138416</v>
      </c>
      <c r="O21" s="1" t="s">
        <v>24</v>
      </c>
      <c r="P21" s="1">
        <v>3.1707317073170733</v>
      </c>
      <c r="Q21" s="1"/>
      <c r="R21" t="s">
        <v>12</v>
      </c>
      <c r="S21" t="s">
        <v>13</v>
      </c>
      <c r="T21">
        <v>33</v>
      </c>
      <c r="U21">
        <v>1</v>
      </c>
      <c r="V21">
        <v>4</v>
      </c>
      <c r="W21">
        <v>4</v>
      </c>
      <c r="X21">
        <v>2</v>
      </c>
      <c r="Y21">
        <v>20020607</v>
      </c>
      <c r="Z21">
        <v>72.187399999999997</v>
      </c>
      <c r="AA21">
        <v>-154.39619999999999</v>
      </c>
      <c r="AB21">
        <v>1805</v>
      </c>
      <c r="AC21">
        <v>901.3</v>
      </c>
      <c r="AD21">
        <v>2</v>
      </c>
      <c r="AE21">
        <v>3.6900000000000002E-2</v>
      </c>
      <c r="AF21">
        <v>2</v>
      </c>
      <c r="AG21">
        <v>34.875799999999998</v>
      </c>
      <c r="AH21">
        <v>2</v>
      </c>
      <c r="AI21">
        <v>34.876100000000001</v>
      </c>
      <c r="AJ21">
        <v>2</v>
      </c>
      <c r="AK21">
        <v>291.3</v>
      </c>
      <c r="AL21">
        <v>2</v>
      </c>
      <c r="AM21">
        <v>299.60000000000002</v>
      </c>
      <c r="AN21">
        <v>2</v>
      </c>
      <c r="AO21">
        <v>6.8949999999999996</v>
      </c>
      <c r="AP21">
        <v>2</v>
      </c>
      <c r="AQ21">
        <v>7.07</v>
      </c>
      <c r="AR21">
        <v>2</v>
      </c>
      <c r="AS21">
        <v>7.23</v>
      </c>
      <c r="AT21">
        <v>2</v>
      </c>
      <c r="AU21">
        <v>12.58</v>
      </c>
      <c r="AV21">
        <v>2</v>
      </c>
      <c r="AW21">
        <v>12.87</v>
      </c>
      <c r="AX21">
        <v>2</v>
      </c>
      <c r="AY21">
        <v>0</v>
      </c>
      <c r="AZ21">
        <v>2</v>
      </c>
      <c r="BA21">
        <v>0</v>
      </c>
      <c r="BB21">
        <v>2</v>
      </c>
      <c r="BC21">
        <v>0.89</v>
      </c>
      <c r="BD21">
        <v>2</v>
      </c>
      <c r="BE21">
        <v>0.91</v>
      </c>
      <c r="BF21">
        <v>2</v>
      </c>
      <c r="BG21">
        <v>0</v>
      </c>
      <c r="BH21">
        <v>2</v>
      </c>
      <c r="BI21">
        <v>0</v>
      </c>
      <c r="BJ21">
        <v>2</v>
      </c>
      <c r="BK21">
        <v>0.01</v>
      </c>
      <c r="BL21">
        <v>2</v>
      </c>
      <c r="BM21">
        <v>0.01</v>
      </c>
      <c r="BN21">
        <v>2</v>
      </c>
      <c r="BO21">
        <v>0.108</v>
      </c>
      <c r="BP21">
        <v>2</v>
      </c>
      <c r="BQ21">
        <v>0.59299999999999997</v>
      </c>
      <c r="BR21">
        <v>2</v>
      </c>
      <c r="BS21">
        <v>0.13700000000000001</v>
      </c>
      <c r="BT21">
        <v>2</v>
      </c>
      <c r="BU21">
        <v>1.1200000000000001</v>
      </c>
      <c r="BV21">
        <v>2</v>
      </c>
      <c r="BW21">
        <v>-999</v>
      </c>
      <c r="BX21">
        <v>9</v>
      </c>
      <c r="BY21">
        <v>-999</v>
      </c>
      <c r="BZ21">
        <v>9</v>
      </c>
    </row>
    <row r="22" spans="1:78">
      <c r="A22" t="s">
        <v>10</v>
      </c>
      <c r="B22">
        <v>40</v>
      </c>
      <c r="C22">
        <v>12</v>
      </c>
      <c r="D22" t="s">
        <v>18</v>
      </c>
      <c r="E22">
        <v>2000</v>
      </c>
      <c r="F22" t="s">
        <v>17</v>
      </c>
      <c r="G22">
        <v>1000</v>
      </c>
      <c r="H22" s="52">
        <v>71374.113475177292</v>
      </c>
      <c r="I22" s="52">
        <v>17447.089801816026</v>
      </c>
      <c r="J22" s="2">
        <v>0.42812830758773979</v>
      </c>
      <c r="K22" s="2">
        <v>2.8099092682854186E-2</v>
      </c>
      <c r="L22" s="2">
        <v>4.5148276430809816E-3</v>
      </c>
      <c r="M22" s="2">
        <f t="shared" si="0"/>
        <v>3.2613920325935165E-2</v>
      </c>
      <c r="N22" s="1">
        <v>59.983695312255684</v>
      </c>
      <c r="O22" s="1">
        <v>3.9368744933870983</v>
      </c>
      <c r="P22" s="1">
        <v>0.6325581395348836</v>
      </c>
      <c r="Q22" s="1">
        <v>64.553127945177664</v>
      </c>
      <c r="R22" t="s">
        <v>12</v>
      </c>
      <c r="S22" t="s">
        <v>13</v>
      </c>
      <c r="T22">
        <v>12</v>
      </c>
      <c r="U22">
        <v>1</v>
      </c>
      <c r="V22">
        <v>6</v>
      </c>
      <c r="W22">
        <v>6</v>
      </c>
      <c r="X22">
        <v>2</v>
      </c>
      <c r="Y22">
        <v>20020523</v>
      </c>
      <c r="Z22">
        <v>73.438999999999993</v>
      </c>
      <c r="AA22">
        <v>-157.53899999999999</v>
      </c>
      <c r="AB22">
        <v>2850</v>
      </c>
      <c r="AC22">
        <v>801.8</v>
      </c>
      <c r="AD22">
        <v>2</v>
      </c>
      <c r="AE22">
        <v>0.159</v>
      </c>
      <c r="AF22">
        <v>2</v>
      </c>
      <c r="AG22">
        <v>34.868000000000002</v>
      </c>
      <c r="AH22">
        <v>2</v>
      </c>
      <c r="AI22">
        <v>34.868899999999996</v>
      </c>
      <c r="AJ22">
        <v>2</v>
      </c>
      <c r="AK22">
        <v>291.3</v>
      </c>
      <c r="AL22">
        <v>2</v>
      </c>
      <c r="AM22">
        <v>300.3</v>
      </c>
      <c r="AN22">
        <v>2</v>
      </c>
      <c r="AO22">
        <v>6.9109999999999996</v>
      </c>
      <c r="AP22">
        <v>2</v>
      </c>
      <c r="AQ22">
        <v>6.66</v>
      </c>
      <c r="AR22">
        <v>2</v>
      </c>
      <c r="AS22">
        <v>6.81</v>
      </c>
      <c r="AT22">
        <v>2</v>
      </c>
      <c r="AU22">
        <v>12.52</v>
      </c>
      <c r="AV22">
        <v>2</v>
      </c>
      <c r="AW22">
        <v>12.81</v>
      </c>
      <c r="AX22">
        <v>2</v>
      </c>
      <c r="AY22">
        <v>0</v>
      </c>
      <c r="AZ22">
        <v>2</v>
      </c>
      <c r="BA22">
        <v>0</v>
      </c>
      <c r="BB22">
        <v>2</v>
      </c>
      <c r="BC22">
        <v>0.88</v>
      </c>
      <c r="BD22">
        <v>2</v>
      </c>
      <c r="BE22">
        <v>0.9</v>
      </c>
      <c r="BF22">
        <v>2</v>
      </c>
      <c r="BG22">
        <v>0</v>
      </c>
      <c r="BH22">
        <v>2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2</v>
      </c>
      <c r="BO22">
        <v>0.111</v>
      </c>
      <c r="BP22">
        <v>2</v>
      </c>
      <c r="BQ22">
        <v>0.58899999999999997</v>
      </c>
      <c r="BR22">
        <v>2</v>
      </c>
      <c r="BS22">
        <v>0</v>
      </c>
      <c r="BT22">
        <v>2</v>
      </c>
      <c r="BU22">
        <v>1.21</v>
      </c>
      <c r="BV22">
        <v>2</v>
      </c>
      <c r="BW22">
        <v>-999</v>
      </c>
      <c r="BX22">
        <v>9</v>
      </c>
      <c r="BY22">
        <v>-999</v>
      </c>
      <c r="BZ22">
        <v>9</v>
      </c>
    </row>
    <row r="23" spans="1:78">
      <c r="A23" t="s">
        <v>27</v>
      </c>
      <c r="B23">
        <v>78</v>
      </c>
      <c r="C23">
        <v>30</v>
      </c>
      <c r="E23">
        <v>1882</v>
      </c>
      <c r="F23" t="s">
        <v>20</v>
      </c>
      <c r="G23">
        <v>2000</v>
      </c>
      <c r="H23" s="52">
        <v>40126.477541371154</v>
      </c>
      <c r="I23" s="52">
        <v>6689.325245517959</v>
      </c>
      <c r="J23" s="2">
        <v>0.13677793317292233</v>
      </c>
      <c r="K23" s="2">
        <v>3.8861373275716711E-2</v>
      </c>
      <c r="L23" s="2">
        <v>1.2452997361414812E-3</v>
      </c>
      <c r="M23" s="2">
        <f t="shared" si="0"/>
        <v>4.010667301185819E-2</v>
      </c>
      <c r="N23" s="1">
        <v>34.086703232772351</v>
      </c>
      <c r="O23" s="1">
        <v>9.6847208269527023</v>
      </c>
      <c r="P23" s="1">
        <v>0.31034364650063134</v>
      </c>
      <c r="Q23" s="1">
        <v>44.081767706225683</v>
      </c>
      <c r="R23" t="s">
        <v>29</v>
      </c>
      <c r="S23" t="s">
        <v>30</v>
      </c>
      <c r="T23">
        <v>30</v>
      </c>
      <c r="U23">
        <v>7</v>
      </c>
      <c r="V23">
        <v>1</v>
      </c>
      <c r="W23">
        <v>1</v>
      </c>
      <c r="X23">
        <v>2</v>
      </c>
      <c r="Y23">
        <v>20020811</v>
      </c>
      <c r="Z23">
        <v>73.073499999999996</v>
      </c>
      <c r="AA23">
        <v>-157.9117</v>
      </c>
      <c r="AB23">
        <v>2025</v>
      </c>
      <c r="AC23">
        <v>1956.1</v>
      </c>
      <c r="AD23">
        <v>2</v>
      </c>
      <c r="AE23">
        <v>-0.40550000000000003</v>
      </c>
      <c r="AF23">
        <v>2</v>
      </c>
      <c r="AG23">
        <v>34.941400000000002</v>
      </c>
      <c r="AH23">
        <v>2</v>
      </c>
      <c r="AI23">
        <v>-999</v>
      </c>
      <c r="AJ23">
        <v>9</v>
      </c>
      <c r="AK23">
        <v>276.2</v>
      </c>
      <c r="AL23">
        <v>2</v>
      </c>
      <c r="AM23">
        <v>-999</v>
      </c>
      <c r="AN23">
        <v>9</v>
      </c>
      <c r="AO23">
        <v>-999</v>
      </c>
      <c r="AP23">
        <v>9</v>
      </c>
      <c r="AQ23">
        <v>-999</v>
      </c>
      <c r="AR23">
        <v>9</v>
      </c>
      <c r="AS23">
        <v>-999</v>
      </c>
      <c r="AT23">
        <v>9</v>
      </c>
      <c r="AU23">
        <v>-999</v>
      </c>
      <c r="AV23">
        <v>9</v>
      </c>
      <c r="AW23">
        <v>-999</v>
      </c>
      <c r="AX23">
        <v>9</v>
      </c>
      <c r="AY23">
        <v>-999</v>
      </c>
      <c r="AZ23">
        <v>9</v>
      </c>
      <c r="BA23">
        <v>-999</v>
      </c>
      <c r="BB23">
        <v>9</v>
      </c>
      <c r="BC23">
        <v>-999</v>
      </c>
      <c r="BD23">
        <v>9</v>
      </c>
      <c r="BE23">
        <v>-999</v>
      </c>
      <c r="BF23">
        <v>9</v>
      </c>
      <c r="BG23">
        <v>-999</v>
      </c>
      <c r="BH23">
        <v>9</v>
      </c>
      <c r="BI23">
        <v>-999</v>
      </c>
      <c r="BJ23">
        <v>9</v>
      </c>
      <c r="BK23">
        <v>-999</v>
      </c>
      <c r="BL23">
        <v>9</v>
      </c>
      <c r="BM23">
        <v>-999</v>
      </c>
      <c r="BN23">
        <v>9</v>
      </c>
      <c r="BO23">
        <v>0.1</v>
      </c>
      <c r="BP23">
        <v>2</v>
      </c>
      <c r="BQ23">
        <v>0.58199999999999996</v>
      </c>
      <c r="BR23">
        <v>2</v>
      </c>
      <c r="BS23">
        <v>0</v>
      </c>
      <c r="BT23">
        <v>2</v>
      </c>
      <c r="BU23">
        <v>-999</v>
      </c>
      <c r="BV23">
        <v>9</v>
      </c>
      <c r="BW23">
        <v>-999</v>
      </c>
      <c r="BX23">
        <v>9</v>
      </c>
      <c r="BY23">
        <v>-999</v>
      </c>
      <c r="BZ23">
        <v>9</v>
      </c>
    </row>
    <row r="24" spans="1:78">
      <c r="A24" t="s">
        <v>10</v>
      </c>
      <c r="B24">
        <v>96</v>
      </c>
      <c r="C24">
        <v>33</v>
      </c>
      <c r="D24" t="s">
        <v>23</v>
      </c>
      <c r="E24">
        <v>2132</v>
      </c>
      <c r="F24" t="s">
        <v>17</v>
      </c>
      <c r="G24">
        <v>1600</v>
      </c>
      <c r="H24" s="52">
        <v>67695.035460992905</v>
      </c>
      <c r="I24" s="52">
        <v>13787.682668700731</v>
      </c>
      <c r="J24" s="2">
        <v>0.41054551158293334</v>
      </c>
      <c r="K24" s="2">
        <v>3.5775649723138764E-2</v>
      </c>
      <c r="L24" s="2">
        <v>5.9313745356298544E-3</v>
      </c>
      <c r="M24" s="2">
        <f t="shared" si="0"/>
        <v>4.170702425876862E-2</v>
      </c>
      <c r="N24" s="1">
        <v>60.646324916913152</v>
      </c>
      <c r="O24" s="1">
        <v>5.2848262032085556</v>
      </c>
      <c r="P24" s="1">
        <v>0.87619047619047619</v>
      </c>
      <c r="Q24" s="1">
        <v>66.807341596312185</v>
      </c>
      <c r="R24" t="s">
        <v>12</v>
      </c>
      <c r="S24" t="s">
        <v>13</v>
      </c>
      <c r="T24">
        <v>33</v>
      </c>
      <c r="U24">
        <v>1</v>
      </c>
      <c r="V24">
        <v>2</v>
      </c>
      <c r="W24">
        <v>2</v>
      </c>
      <c r="X24">
        <v>2</v>
      </c>
      <c r="Y24">
        <v>20020607</v>
      </c>
      <c r="Z24">
        <v>72.187399999999997</v>
      </c>
      <c r="AA24">
        <v>-154.39619999999999</v>
      </c>
      <c r="AB24">
        <v>1805</v>
      </c>
      <c r="AC24">
        <v>1501.4</v>
      </c>
      <c r="AD24">
        <v>2</v>
      </c>
      <c r="AE24">
        <v>-0.32400000000000001</v>
      </c>
      <c r="AF24">
        <v>2</v>
      </c>
      <c r="AG24">
        <v>34.914700000000003</v>
      </c>
      <c r="AH24">
        <v>2</v>
      </c>
      <c r="AI24">
        <v>34.914000000000001</v>
      </c>
      <c r="AJ24">
        <v>2</v>
      </c>
      <c r="AK24">
        <v>286.89999999999998</v>
      </c>
      <c r="AL24">
        <v>2</v>
      </c>
      <c r="AM24">
        <v>297.89999999999998</v>
      </c>
      <c r="AN24">
        <v>2</v>
      </c>
      <c r="AO24">
        <v>6.8570000000000002</v>
      </c>
      <c r="AP24">
        <v>2</v>
      </c>
      <c r="AQ24">
        <v>8.65</v>
      </c>
      <c r="AR24">
        <v>2</v>
      </c>
      <c r="AS24">
        <v>8.85</v>
      </c>
      <c r="AT24">
        <v>2</v>
      </c>
      <c r="AU24">
        <v>13.34</v>
      </c>
      <c r="AV24">
        <v>2</v>
      </c>
      <c r="AW24">
        <v>13.65</v>
      </c>
      <c r="AX24">
        <v>2</v>
      </c>
      <c r="AY24">
        <v>0</v>
      </c>
      <c r="AZ24">
        <v>2</v>
      </c>
      <c r="BA24">
        <v>0</v>
      </c>
      <c r="BB24">
        <v>2</v>
      </c>
      <c r="BC24">
        <v>0.95</v>
      </c>
      <c r="BD24">
        <v>2</v>
      </c>
      <c r="BE24">
        <v>0.97</v>
      </c>
      <c r="BF24">
        <v>2</v>
      </c>
      <c r="BG24">
        <v>0</v>
      </c>
      <c r="BH24">
        <v>2</v>
      </c>
      <c r="BI24">
        <v>0</v>
      </c>
      <c r="BJ24">
        <v>2</v>
      </c>
      <c r="BK24">
        <v>0.03</v>
      </c>
      <c r="BL24">
        <v>2</v>
      </c>
      <c r="BM24">
        <v>0.03</v>
      </c>
      <c r="BN24">
        <v>2</v>
      </c>
      <c r="BO24">
        <v>0.108</v>
      </c>
      <c r="BP24">
        <v>2</v>
      </c>
      <c r="BQ24">
        <v>0.56899999999999995</v>
      </c>
      <c r="BR24">
        <v>2</v>
      </c>
      <c r="BS24">
        <v>0.13700000000000001</v>
      </c>
      <c r="BT24">
        <v>2</v>
      </c>
      <c r="BU24">
        <v>0.97</v>
      </c>
      <c r="BV24">
        <v>2</v>
      </c>
      <c r="BW24">
        <v>-999</v>
      </c>
      <c r="BX24">
        <v>9</v>
      </c>
      <c r="BY24">
        <v>-999</v>
      </c>
      <c r="BZ24">
        <v>9</v>
      </c>
    </row>
    <row r="25" spans="1:78">
      <c r="A25" t="s">
        <v>27</v>
      </c>
      <c r="B25">
        <v>95</v>
      </c>
      <c r="C25">
        <v>33</v>
      </c>
      <c r="E25">
        <v>2140</v>
      </c>
      <c r="F25" t="s">
        <v>17</v>
      </c>
      <c r="G25">
        <v>1200</v>
      </c>
      <c r="H25" s="52">
        <v>80939.716312056742</v>
      </c>
      <c r="I25" s="52">
        <v>17665.534931201219</v>
      </c>
      <c r="J25" s="2">
        <v>0.39416464773659626</v>
      </c>
      <c r="K25" s="2">
        <v>4.8953168931830549E-2</v>
      </c>
      <c r="L25" s="2">
        <v>7.135136257931789E-3</v>
      </c>
      <c r="M25" s="2">
        <f t="shared" si="0"/>
        <v>5.6088305189762336E-2</v>
      </c>
      <c r="N25" s="1">
        <v>51.059219860803182</v>
      </c>
      <c r="O25" s="1">
        <v>6.0481023609096223</v>
      </c>
      <c r="P25" s="1">
        <v>0.88153709736550467</v>
      </c>
      <c r="Q25" s="1">
        <v>57.988859319078308</v>
      </c>
      <c r="R25" t="s">
        <v>29</v>
      </c>
      <c r="S25" t="s">
        <v>30</v>
      </c>
      <c r="T25">
        <v>33</v>
      </c>
      <c r="U25">
        <v>1</v>
      </c>
      <c r="V25">
        <v>1</v>
      </c>
      <c r="W25">
        <v>1</v>
      </c>
      <c r="X25">
        <v>2</v>
      </c>
      <c r="Y25">
        <v>20020814</v>
      </c>
      <c r="Z25">
        <v>73.497200000000007</v>
      </c>
      <c r="AA25">
        <v>-159.54820000000001</v>
      </c>
      <c r="AB25">
        <v>2251</v>
      </c>
      <c r="AC25">
        <v>1201</v>
      </c>
      <c r="AD25">
        <v>2</v>
      </c>
      <c r="AE25">
        <v>-0.18190000000000001</v>
      </c>
      <c r="AF25">
        <v>2</v>
      </c>
      <c r="AG25">
        <v>34.895499999999998</v>
      </c>
      <c r="AH25">
        <v>2</v>
      </c>
      <c r="AI25">
        <v>34.881</v>
      </c>
      <c r="AJ25">
        <v>4</v>
      </c>
      <c r="AK25">
        <v>287.3</v>
      </c>
      <c r="AL25">
        <v>2</v>
      </c>
      <c r="AM25">
        <v>300.60000000000002</v>
      </c>
      <c r="AN25">
        <v>2</v>
      </c>
      <c r="AO25">
        <v>6.9189999999999996</v>
      </c>
      <c r="AP25">
        <v>2</v>
      </c>
      <c r="AQ25">
        <v>7.19</v>
      </c>
      <c r="AR25">
        <v>2</v>
      </c>
      <c r="AS25">
        <v>7.36</v>
      </c>
      <c r="AT25">
        <v>2</v>
      </c>
      <c r="AU25">
        <v>12.63</v>
      </c>
      <c r="AV25">
        <v>2</v>
      </c>
      <c r="AW25">
        <v>12.92</v>
      </c>
      <c r="AX25">
        <v>2</v>
      </c>
      <c r="AY25">
        <v>0</v>
      </c>
      <c r="AZ25">
        <v>2</v>
      </c>
      <c r="BA25">
        <v>0</v>
      </c>
      <c r="BB25">
        <v>2</v>
      </c>
      <c r="BC25">
        <v>0.9</v>
      </c>
      <c r="BD25">
        <v>2</v>
      </c>
      <c r="BE25">
        <v>0.92</v>
      </c>
      <c r="BF25">
        <v>2</v>
      </c>
      <c r="BG25">
        <v>0</v>
      </c>
      <c r="BH25">
        <v>2</v>
      </c>
      <c r="BI25">
        <v>0</v>
      </c>
      <c r="BJ25">
        <v>2</v>
      </c>
      <c r="BK25">
        <v>0</v>
      </c>
      <c r="BL25">
        <v>2</v>
      </c>
      <c r="BM25">
        <v>0</v>
      </c>
      <c r="BN25">
        <v>2</v>
      </c>
      <c r="BO25">
        <v>0.10100000000000001</v>
      </c>
      <c r="BP25">
        <v>2</v>
      </c>
      <c r="BQ25">
        <v>0.58199999999999996</v>
      </c>
      <c r="BR25">
        <v>2</v>
      </c>
      <c r="BS25">
        <v>0.13700000000000001</v>
      </c>
      <c r="BT25">
        <v>2</v>
      </c>
      <c r="BU25">
        <v>1.03</v>
      </c>
      <c r="BV25">
        <v>2</v>
      </c>
      <c r="BW25">
        <v>-999</v>
      </c>
      <c r="BX25">
        <v>9</v>
      </c>
      <c r="BY25">
        <v>-999</v>
      </c>
      <c r="BZ25">
        <v>9</v>
      </c>
    </row>
    <row r="26" spans="1:78">
      <c r="A26" t="s">
        <v>27</v>
      </c>
      <c r="B26">
        <v>76</v>
      </c>
      <c r="C26">
        <v>30</v>
      </c>
      <c r="E26">
        <v>1882</v>
      </c>
      <c r="F26" t="s">
        <v>20</v>
      </c>
      <c r="G26">
        <v>100</v>
      </c>
      <c r="H26" s="52">
        <v>144808.51063829788</v>
      </c>
      <c r="I26" s="52">
        <v>35449.719248143934</v>
      </c>
      <c r="J26" s="2">
        <v>0.86711097324694775</v>
      </c>
      <c r="K26" s="2">
        <v>5.6835341631483932E-2</v>
      </c>
      <c r="L26" s="2">
        <v>7.9464320510965226E-3</v>
      </c>
      <c r="M26" s="2">
        <f t="shared" si="0"/>
        <v>6.4781773682580451E-2</v>
      </c>
      <c r="N26" s="1">
        <v>59.879835061132148</v>
      </c>
      <c r="O26" s="1">
        <v>3.9248619698497569</v>
      </c>
      <c r="P26" s="1">
        <v>0.54875449074571925</v>
      </c>
      <c r="Q26" s="1">
        <v>64.353451521727621</v>
      </c>
      <c r="R26" t="s">
        <v>29</v>
      </c>
      <c r="S26" t="s">
        <v>30</v>
      </c>
      <c r="T26">
        <v>30</v>
      </c>
      <c r="U26">
        <v>6</v>
      </c>
      <c r="V26">
        <v>6</v>
      </c>
      <c r="W26">
        <v>6</v>
      </c>
      <c r="X26">
        <v>2</v>
      </c>
      <c r="Y26">
        <v>20020811</v>
      </c>
      <c r="Z26">
        <v>73.070899999999995</v>
      </c>
      <c r="AA26">
        <v>-157.98410000000001</v>
      </c>
      <c r="AB26">
        <v>1955</v>
      </c>
      <c r="AC26">
        <v>101.6</v>
      </c>
      <c r="AD26">
        <v>2</v>
      </c>
      <c r="AE26">
        <v>-1.4881</v>
      </c>
      <c r="AF26">
        <v>2</v>
      </c>
      <c r="AG26">
        <v>32.686</v>
      </c>
      <c r="AH26">
        <v>2</v>
      </c>
      <c r="AI26">
        <v>32.678600000000003</v>
      </c>
      <c r="AJ26">
        <v>2</v>
      </c>
      <c r="AK26">
        <v>286.8</v>
      </c>
      <c r="AL26">
        <v>2</v>
      </c>
      <c r="AM26">
        <v>296.39999999999998</v>
      </c>
      <c r="AN26">
        <v>2</v>
      </c>
      <c r="AO26">
        <v>6.8109999999999999</v>
      </c>
      <c r="AP26">
        <v>2</v>
      </c>
      <c r="AQ26">
        <v>28.16</v>
      </c>
      <c r="AR26">
        <v>2</v>
      </c>
      <c r="AS26">
        <v>28.77</v>
      </c>
      <c r="AT26">
        <v>2</v>
      </c>
      <c r="AU26">
        <v>12.94</v>
      </c>
      <c r="AV26">
        <v>2</v>
      </c>
      <c r="AW26">
        <v>13.22</v>
      </c>
      <c r="AX26">
        <v>2</v>
      </c>
      <c r="AY26">
        <v>0</v>
      </c>
      <c r="AZ26">
        <v>2</v>
      </c>
      <c r="BA26">
        <v>0</v>
      </c>
      <c r="BB26">
        <v>2</v>
      </c>
      <c r="BC26">
        <v>1.7</v>
      </c>
      <c r="BD26">
        <v>2</v>
      </c>
      <c r="BE26">
        <v>1.74</v>
      </c>
      <c r="BF26">
        <v>2</v>
      </c>
      <c r="BG26">
        <v>0</v>
      </c>
      <c r="BH26">
        <v>2</v>
      </c>
      <c r="BI26">
        <v>0</v>
      </c>
      <c r="BJ26">
        <v>2</v>
      </c>
      <c r="BK26">
        <v>0</v>
      </c>
      <c r="BL26">
        <v>2</v>
      </c>
      <c r="BM26">
        <v>0</v>
      </c>
      <c r="BN26">
        <v>2</v>
      </c>
      <c r="BO26">
        <v>0.14699999999999999</v>
      </c>
      <c r="BP26">
        <v>2</v>
      </c>
      <c r="BQ26">
        <v>0.76500000000000001</v>
      </c>
      <c r="BR26">
        <v>2</v>
      </c>
      <c r="BS26">
        <v>0</v>
      </c>
      <c r="BT26">
        <v>2</v>
      </c>
      <c r="BU26">
        <v>-10.130000000000001</v>
      </c>
      <c r="BV26">
        <v>2</v>
      </c>
      <c r="BW26">
        <v>0.05</v>
      </c>
      <c r="BX26">
        <v>2</v>
      </c>
      <c r="BY26">
        <v>0.03</v>
      </c>
      <c r="BZ26">
        <v>2</v>
      </c>
    </row>
    <row r="27" spans="1:78">
      <c r="A27" t="s">
        <v>41</v>
      </c>
      <c r="B27">
        <v>65</v>
      </c>
      <c r="C27">
        <v>20</v>
      </c>
      <c r="E27">
        <v>2386</v>
      </c>
      <c r="F27" t="s">
        <v>17</v>
      </c>
      <c r="G27">
        <v>800</v>
      </c>
      <c r="H27" s="52">
        <v>55472.736883293401</v>
      </c>
      <c r="I27" s="52">
        <v>14603.966984482553</v>
      </c>
      <c r="J27" s="2">
        <v>0.3312661139901204</v>
      </c>
      <c r="K27" s="2">
        <v>8.4305274619779248E-3</v>
      </c>
      <c r="L27" s="2">
        <v>6.0663370454498954E-2</v>
      </c>
      <c r="M27" s="2">
        <f t="shared" si="0"/>
        <v>6.9093897916476882E-2</v>
      </c>
      <c r="N27" s="1">
        <v>59.716922690700528</v>
      </c>
      <c r="O27" s="1">
        <v>1.5197605050052843</v>
      </c>
      <c r="P27" s="1">
        <v>10.935708937910507</v>
      </c>
      <c r="Q27" s="1">
        <v>72.172392133616327</v>
      </c>
      <c r="R27" t="s">
        <v>42</v>
      </c>
      <c r="S27" t="s">
        <v>46</v>
      </c>
      <c r="T27">
        <v>20</v>
      </c>
      <c r="U27">
        <v>3</v>
      </c>
      <c r="V27">
        <v>6</v>
      </c>
      <c r="W27">
        <v>6</v>
      </c>
      <c r="X27">
        <v>2</v>
      </c>
      <c r="Y27">
        <v>20040604</v>
      </c>
      <c r="Z27">
        <v>73.143000000000001</v>
      </c>
      <c r="AA27">
        <v>-157.786</v>
      </c>
      <c r="AB27">
        <v>2481</v>
      </c>
      <c r="AC27">
        <v>812.9</v>
      </c>
      <c r="AD27">
        <v>2</v>
      </c>
      <c r="AE27">
        <v>0.1045</v>
      </c>
      <c r="AF27">
        <v>2</v>
      </c>
      <c r="AG27">
        <v>34.874000000000002</v>
      </c>
      <c r="AH27">
        <v>2</v>
      </c>
      <c r="AI27">
        <v>34.870100000000001</v>
      </c>
      <c r="AJ27">
        <v>2</v>
      </c>
      <c r="AK27">
        <v>320.10000000000002</v>
      </c>
      <c r="AL27">
        <v>2</v>
      </c>
      <c r="AM27">
        <v>299.60000000000002</v>
      </c>
      <c r="AN27">
        <v>2</v>
      </c>
      <c r="AO27">
        <v>6.8970000000000002</v>
      </c>
      <c r="AP27">
        <v>2</v>
      </c>
      <c r="AQ27">
        <v>7.72</v>
      </c>
      <c r="AR27">
        <v>2</v>
      </c>
      <c r="AS27">
        <v>7.91</v>
      </c>
      <c r="AT27">
        <v>2</v>
      </c>
      <c r="AU27">
        <v>12.56</v>
      </c>
      <c r="AV27">
        <v>2</v>
      </c>
      <c r="AW27">
        <v>12.87</v>
      </c>
      <c r="AX27">
        <v>2</v>
      </c>
      <c r="AY27">
        <v>0</v>
      </c>
      <c r="AZ27">
        <v>2</v>
      </c>
      <c r="BA27">
        <v>0</v>
      </c>
      <c r="BB27">
        <v>2</v>
      </c>
      <c r="BC27">
        <v>0.88</v>
      </c>
      <c r="BD27">
        <v>2</v>
      </c>
      <c r="BE27">
        <v>0.9</v>
      </c>
      <c r="BF27">
        <v>2</v>
      </c>
      <c r="BG27">
        <v>0.11</v>
      </c>
      <c r="BH27">
        <v>2</v>
      </c>
      <c r="BI27">
        <v>0.11</v>
      </c>
      <c r="BJ27">
        <v>2</v>
      </c>
      <c r="BK27">
        <v>0.12</v>
      </c>
      <c r="BL27">
        <v>2</v>
      </c>
      <c r="BM27">
        <v>0.12</v>
      </c>
      <c r="BN27">
        <v>2</v>
      </c>
      <c r="BO27">
        <v>0.115</v>
      </c>
      <c r="BP27">
        <v>2</v>
      </c>
      <c r="BQ27">
        <v>0.63300000000000001</v>
      </c>
      <c r="BR27">
        <v>2</v>
      </c>
      <c r="BS27">
        <v>0.152</v>
      </c>
      <c r="BT27">
        <v>2</v>
      </c>
      <c r="BU27">
        <v>1.36</v>
      </c>
      <c r="BV27">
        <v>2</v>
      </c>
      <c r="BW27">
        <v>-999</v>
      </c>
      <c r="BX27">
        <v>9</v>
      </c>
      <c r="BY27">
        <v>-999</v>
      </c>
      <c r="BZ27">
        <v>9</v>
      </c>
    </row>
    <row r="28" spans="1:78">
      <c r="A28" t="s">
        <v>52</v>
      </c>
      <c r="B28">
        <v>116</v>
      </c>
      <c r="C28">
        <v>37</v>
      </c>
      <c r="E28">
        <v>3804</v>
      </c>
      <c r="F28" t="s">
        <v>17</v>
      </c>
      <c r="G28">
        <v>430</v>
      </c>
      <c r="H28" s="52">
        <v>116228.62774082285</v>
      </c>
      <c r="I28" s="52">
        <v>21923.620181973631</v>
      </c>
      <c r="J28" s="2">
        <v>0.627887689082125</v>
      </c>
      <c r="K28" s="2">
        <v>5.6835617360707025E-2</v>
      </c>
      <c r="L28" s="2">
        <v>1.559643971483694E-2</v>
      </c>
      <c r="M28" s="2">
        <f t="shared" si="0"/>
        <v>7.2432057075543968E-2</v>
      </c>
      <c r="N28" s="1">
        <v>54.021775984677888</v>
      </c>
      <c r="O28" s="1">
        <v>4.8899843752301919</v>
      </c>
      <c r="P28" s="1">
        <v>1.3418759231688855</v>
      </c>
      <c r="Q28" s="1">
        <v>60.253636283076965</v>
      </c>
      <c r="R28" t="s">
        <v>53</v>
      </c>
      <c r="S28" t="s">
        <v>64</v>
      </c>
      <c r="T28">
        <v>37</v>
      </c>
      <c r="U28">
        <v>6</v>
      </c>
      <c r="V28">
        <v>606</v>
      </c>
      <c r="W28">
        <v>6</v>
      </c>
      <c r="X28">
        <v>2</v>
      </c>
      <c r="Y28">
        <v>20040809</v>
      </c>
      <c r="Z28">
        <v>72.766999999999996</v>
      </c>
      <c r="AA28">
        <v>-152.79900000000001</v>
      </c>
      <c r="AB28">
        <v>3825</v>
      </c>
      <c r="AC28">
        <v>438.2</v>
      </c>
      <c r="AD28">
        <v>2</v>
      </c>
      <c r="AE28">
        <v>0.64400000000000002</v>
      </c>
      <c r="AF28">
        <v>2</v>
      </c>
      <c r="AG28">
        <v>34.805999999999997</v>
      </c>
      <c r="AH28">
        <v>2</v>
      </c>
      <c r="AI28">
        <v>-999</v>
      </c>
      <c r="AJ28">
        <v>9</v>
      </c>
      <c r="AK28">
        <v>274.2</v>
      </c>
      <c r="AL28">
        <v>2</v>
      </c>
      <c r="AM28">
        <v>-999</v>
      </c>
      <c r="AN28">
        <v>9</v>
      </c>
      <c r="AO28">
        <v>-999</v>
      </c>
      <c r="AP28">
        <v>9</v>
      </c>
      <c r="AQ28">
        <v>7.7</v>
      </c>
      <c r="AR28">
        <v>2</v>
      </c>
      <c r="AS28">
        <v>7.89</v>
      </c>
      <c r="AT28">
        <v>2</v>
      </c>
      <c r="AU28">
        <v>12.65</v>
      </c>
      <c r="AV28">
        <v>2</v>
      </c>
      <c r="AW28">
        <v>12.96</v>
      </c>
      <c r="AX28">
        <v>2</v>
      </c>
      <c r="AY28">
        <v>0.01</v>
      </c>
      <c r="AZ28">
        <v>2</v>
      </c>
      <c r="BA28">
        <v>0.01</v>
      </c>
      <c r="BB28">
        <v>2</v>
      </c>
      <c r="BC28">
        <v>0.91</v>
      </c>
      <c r="BD28">
        <v>2</v>
      </c>
      <c r="BE28">
        <v>0.93</v>
      </c>
      <c r="BF28">
        <v>2</v>
      </c>
      <c r="BG28">
        <v>0.02</v>
      </c>
      <c r="BH28">
        <v>2</v>
      </c>
      <c r="BI28">
        <v>0.02</v>
      </c>
      <c r="BJ28">
        <v>2</v>
      </c>
      <c r="BK28">
        <v>0.06</v>
      </c>
      <c r="BL28">
        <v>2</v>
      </c>
      <c r="BM28">
        <v>0.06</v>
      </c>
      <c r="BN28">
        <v>2</v>
      </c>
      <c r="BO28">
        <v>-999</v>
      </c>
      <c r="BP28">
        <v>9</v>
      </c>
      <c r="BS28">
        <v>-999</v>
      </c>
      <c r="BT28">
        <v>9</v>
      </c>
      <c r="BU28">
        <v>0.95</v>
      </c>
      <c r="BV28">
        <v>2</v>
      </c>
      <c r="BW28">
        <v>-999</v>
      </c>
      <c r="BX28">
        <v>9</v>
      </c>
      <c r="BY28">
        <v>-999</v>
      </c>
      <c r="BZ28">
        <v>9</v>
      </c>
    </row>
    <row r="29" spans="1:78">
      <c r="A29" t="s">
        <v>52</v>
      </c>
      <c r="B29">
        <v>175</v>
      </c>
      <c r="C29">
        <v>51</v>
      </c>
      <c r="E29">
        <v>3703</v>
      </c>
      <c r="F29" t="s">
        <v>17</v>
      </c>
      <c r="G29">
        <v>500</v>
      </c>
      <c r="H29" s="52">
        <v>89100</v>
      </c>
      <c r="I29" s="52">
        <v>16200</v>
      </c>
      <c r="J29" s="2">
        <v>0.45458702035090887</v>
      </c>
      <c r="K29" s="2">
        <v>6.7591773550402939E-2</v>
      </c>
      <c r="L29" s="2">
        <v>9.3160211055939145E-3</v>
      </c>
      <c r="M29" s="2">
        <f t="shared" si="0"/>
        <v>7.6907794655996856E-2</v>
      </c>
      <c r="N29" s="1">
        <v>51.019867603917945</v>
      </c>
      <c r="O29" s="1">
        <v>7.5860576375311943</v>
      </c>
      <c r="P29" s="1">
        <v>1.045569147653638</v>
      </c>
      <c r="Q29" s="1">
        <v>59.65149438910278</v>
      </c>
      <c r="R29" t="s">
        <v>53</v>
      </c>
      <c r="S29" t="s">
        <v>68</v>
      </c>
      <c r="T29">
        <v>51</v>
      </c>
      <c r="U29">
        <v>1</v>
      </c>
      <c r="V29">
        <v>106</v>
      </c>
      <c r="W29">
        <v>6</v>
      </c>
      <c r="X29">
        <v>2</v>
      </c>
      <c r="Y29">
        <v>20040817</v>
      </c>
      <c r="Z29">
        <v>73.798000000000002</v>
      </c>
      <c r="AA29">
        <v>-156.72200000000001</v>
      </c>
      <c r="AB29">
        <v>3688</v>
      </c>
      <c r="AC29">
        <v>530.4</v>
      </c>
      <c r="AD29">
        <v>2</v>
      </c>
      <c r="AE29">
        <v>0.61299999999999999</v>
      </c>
      <c r="AF29">
        <v>2</v>
      </c>
      <c r="AG29">
        <v>34.847999999999999</v>
      </c>
      <c r="AH29">
        <v>2</v>
      </c>
      <c r="AI29">
        <v>-999</v>
      </c>
      <c r="AJ29">
        <v>9</v>
      </c>
      <c r="AK29">
        <v>279.10000000000002</v>
      </c>
      <c r="AL29">
        <v>2</v>
      </c>
      <c r="AM29">
        <v>-999</v>
      </c>
      <c r="AN29">
        <v>9</v>
      </c>
      <c r="AO29">
        <v>-999</v>
      </c>
      <c r="AP29">
        <v>9</v>
      </c>
      <c r="AQ29">
        <v>6.77</v>
      </c>
      <c r="AR29">
        <v>2</v>
      </c>
      <c r="AS29">
        <v>6.94</v>
      </c>
      <c r="AT29">
        <v>2</v>
      </c>
      <c r="AU29">
        <v>12.45</v>
      </c>
      <c r="AV29">
        <v>2</v>
      </c>
      <c r="AW29">
        <v>12.76</v>
      </c>
      <c r="AX29">
        <v>2</v>
      </c>
      <c r="AY29">
        <v>0.01</v>
      </c>
      <c r="AZ29">
        <v>2</v>
      </c>
      <c r="BA29">
        <v>0.01</v>
      </c>
      <c r="BB29">
        <v>2</v>
      </c>
      <c r="BC29">
        <v>0.91</v>
      </c>
      <c r="BD29">
        <v>2</v>
      </c>
      <c r="BE29">
        <v>0.93</v>
      </c>
      <c r="BF29">
        <v>2</v>
      </c>
      <c r="BG29">
        <v>0.02</v>
      </c>
      <c r="BH29">
        <v>2</v>
      </c>
      <c r="BI29">
        <v>0.02</v>
      </c>
      <c r="BJ29">
        <v>2</v>
      </c>
      <c r="BK29">
        <v>7.0000000000000007E-2</v>
      </c>
      <c r="BL29">
        <v>2</v>
      </c>
      <c r="BM29">
        <v>7.0000000000000007E-2</v>
      </c>
      <c r="BN29">
        <v>2</v>
      </c>
      <c r="BO29">
        <v>0</v>
      </c>
      <c r="BP29">
        <v>2</v>
      </c>
      <c r="BS29">
        <v>-999</v>
      </c>
      <c r="BT29">
        <v>9</v>
      </c>
      <c r="BU29">
        <v>0.77</v>
      </c>
      <c r="BV29">
        <v>2</v>
      </c>
      <c r="BW29">
        <v>-999</v>
      </c>
      <c r="BX29">
        <v>9</v>
      </c>
      <c r="BY29">
        <v>-999</v>
      </c>
      <c r="BZ29">
        <v>9</v>
      </c>
    </row>
    <row r="30" spans="1:78">
      <c r="A30" t="s">
        <v>41</v>
      </c>
      <c r="B30">
        <v>64</v>
      </c>
      <c r="C30">
        <v>20</v>
      </c>
      <c r="E30">
        <v>2386</v>
      </c>
      <c r="F30" t="s">
        <v>17</v>
      </c>
      <c r="G30">
        <v>1500</v>
      </c>
      <c r="H30" s="52">
        <v>28776.456359604916</v>
      </c>
      <c r="I30" s="52">
        <v>10418.455430637434</v>
      </c>
      <c r="J30" s="2">
        <v>0.14541091443227713</v>
      </c>
      <c r="K30" s="2">
        <v>6.3846903863754275E-3</v>
      </c>
      <c r="L30" s="2">
        <v>7.0999534504699369E-2</v>
      </c>
      <c r="M30" s="2">
        <f t="shared" si="0"/>
        <v>7.7384224891074799E-2</v>
      </c>
      <c r="N30" s="1">
        <v>50.531209477341477</v>
      </c>
      <c r="O30" s="1">
        <v>2.2187201601855211</v>
      </c>
      <c r="P30" s="1">
        <v>24.672785841819387</v>
      </c>
      <c r="Q30" s="1">
        <v>77.42271547934638</v>
      </c>
      <c r="R30" t="s">
        <v>42</v>
      </c>
      <c r="S30" t="s">
        <v>46</v>
      </c>
      <c r="T30">
        <v>20</v>
      </c>
      <c r="U30">
        <v>3</v>
      </c>
      <c r="V30">
        <v>1</v>
      </c>
      <c r="W30">
        <v>1</v>
      </c>
      <c r="X30">
        <v>2</v>
      </c>
      <c r="Y30">
        <v>20040604</v>
      </c>
      <c r="Z30">
        <v>73.143000000000001</v>
      </c>
      <c r="AA30">
        <v>-157.786</v>
      </c>
      <c r="AB30">
        <v>2481</v>
      </c>
      <c r="AC30">
        <v>1524.3</v>
      </c>
      <c r="AD30">
        <v>2</v>
      </c>
      <c r="AE30">
        <v>-0.35470000000000002</v>
      </c>
      <c r="AF30">
        <v>2</v>
      </c>
      <c r="AG30">
        <v>34.922800000000002</v>
      </c>
      <c r="AH30">
        <v>2</v>
      </c>
      <c r="AI30">
        <v>34.918900000000001</v>
      </c>
      <c r="AJ30">
        <v>2</v>
      </c>
      <c r="AK30">
        <v>321.8</v>
      </c>
      <c r="AL30">
        <v>2</v>
      </c>
      <c r="AM30">
        <v>297.10000000000002</v>
      </c>
      <c r="AN30">
        <v>2</v>
      </c>
      <c r="AO30">
        <v>6.84</v>
      </c>
      <c r="AP30">
        <v>2</v>
      </c>
      <c r="AQ30">
        <v>9.41</v>
      </c>
      <c r="AR30">
        <v>2</v>
      </c>
      <c r="AS30">
        <v>9.64</v>
      </c>
      <c r="AT30">
        <v>2</v>
      </c>
      <c r="AU30">
        <v>13.51</v>
      </c>
      <c r="AV30">
        <v>2</v>
      </c>
      <c r="AW30">
        <v>13.84</v>
      </c>
      <c r="AX30">
        <v>2</v>
      </c>
      <c r="AY30">
        <v>0</v>
      </c>
      <c r="AZ30">
        <v>2</v>
      </c>
      <c r="BA30">
        <v>0</v>
      </c>
      <c r="BB30">
        <v>2</v>
      </c>
      <c r="BC30">
        <v>0.95</v>
      </c>
      <c r="BD30">
        <v>2</v>
      </c>
      <c r="BE30">
        <v>0.97</v>
      </c>
      <c r="BF30">
        <v>2</v>
      </c>
      <c r="BG30">
        <v>0.11</v>
      </c>
      <c r="BH30">
        <v>2</v>
      </c>
      <c r="BI30">
        <v>0.11</v>
      </c>
      <c r="BJ30">
        <v>2</v>
      </c>
      <c r="BK30">
        <v>0.12</v>
      </c>
      <c r="BL30">
        <v>2</v>
      </c>
      <c r="BM30">
        <v>0.12</v>
      </c>
      <c r="BN30">
        <v>2</v>
      </c>
      <c r="BO30">
        <v>0.115</v>
      </c>
      <c r="BP30">
        <v>2</v>
      </c>
      <c r="BQ30">
        <v>0.52800000000000002</v>
      </c>
      <c r="BR30">
        <v>2</v>
      </c>
      <c r="BS30">
        <v>0.153</v>
      </c>
      <c r="BT30">
        <v>2</v>
      </c>
      <c r="BU30">
        <v>1.23</v>
      </c>
      <c r="BV30">
        <v>2</v>
      </c>
      <c r="BW30">
        <v>-999</v>
      </c>
      <c r="BX30">
        <v>9</v>
      </c>
      <c r="BY30">
        <v>-999</v>
      </c>
      <c r="BZ30">
        <v>9</v>
      </c>
    </row>
    <row r="31" spans="1:78">
      <c r="A31" t="s">
        <v>27</v>
      </c>
      <c r="B31">
        <v>94</v>
      </c>
      <c r="C31">
        <v>33</v>
      </c>
      <c r="E31">
        <v>2140</v>
      </c>
      <c r="F31" t="s">
        <v>17</v>
      </c>
      <c r="G31">
        <v>800</v>
      </c>
      <c r="H31" s="52">
        <v>77812.5</v>
      </c>
      <c r="I31" s="52">
        <v>19449.494627942539</v>
      </c>
      <c r="J31" s="2">
        <v>0.45911511374214947</v>
      </c>
      <c r="K31" s="2">
        <v>7.7122854242119315E-2</v>
      </c>
      <c r="L31" s="2">
        <v>7.6046743736528054E-3</v>
      </c>
      <c r="M31" s="2">
        <f t="shared" si="0"/>
        <v>8.4727528615772124E-2</v>
      </c>
      <c r="N31" s="1">
        <v>61.819470795594015</v>
      </c>
      <c r="O31" s="1">
        <v>9.9113708262964586</v>
      </c>
      <c r="P31" s="1">
        <v>0.97730755002766978</v>
      </c>
      <c r="Q31" s="1">
        <v>72.708149171918151</v>
      </c>
      <c r="R31" t="s">
        <v>29</v>
      </c>
      <c r="S31" t="s">
        <v>30</v>
      </c>
      <c r="T31">
        <v>33</v>
      </c>
      <c r="U31">
        <v>1</v>
      </c>
      <c r="V31">
        <v>3</v>
      </c>
      <c r="W31">
        <v>3</v>
      </c>
      <c r="X31">
        <v>2</v>
      </c>
      <c r="Y31">
        <v>20020814</v>
      </c>
      <c r="Z31">
        <v>73.497200000000007</v>
      </c>
      <c r="AA31">
        <v>-159.54820000000001</v>
      </c>
      <c r="AB31">
        <v>2251</v>
      </c>
      <c r="AC31">
        <v>800.4</v>
      </c>
      <c r="AD31">
        <v>2</v>
      </c>
      <c r="AE31">
        <v>0.16400000000000001</v>
      </c>
      <c r="AF31">
        <v>2</v>
      </c>
      <c r="AG31">
        <v>34.867400000000004</v>
      </c>
      <c r="AH31">
        <v>2</v>
      </c>
      <c r="AI31">
        <v>34.867600000000003</v>
      </c>
      <c r="AJ31">
        <v>2</v>
      </c>
      <c r="AK31">
        <v>289.3</v>
      </c>
      <c r="AL31">
        <v>2</v>
      </c>
      <c r="AM31">
        <v>300.2</v>
      </c>
      <c r="AN31">
        <v>2</v>
      </c>
      <c r="AO31">
        <v>6.91</v>
      </c>
      <c r="AP31">
        <v>2</v>
      </c>
      <c r="AQ31">
        <v>6.98</v>
      </c>
      <c r="AR31">
        <v>2</v>
      </c>
      <c r="AS31">
        <v>7.14</v>
      </c>
      <c r="AT31">
        <v>2</v>
      </c>
      <c r="AU31">
        <v>12.53</v>
      </c>
      <c r="AV31">
        <v>2</v>
      </c>
      <c r="AW31">
        <v>12.82</v>
      </c>
      <c r="AX31">
        <v>2</v>
      </c>
      <c r="AY31">
        <v>0</v>
      </c>
      <c r="AZ31">
        <v>2</v>
      </c>
      <c r="BA31">
        <v>0</v>
      </c>
      <c r="BB31">
        <v>2</v>
      </c>
      <c r="BC31">
        <v>0.89</v>
      </c>
      <c r="BD31">
        <v>2</v>
      </c>
      <c r="BE31">
        <v>0.91</v>
      </c>
      <c r="BF31">
        <v>2</v>
      </c>
      <c r="BG31">
        <v>0</v>
      </c>
      <c r="BH31">
        <v>2</v>
      </c>
      <c r="BI31">
        <v>0</v>
      </c>
      <c r="BJ31">
        <v>2</v>
      </c>
      <c r="BK31">
        <v>0</v>
      </c>
      <c r="BL31">
        <v>2</v>
      </c>
      <c r="BM31">
        <v>0</v>
      </c>
      <c r="BN31">
        <v>2</v>
      </c>
      <c r="BO31">
        <v>0.10100000000000001</v>
      </c>
      <c r="BP31">
        <v>2</v>
      </c>
      <c r="BQ31">
        <v>0.58399999999999996</v>
      </c>
      <c r="BR31">
        <v>2</v>
      </c>
      <c r="BS31">
        <v>0.13600000000000001</v>
      </c>
      <c r="BT31">
        <v>2</v>
      </c>
      <c r="BU31">
        <v>1.08</v>
      </c>
      <c r="BV31">
        <v>2</v>
      </c>
      <c r="BW31">
        <v>-999</v>
      </c>
      <c r="BX31">
        <v>9</v>
      </c>
      <c r="BY31">
        <v>-999</v>
      </c>
      <c r="BZ31">
        <v>9</v>
      </c>
    </row>
    <row r="32" spans="1:78">
      <c r="A32" t="s">
        <v>27</v>
      </c>
      <c r="B32">
        <v>77</v>
      </c>
      <c r="C32">
        <v>30</v>
      </c>
      <c r="E32">
        <v>1882</v>
      </c>
      <c r="F32" t="s">
        <v>20</v>
      </c>
      <c r="G32">
        <v>200</v>
      </c>
      <c r="H32" s="52">
        <v>141865.24822695</v>
      </c>
      <c r="I32" s="52">
        <v>30956.380297505653</v>
      </c>
      <c r="J32" s="2">
        <v>0.85527942761178122</v>
      </c>
      <c r="K32" s="2">
        <v>8.433683403894221E-2</v>
      </c>
      <c r="L32" s="2">
        <v>5.6916894494339785E-3</v>
      </c>
      <c r="M32" s="2">
        <f t="shared" si="0"/>
        <v>9.0028523488376186E-2</v>
      </c>
      <c r="N32" s="1">
        <v>60.288156423167251</v>
      </c>
      <c r="O32" s="1">
        <v>5.9448550714847173</v>
      </c>
      <c r="P32" s="1">
        <v>0.40120392559625701</v>
      </c>
      <c r="Q32" s="1">
        <v>66.634215420248239</v>
      </c>
      <c r="R32" t="s">
        <v>29</v>
      </c>
      <c r="S32" t="s">
        <v>30</v>
      </c>
      <c r="T32">
        <v>30</v>
      </c>
      <c r="U32">
        <v>6</v>
      </c>
      <c r="V32">
        <v>2</v>
      </c>
      <c r="W32">
        <v>2</v>
      </c>
      <c r="X32">
        <v>2</v>
      </c>
      <c r="Y32">
        <v>20020811</v>
      </c>
      <c r="Z32">
        <v>73.070899999999995</v>
      </c>
      <c r="AA32">
        <v>-157.98410000000001</v>
      </c>
      <c r="AB32">
        <v>1955</v>
      </c>
      <c r="AC32">
        <v>202.4</v>
      </c>
      <c r="AD32">
        <v>2</v>
      </c>
      <c r="AE32">
        <v>-0.97660000000000002</v>
      </c>
      <c r="AF32">
        <v>2</v>
      </c>
      <c r="AG32">
        <v>34.180100000000003</v>
      </c>
      <c r="AH32">
        <v>2</v>
      </c>
      <c r="AI32">
        <v>34.1661</v>
      </c>
      <c r="AJ32">
        <v>2</v>
      </c>
      <c r="AK32">
        <v>267.10000000000002</v>
      </c>
      <c r="AL32">
        <v>2</v>
      </c>
      <c r="AM32">
        <v>272.8</v>
      </c>
      <c r="AN32">
        <v>2</v>
      </c>
      <c r="AO32">
        <v>6.2759999999999998</v>
      </c>
      <c r="AP32">
        <v>2</v>
      </c>
      <c r="AQ32">
        <v>20.98</v>
      </c>
      <c r="AR32">
        <v>2</v>
      </c>
      <c r="AS32">
        <v>21.46</v>
      </c>
      <c r="AT32">
        <v>2</v>
      </c>
      <c r="AU32">
        <v>13.37</v>
      </c>
      <c r="AV32">
        <v>2</v>
      </c>
      <c r="AW32">
        <v>13.67</v>
      </c>
      <c r="AX32">
        <v>2</v>
      </c>
      <c r="AY32">
        <v>0</v>
      </c>
      <c r="AZ32">
        <v>2</v>
      </c>
      <c r="BA32">
        <v>0</v>
      </c>
      <c r="BB32">
        <v>2</v>
      </c>
      <c r="BC32">
        <v>1.31</v>
      </c>
      <c r="BD32">
        <v>2</v>
      </c>
      <c r="BE32">
        <v>1.34</v>
      </c>
      <c r="BF32">
        <v>2</v>
      </c>
      <c r="BG32">
        <v>0</v>
      </c>
      <c r="BH32">
        <v>2</v>
      </c>
      <c r="BI32">
        <v>0</v>
      </c>
      <c r="BJ32">
        <v>2</v>
      </c>
      <c r="BK32">
        <v>0</v>
      </c>
      <c r="BL32">
        <v>2</v>
      </c>
      <c r="BM32">
        <v>0</v>
      </c>
      <c r="BN32">
        <v>2</v>
      </c>
      <c r="BO32">
        <v>0.14199999999999999</v>
      </c>
      <c r="BP32">
        <v>2</v>
      </c>
      <c r="BQ32">
        <v>0.72899999999999998</v>
      </c>
      <c r="BR32">
        <v>2</v>
      </c>
      <c r="BS32">
        <v>0</v>
      </c>
      <c r="BT32">
        <v>2</v>
      </c>
      <c r="BU32">
        <v>-4.17</v>
      </c>
      <c r="BV32">
        <v>2</v>
      </c>
      <c r="BW32">
        <v>0.01</v>
      </c>
      <c r="BX32">
        <v>2</v>
      </c>
      <c r="BY32">
        <v>0.02</v>
      </c>
      <c r="BZ32">
        <v>2</v>
      </c>
    </row>
    <row r="33" spans="1:78">
      <c r="A33" t="s">
        <v>41</v>
      </c>
      <c r="B33">
        <v>112</v>
      </c>
      <c r="C33">
        <v>26</v>
      </c>
      <c r="E33">
        <v>577</v>
      </c>
      <c r="F33" t="s">
        <v>20</v>
      </c>
      <c r="G33">
        <v>500</v>
      </c>
      <c r="H33" s="52">
        <v>101110.23726496202</v>
      </c>
      <c r="I33" s="52">
        <v>22642.434668879079</v>
      </c>
      <c r="J33" s="2">
        <v>0.57208347590825648</v>
      </c>
      <c r="K33" s="2">
        <v>8.961001260020289E-2</v>
      </c>
      <c r="L33" s="2">
        <v>7.3521988490301291E-3</v>
      </c>
      <c r="M33" s="2">
        <f t="shared" si="0"/>
        <v>9.6962211449233018E-2</v>
      </c>
      <c r="N33" s="1">
        <v>56.580173420926393</v>
      </c>
      <c r="O33" s="1">
        <v>8.8626053131867852</v>
      </c>
      <c r="P33" s="1">
        <v>0.72714682982728052</v>
      </c>
      <c r="Q33" s="1">
        <v>66.169925563940453</v>
      </c>
      <c r="R33" t="s">
        <v>42</v>
      </c>
      <c r="S33" t="s">
        <v>51</v>
      </c>
      <c r="T33">
        <v>26</v>
      </c>
      <c r="U33">
        <v>2</v>
      </c>
      <c r="V33">
        <v>4</v>
      </c>
      <c r="W33">
        <v>4</v>
      </c>
      <c r="X33">
        <v>2</v>
      </c>
      <c r="Y33">
        <v>20040614</v>
      </c>
      <c r="Z33">
        <v>72.102000000000004</v>
      </c>
      <c r="AA33">
        <v>-154.44</v>
      </c>
      <c r="AB33">
        <v>1426</v>
      </c>
      <c r="AC33">
        <v>506.7</v>
      </c>
      <c r="AD33">
        <v>2</v>
      </c>
      <c r="AE33">
        <v>0.5675</v>
      </c>
      <c r="AF33">
        <v>2</v>
      </c>
      <c r="AG33">
        <v>34.849899999999998</v>
      </c>
      <c r="AH33">
        <v>2</v>
      </c>
      <c r="AI33">
        <v>34.847200000000001</v>
      </c>
      <c r="AJ33">
        <v>2</v>
      </c>
      <c r="AK33">
        <v>313.60000000000002</v>
      </c>
      <c r="AL33">
        <v>2</v>
      </c>
      <c r="AM33">
        <v>294.8</v>
      </c>
      <c r="AN33">
        <v>2</v>
      </c>
      <c r="AO33">
        <v>6.7859999999999996</v>
      </c>
      <c r="AP33">
        <v>2</v>
      </c>
      <c r="AQ33">
        <v>8.26</v>
      </c>
      <c r="AR33">
        <v>2</v>
      </c>
      <c r="AS33">
        <v>8.4600000000000009</v>
      </c>
      <c r="AT33">
        <v>2</v>
      </c>
      <c r="AU33">
        <v>12.55</v>
      </c>
      <c r="AV33">
        <v>2</v>
      </c>
      <c r="AW33">
        <v>12.86</v>
      </c>
      <c r="AX33">
        <v>2</v>
      </c>
      <c r="AY33">
        <v>0</v>
      </c>
      <c r="AZ33">
        <v>2</v>
      </c>
      <c r="BA33">
        <v>0</v>
      </c>
      <c r="BB33">
        <v>2</v>
      </c>
      <c r="BC33">
        <v>0.88</v>
      </c>
      <c r="BD33">
        <v>2</v>
      </c>
      <c r="BE33">
        <v>0.9</v>
      </c>
      <c r="BF33">
        <v>2</v>
      </c>
      <c r="BG33">
        <v>0.17</v>
      </c>
      <c r="BH33">
        <v>2</v>
      </c>
      <c r="BI33">
        <v>0.17</v>
      </c>
      <c r="BJ33">
        <v>2</v>
      </c>
      <c r="BK33">
        <v>0.14000000000000001</v>
      </c>
      <c r="BL33">
        <v>2</v>
      </c>
      <c r="BM33">
        <v>0.14000000000000001</v>
      </c>
      <c r="BN33">
        <v>2</v>
      </c>
      <c r="BO33">
        <v>0.112</v>
      </c>
      <c r="BP33">
        <v>2</v>
      </c>
      <c r="BQ33">
        <v>0.63500000000000001</v>
      </c>
      <c r="BR33">
        <v>2</v>
      </c>
      <c r="BS33">
        <v>0.152</v>
      </c>
      <c r="BT33">
        <v>2</v>
      </c>
      <c r="BU33">
        <v>1.4</v>
      </c>
      <c r="BV33">
        <v>2</v>
      </c>
      <c r="BW33">
        <v>-999</v>
      </c>
      <c r="BX33">
        <v>9</v>
      </c>
      <c r="BY33">
        <v>-999</v>
      </c>
      <c r="BZ33">
        <v>9</v>
      </c>
    </row>
    <row r="34" spans="1:78">
      <c r="A34" t="s">
        <v>41</v>
      </c>
      <c r="B34">
        <v>27</v>
      </c>
      <c r="C34">
        <v>16</v>
      </c>
      <c r="E34">
        <v>164</v>
      </c>
      <c r="F34" t="s">
        <v>15</v>
      </c>
      <c r="G34">
        <v>10</v>
      </c>
      <c r="H34" s="52">
        <v>304981.86860859185</v>
      </c>
      <c r="I34" s="52">
        <v>67385.193433584136</v>
      </c>
      <c r="J34" s="2">
        <v>2.2163209019259371</v>
      </c>
      <c r="K34" s="2">
        <v>3.8744947728340022E-2</v>
      </c>
      <c r="L34" s="2">
        <v>5.8643206377238612E-2</v>
      </c>
      <c r="M34" s="2">
        <f t="shared" si="0"/>
        <v>9.7388154105578634E-2</v>
      </c>
      <c r="N34" s="1">
        <v>72.670579140897146</v>
      </c>
      <c r="O34" s="1">
        <v>1.2704016768309785</v>
      </c>
      <c r="P34" s="1">
        <v>1.9228423855091608</v>
      </c>
      <c r="Q34" s="1">
        <v>75.863823203237288</v>
      </c>
      <c r="R34" t="s">
        <v>42</v>
      </c>
      <c r="S34" t="s">
        <v>44</v>
      </c>
      <c r="T34">
        <v>16</v>
      </c>
      <c r="U34">
        <v>2</v>
      </c>
      <c r="V34">
        <v>10</v>
      </c>
      <c r="W34">
        <v>10</v>
      </c>
      <c r="X34">
        <v>2</v>
      </c>
      <c r="Y34">
        <v>20040530</v>
      </c>
      <c r="Z34">
        <v>72.665000000000006</v>
      </c>
      <c r="AA34">
        <v>-158.745</v>
      </c>
      <c r="AB34">
        <v>158</v>
      </c>
      <c r="AC34">
        <v>11.6</v>
      </c>
      <c r="AD34">
        <v>2</v>
      </c>
      <c r="AE34">
        <v>-1.6042000000000001</v>
      </c>
      <c r="AF34">
        <v>2</v>
      </c>
      <c r="AG34">
        <v>29.906300000000002</v>
      </c>
      <c r="AH34">
        <v>2</v>
      </c>
      <c r="AI34">
        <v>29.912600000000001</v>
      </c>
      <c r="AJ34">
        <v>2</v>
      </c>
      <c r="AK34">
        <v>411.4</v>
      </c>
      <c r="AL34">
        <v>2</v>
      </c>
      <c r="AM34">
        <v>396.6</v>
      </c>
      <c r="AN34">
        <v>2</v>
      </c>
      <c r="AO34">
        <v>9.0950000000000006</v>
      </c>
      <c r="AP34">
        <v>2</v>
      </c>
      <c r="AQ34">
        <v>5.55</v>
      </c>
      <c r="AR34">
        <v>2</v>
      </c>
      <c r="AS34">
        <v>5.67</v>
      </c>
      <c r="AT34">
        <v>2</v>
      </c>
      <c r="AU34">
        <v>0.38</v>
      </c>
      <c r="AV34">
        <v>2</v>
      </c>
      <c r="AW34">
        <v>0.39</v>
      </c>
      <c r="AX34">
        <v>2</v>
      </c>
      <c r="AY34">
        <v>0.02</v>
      </c>
      <c r="AZ34">
        <v>2</v>
      </c>
      <c r="BA34">
        <v>0.02</v>
      </c>
      <c r="BB34">
        <v>2</v>
      </c>
      <c r="BC34">
        <v>0.74</v>
      </c>
      <c r="BD34">
        <v>2</v>
      </c>
      <c r="BE34">
        <v>0.76</v>
      </c>
      <c r="BF34">
        <v>2</v>
      </c>
      <c r="BG34">
        <v>0.2</v>
      </c>
      <c r="BH34">
        <v>2</v>
      </c>
      <c r="BI34">
        <v>0.2</v>
      </c>
      <c r="BJ34">
        <v>2</v>
      </c>
      <c r="BK34">
        <v>0.05</v>
      </c>
      <c r="BL34">
        <v>2</v>
      </c>
      <c r="BM34">
        <v>0.05</v>
      </c>
      <c r="BN34">
        <v>2</v>
      </c>
      <c r="BO34">
        <v>2.516</v>
      </c>
      <c r="BP34">
        <v>2</v>
      </c>
      <c r="BQ34">
        <v>1.651</v>
      </c>
      <c r="BR34">
        <v>2</v>
      </c>
      <c r="BS34">
        <v>0.11700000000000001</v>
      </c>
      <c r="BT34">
        <v>2</v>
      </c>
      <c r="BU34">
        <v>-7.46</v>
      </c>
      <c r="BV34">
        <v>2</v>
      </c>
      <c r="BW34">
        <v>1.01</v>
      </c>
      <c r="BX34">
        <v>2</v>
      </c>
      <c r="BY34">
        <v>0.23</v>
      </c>
      <c r="BZ34">
        <v>2</v>
      </c>
    </row>
    <row r="35" spans="1:78">
      <c r="A35" t="s">
        <v>10</v>
      </c>
      <c r="B35">
        <v>59</v>
      </c>
      <c r="C35">
        <v>19</v>
      </c>
      <c r="D35" t="s">
        <v>21</v>
      </c>
      <c r="E35">
        <v>100</v>
      </c>
      <c r="F35" t="s">
        <v>11</v>
      </c>
      <c r="G35">
        <v>0</v>
      </c>
      <c r="H35" s="52">
        <v>392925.5319148936</v>
      </c>
      <c r="I35" s="52">
        <v>68342.443336645607</v>
      </c>
      <c r="J35" s="2">
        <v>3.3785065346660605</v>
      </c>
      <c r="K35" s="2">
        <v>8.685209849483462E-2</v>
      </c>
      <c r="L35" s="2">
        <v>2.2084668524323697E-2</v>
      </c>
      <c r="M35" s="2">
        <f t="shared" si="0"/>
        <v>0.10893676701915832</v>
      </c>
      <c r="N35" s="1">
        <v>81.406644258667882</v>
      </c>
      <c r="O35" s="1">
        <v>2.2103959005047935</v>
      </c>
      <c r="P35" s="1">
        <v>0.56205735516080346</v>
      </c>
      <c r="Q35" s="1">
        <v>84.179097514333478</v>
      </c>
      <c r="R35" t="s">
        <v>12</v>
      </c>
      <c r="S35" t="s">
        <v>13</v>
      </c>
      <c r="T35">
        <v>19</v>
      </c>
      <c r="U35">
        <v>1</v>
      </c>
      <c r="V35">
        <v>12</v>
      </c>
      <c r="W35">
        <v>12</v>
      </c>
      <c r="X35">
        <v>2</v>
      </c>
      <c r="Y35">
        <v>20020529</v>
      </c>
      <c r="Z35">
        <v>72.605999999999995</v>
      </c>
      <c r="AA35">
        <v>-158.7559</v>
      </c>
      <c r="AB35">
        <v>90</v>
      </c>
      <c r="AC35">
        <v>1.8</v>
      </c>
      <c r="AD35">
        <v>2</v>
      </c>
      <c r="AE35">
        <v>-1.6387</v>
      </c>
      <c r="AF35">
        <v>2</v>
      </c>
      <c r="AG35">
        <v>30.784400000000002</v>
      </c>
      <c r="AH35">
        <v>2</v>
      </c>
      <c r="AI35">
        <v>-999</v>
      </c>
      <c r="AJ35">
        <v>9</v>
      </c>
      <c r="AK35">
        <v>383.3</v>
      </c>
      <c r="AL35">
        <v>2</v>
      </c>
      <c r="AM35">
        <v>391.8</v>
      </c>
      <c r="AN35">
        <v>2</v>
      </c>
      <c r="AO35">
        <v>8.99</v>
      </c>
      <c r="AP35">
        <v>2</v>
      </c>
      <c r="AQ35">
        <v>7.38</v>
      </c>
      <c r="AR35">
        <v>2</v>
      </c>
      <c r="AS35">
        <v>7.53</v>
      </c>
      <c r="AT35">
        <v>2</v>
      </c>
      <c r="AU35">
        <v>1.33</v>
      </c>
      <c r="AV35">
        <v>2</v>
      </c>
      <c r="AW35">
        <v>1.36</v>
      </c>
      <c r="AX35">
        <v>2</v>
      </c>
      <c r="AY35">
        <v>0.03</v>
      </c>
      <c r="AZ35">
        <v>2</v>
      </c>
      <c r="BA35">
        <v>0.03</v>
      </c>
      <c r="BB35">
        <v>2</v>
      </c>
      <c r="BC35">
        <v>0.87</v>
      </c>
      <c r="BD35">
        <v>2</v>
      </c>
      <c r="BE35">
        <v>0.89</v>
      </c>
      <c r="BF35">
        <v>2</v>
      </c>
      <c r="BG35">
        <v>0.1</v>
      </c>
      <c r="BH35">
        <v>2</v>
      </c>
      <c r="BI35">
        <v>0.1</v>
      </c>
      <c r="BJ35">
        <v>2</v>
      </c>
      <c r="BK35">
        <v>0</v>
      </c>
      <c r="BL35">
        <v>2</v>
      </c>
      <c r="BM35">
        <v>0</v>
      </c>
      <c r="BN35">
        <v>2</v>
      </c>
      <c r="BO35">
        <v>0.13500000000000001</v>
      </c>
      <c r="BP35">
        <v>2</v>
      </c>
      <c r="BQ35">
        <v>0.91600000000000004</v>
      </c>
      <c r="BR35">
        <v>2</v>
      </c>
      <c r="BS35">
        <v>2.8860000000000001</v>
      </c>
      <c r="BT35">
        <v>2</v>
      </c>
      <c r="BU35">
        <v>-8.5</v>
      </c>
      <c r="BV35">
        <v>2</v>
      </c>
      <c r="BW35">
        <v>0.35</v>
      </c>
      <c r="BX35">
        <v>2</v>
      </c>
      <c r="BY35">
        <v>0.27</v>
      </c>
      <c r="BZ35">
        <v>2</v>
      </c>
    </row>
    <row r="36" spans="1:78">
      <c r="A36" t="s">
        <v>10</v>
      </c>
      <c r="B36">
        <v>39</v>
      </c>
      <c r="C36">
        <v>12</v>
      </c>
      <c r="D36" t="s">
        <v>18</v>
      </c>
      <c r="E36">
        <v>2000</v>
      </c>
      <c r="F36" t="s">
        <v>17</v>
      </c>
      <c r="G36">
        <v>2500</v>
      </c>
      <c r="H36" s="52">
        <v>101910.46099290781</v>
      </c>
      <c r="I36" s="52">
        <v>17085.610834161402</v>
      </c>
      <c r="J36" s="2">
        <v>0.6130012900081222</v>
      </c>
      <c r="K36" s="2">
        <v>0.11006741143033233</v>
      </c>
      <c r="L36" s="2">
        <v>3.1847019060283694E-3</v>
      </c>
      <c r="M36" s="2">
        <f t="shared" si="0"/>
        <v>0.1132521133363607</v>
      </c>
      <c r="N36" s="1">
        <v>60.150968216185618</v>
      </c>
      <c r="O36" s="1">
        <v>10.800403644331682</v>
      </c>
      <c r="P36" s="1">
        <v>0.3125</v>
      </c>
      <c r="Q36" s="1">
        <v>71.263871860517298</v>
      </c>
      <c r="R36" t="s">
        <v>12</v>
      </c>
      <c r="S36" t="s">
        <v>13</v>
      </c>
      <c r="T36">
        <v>12</v>
      </c>
      <c r="U36">
        <v>1</v>
      </c>
      <c r="V36">
        <v>2</v>
      </c>
      <c r="W36">
        <v>2</v>
      </c>
      <c r="X36">
        <v>2</v>
      </c>
      <c r="Y36">
        <v>20020523</v>
      </c>
      <c r="Z36">
        <v>73.438999999999993</v>
      </c>
      <c r="AA36">
        <v>-157.53899999999999</v>
      </c>
      <c r="AB36">
        <v>2850</v>
      </c>
      <c r="AC36">
        <v>2501.1</v>
      </c>
      <c r="AD36">
        <v>2</v>
      </c>
      <c r="AE36">
        <v>-0.3775</v>
      </c>
      <c r="AF36">
        <v>2</v>
      </c>
      <c r="AG36">
        <v>34.951599999999999</v>
      </c>
      <c r="AH36">
        <v>2</v>
      </c>
      <c r="AI36">
        <v>34.951099999999997</v>
      </c>
      <c r="AJ36">
        <v>2</v>
      </c>
      <c r="AK36">
        <v>270.89999999999998</v>
      </c>
      <c r="AL36">
        <v>2</v>
      </c>
      <c r="AM36">
        <v>287</v>
      </c>
      <c r="AN36">
        <v>2</v>
      </c>
      <c r="AO36">
        <v>6.6059999999999999</v>
      </c>
      <c r="AP36">
        <v>2</v>
      </c>
      <c r="AQ36">
        <v>12.53</v>
      </c>
      <c r="AR36">
        <v>2</v>
      </c>
      <c r="AS36">
        <v>12.82</v>
      </c>
      <c r="AT36">
        <v>2</v>
      </c>
      <c r="AU36">
        <v>14.47</v>
      </c>
      <c r="AV36">
        <v>2</v>
      </c>
      <c r="AW36">
        <v>14.81</v>
      </c>
      <c r="AX36">
        <v>2</v>
      </c>
      <c r="AY36">
        <v>0</v>
      </c>
      <c r="AZ36">
        <v>2</v>
      </c>
      <c r="BA36">
        <v>0</v>
      </c>
      <c r="BB36">
        <v>2</v>
      </c>
      <c r="BC36">
        <v>1.03</v>
      </c>
      <c r="BD36">
        <v>2</v>
      </c>
      <c r="BE36">
        <v>1.05</v>
      </c>
      <c r="BF36">
        <v>2</v>
      </c>
      <c r="BG36">
        <v>0.01</v>
      </c>
      <c r="BH36">
        <v>2</v>
      </c>
      <c r="BI36">
        <v>0.01</v>
      </c>
      <c r="BJ36">
        <v>2</v>
      </c>
      <c r="BK36">
        <v>0.05</v>
      </c>
      <c r="BL36">
        <v>2</v>
      </c>
      <c r="BM36">
        <v>0.05</v>
      </c>
      <c r="BN36">
        <v>2</v>
      </c>
      <c r="BO36">
        <v>0.112</v>
      </c>
      <c r="BP36">
        <v>2</v>
      </c>
      <c r="BQ36">
        <v>0.52600000000000002</v>
      </c>
      <c r="BR36">
        <v>2</v>
      </c>
      <c r="BS36">
        <v>0</v>
      </c>
      <c r="BT36">
        <v>2</v>
      </c>
      <c r="BU36">
        <v>0.87</v>
      </c>
      <c r="BV36">
        <v>2</v>
      </c>
      <c r="BW36">
        <v>-999</v>
      </c>
      <c r="BX36">
        <v>9</v>
      </c>
      <c r="BY36">
        <v>-999</v>
      </c>
      <c r="BZ36">
        <v>9</v>
      </c>
    </row>
    <row r="37" spans="1:78">
      <c r="A37" t="s">
        <v>27</v>
      </c>
      <c r="B37">
        <v>74</v>
      </c>
      <c r="C37">
        <v>30</v>
      </c>
      <c r="E37">
        <v>1882</v>
      </c>
      <c r="F37" t="s">
        <v>20</v>
      </c>
      <c r="G37">
        <v>22.3</v>
      </c>
      <c r="H37" s="52">
        <v>739494.68085106404</v>
      </c>
      <c r="I37" s="52">
        <v>150314.50603994558</v>
      </c>
      <c r="J37" s="2">
        <v>6.4560847426323891</v>
      </c>
      <c r="K37" s="2">
        <v>0.10776111197042888</v>
      </c>
      <c r="L37" s="2">
        <v>1.9547023432612907E-2</v>
      </c>
      <c r="M37" s="2">
        <f t="shared" si="0"/>
        <v>0.12730813540304178</v>
      </c>
      <c r="N37" s="1">
        <v>87.304005151223791</v>
      </c>
      <c r="O37" s="1">
        <v>1.4572263298284931</v>
      </c>
      <c r="P37" s="1">
        <v>0.26432946630686749</v>
      </c>
      <c r="Q37" s="1">
        <v>89.025560947359139</v>
      </c>
      <c r="R37" t="s">
        <v>29</v>
      </c>
      <c r="S37" t="s">
        <v>30</v>
      </c>
      <c r="T37">
        <v>30</v>
      </c>
      <c r="U37">
        <v>3</v>
      </c>
      <c r="V37">
        <v>8</v>
      </c>
      <c r="W37">
        <v>8</v>
      </c>
      <c r="X37">
        <v>2</v>
      </c>
      <c r="Y37">
        <v>20020810</v>
      </c>
      <c r="Z37">
        <v>73.059799999999996</v>
      </c>
      <c r="AA37">
        <v>-158.00460000000001</v>
      </c>
      <c r="AB37">
        <v>1882</v>
      </c>
      <c r="AC37">
        <v>23.3</v>
      </c>
      <c r="AD37">
        <v>2</v>
      </c>
      <c r="AE37">
        <v>-1.0809</v>
      </c>
      <c r="AF37">
        <v>2</v>
      </c>
      <c r="AG37">
        <v>30.159099999999999</v>
      </c>
      <c r="AH37">
        <v>2</v>
      </c>
      <c r="AI37">
        <v>-999</v>
      </c>
      <c r="AJ37">
        <v>9</v>
      </c>
      <c r="AK37">
        <v>393.7</v>
      </c>
      <c r="AL37">
        <v>2</v>
      </c>
      <c r="AM37">
        <v>404.5</v>
      </c>
      <c r="AN37">
        <v>2</v>
      </c>
      <c r="AO37">
        <v>9.2759999999999998</v>
      </c>
      <c r="AP37">
        <v>2</v>
      </c>
      <c r="AQ37">
        <v>4.84</v>
      </c>
      <c r="AR37">
        <v>2</v>
      </c>
      <c r="AS37">
        <v>4.9400000000000004</v>
      </c>
      <c r="AT37">
        <v>2</v>
      </c>
      <c r="AU37">
        <v>0</v>
      </c>
      <c r="AV37">
        <v>2</v>
      </c>
      <c r="AW37">
        <v>0</v>
      </c>
      <c r="AX37">
        <v>2</v>
      </c>
      <c r="AY37">
        <v>0</v>
      </c>
      <c r="AZ37">
        <v>2</v>
      </c>
      <c r="BA37">
        <v>0</v>
      </c>
      <c r="BB37">
        <v>2</v>
      </c>
      <c r="BC37">
        <v>0.74</v>
      </c>
      <c r="BD37">
        <v>2</v>
      </c>
      <c r="BE37">
        <v>0.75</v>
      </c>
      <c r="BF37">
        <v>2</v>
      </c>
      <c r="BG37">
        <v>0.01</v>
      </c>
      <c r="BH37">
        <v>2</v>
      </c>
      <c r="BI37">
        <v>0.01</v>
      </c>
      <c r="BJ37">
        <v>2</v>
      </c>
      <c r="BK37">
        <v>0</v>
      </c>
      <c r="BL37">
        <v>2</v>
      </c>
      <c r="BM37">
        <v>0</v>
      </c>
      <c r="BN37">
        <v>2</v>
      </c>
      <c r="BO37">
        <v>0.107</v>
      </c>
      <c r="BP37">
        <v>2</v>
      </c>
      <c r="BQ37">
        <v>1.119</v>
      </c>
      <c r="BR37">
        <v>2</v>
      </c>
      <c r="BS37">
        <v>1.946</v>
      </c>
      <c r="BT37">
        <v>2</v>
      </c>
      <c r="BU37">
        <v>-7.84</v>
      </c>
      <c r="BV37">
        <v>2</v>
      </c>
      <c r="BW37">
        <v>0.28000000000000003</v>
      </c>
      <c r="BX37">
        <v>2</v>
      </c>
      <c r="BY37">
        <v>0.24</v>
      </c>
      <c r="BZ37">
        <v>2</v>
      </c>
    </row>
    <row r="38" spans="1:78">
      <c r="A38" t="s">
        <v>41</v>
      </c>
      <c r="B38">
        <v>66</v>
      </c>
      <c r="C38">
        <v>20</v>
      </c>
      <c r="E38">
        <v>2386</v>
      </c>
      <c r="F38" t="s">
        <v>17</v>
      </c>
      <c r="G38">
        <v>500</v>
      </c>
      <c r="H38" s="52">
        <v>130490.75654857622</v>
      </c>
      <c r="I38" s="52">
        <v>21422.324904087596</v>
      </c>
      <c r="J38" s="2">
        <v>0.71194293983352341</v>
      </c>
      <c r="K38" s="2">
        <v>1.4321574252162881E-2</v>
      </c>
      <c r="L38" s="2">
        <v>0.11561383914009751</v>
      </c>
      <c r="M38" s="2">
        <f t="shared" si="0"/>
        <v>0.12993541339226039</v>
      </c>
      <c r="N38" s="1">
        <v>54.558879009065819</v>
      </c>
      <c r="O38" s="1">
        <v>1.0975163782448882</v>
      </c>
      <c r="P38" s="1">
        <v>8.8599255761889406</v>
      </c>
      <c r="Q38" s="1">
        <v>64.516320963499652</v>
      </c>
      <c r="R38" t="s">
        <v>42</v>
      </c>
      <c r="S38" t="s">
        <v>46</v>
      </c>
      <c r="T38">
        <v>20</v>
      </c>
      <c r="U38">
        <v>3</v>
      </c>
      <c r="V38">
        <v>8</v>
      </c>
      <c r="W38">
        <v>8</v>
      </c>
      <c r="X38">
        <v>2</v>
      </c>
      <c r="Y38">
        <v>20040604</v>
      </c>
      <c r="Z38">
        <v>73.143000000000001</v>
      </c>
      <c r="AA38">
        <v>-157.786</v>
      </c>
      <c r="AB38">
        <v>2481</v>
      </c>
      <c r="AC38">
        <v>458.2</v>
      </c>
      <c r="AD38">
        <v>2</v>
      </c>
      <c r="AE38">
        <v>0.63480000000000003</v>
      </c>
      <c r="AF38">
        <v>2</v>
      </c>
      <c r="AG38">
        <v>34.844099999999997</v>
      </c>
      <c r="AH38">
        <v>2</v>
      </c>
      <c r="AI38">
        <v>34.841200000000001</v>
      </c>
      <c r="AJ38">
        <v>2</v>
      </c>
      <c r="AK38">
        <v>313.8</v>
      </c>
      <c r="AL38">
        <v>2</v>
      </c>
      <c r="AM38">
        <v>295.3</v>
      </c>
      <c r="AN38">
        <v>2</v>
      </c>
      <c r="AO38">
        <v>6.7960000000000003</v>
      </c>
      <c r="AP38">
        <v>2</v>
      </c>
      <c r="AQ38">
        <v>7.62</v>
      </c>
      <c r="AR38">
        <v>2</v>
      </c>
      <c r="AS38">
        <v>7.8</v>
      </c>
      <c r="AT38">
        <v>2</v>
      </c>
      <c r="AU38">
        <v>12.51</v>
      </c>
      <c r="AV38">
        <v>2</v>
      </c>
      <c r="AW38">
        <v>12.81</v>
      </c>
      <c r="AX38">
        <v>2</v>
      </c>
      <c r="AY38">
        <v>0</v>
      </c>
      <c r="AZ38">
        <v>2</v>
      </c>
      <c r="BA38">
        <v>0</v>
      </c>
      <c r="BB38">
        <v>2</v>
      </c>
      <c r="BC38">
        <v>0.87</v>
      </c>
      <c r="BD38">
        <v>2</v>
      </c>
      <c r="BE38">
        <v>0.89</v>
      </c>
      <c r="BF38">
        <v>2</v>
      </c>
      <c r="BG38">
        <v>0.1</v>
      </c>
      <c r="BH38">
        <v>2</v>
      </c>
      <c r="BI38">
        <v>0.1</v>
      </c>
      <c r="BJ38">
        <v>2</v>
      </c>
      <c r="BK38">
        <v>0.12</v>
      </c>
      <c r="BL38">
        <v>2</v>
      </c>
      <c r="BM38">
        <v>0.12</v>
      </c>
      <c r="BN38">
        <v>2</v>
      </c>
      <c r="BO38">
        <v>0.113</v>
      </c>
      <c r="BP38">
        <v>2</v>
      </c>
      <c r="BQ38">
        <v>0.60599999999999998</v>
      </c>
      <c r="BR38">
        <v>2</v>
      </c>
      <c r="BS38">
        <v>0.152</v>
      </c>
      <c r="BT38">
        <v>2</v>
      </c>
      <c r="BU38">
        <v>1.44</v>
      </c>
      <c r="BV38">
        <v>2</v>
      </c>
      <c r="BW38">
        <v>-999</v>
      </c>
      <c r="BX38">
        <v>9</v>
      </c>
      <c r="BY38">
        <v>-999</v>
      </c>
      <c r="BZ38">
        <v>9</v>
      </c>
    </row>
    <row r="39" spans="1:78">
      <c r="A39" t="s">
        <v>27</v>
      </c>
      <c r="B39">
        <v>98</v>
      </c>
      <c r="C39">
        <v>33</v>
      </c>
      <c r="E39">
        <v>2140</v>
      </c>
      <c r="F39" t="s">
        <v>17</v>
      </c>
      <c r="G39">
        <v>200</v>
      </c>
      <c r="H39" s="52">
        <v>129503.54609929079</v>
      </c>
      <c r="I39" s="52">
        <v>30143.503407711323</v>
      </c>
      <c r="J39" s="2">
        <v>0.8438645160990903</v>
      </c>
      <c r="K39" s="2">
        <v>0.13474789450933097</v>
      </c>
      <c r="L39" s="2">
        <v>1.4935643809661902E-2</v>
      </c>
      <c r="M39" s="2">
        <f t="shared" si="0"/>
        <v>0.14968353831899286</v>
      </c>
      <c r="N39" s="1">
        <v>67.049513322150233</v>
      </c>
      <c r="O39" s="1">
        <v>10.404957900227638</v>
      </c>
      <c r="P39" s="1">
        <v>1.1532999874930603</v>
      </c>
      <c r="Q39" s="1">
        <v>78.607771209870933</v>
      </c>
      <c r="R39" t="s">
        <v>29</v>
      </c>
      <c r="S39" t="s">
        <v>30</v>
      </c>
      <c r="T39">
        <v>33</v>
      </c>
      <c r="U39">
        <v>2</v>
      </c>
      <c r="V39">
        <v>2</v>
      </c>
      <c r="W39">
        <v>2</v>
      </c>
      <c r="X39">
        <v>2</v>
      </c>
      <c r="Y39">
        <v>20020814</v>
      </c>
      <c r="Z39">
        <v>73.4953</v>
      </c>
      <c r="AA39">
        <v>-159.51570000000001</v>
      </c>
      <c r="AB39">
        <v>2259</v>
      </c>
      <c r="AC39">
        <v>211.4</v>
      </c>
      <c r="AD39">
        <v>2</v>
      </c>
      <c r="AE39">
        <v>-0.75680000000000003</v>
      </c>
      <c r="AF39">
        <v>2</v>
      </c>
      <c r="AG39">
        <v>34.304900000000004</v>
      </c>
      <c r="AH39">
        <v>2</v>
      </c>
      <c r="AI39">
        <v>34.305199999999999</v>
      </c>
      <c r="AJ39">
        <v>2</v>
      </c>
      <c r="AK39">
        <v>268.2</v>
      </c>
      <c r="AL39">
        <v>2</v>
      </c>
      <c r="AM39">
        <v>277.39999999999998</v>
      </c>
      <c r="AN39">
        <v>2</v>
      </c>
      <c r="AO39">
        <v>6.3819999999999997</v>
      </c>
      <c r="AP39">
        <v>2</v>
      </c>
      <c r="AQ39">
        <v>13.8</v>
      </c>
      <c r="AR39">
        <v>2</v>
      </c>
      <c r="AS39">
        <v>14.12</v>
      </c>
      <c r="AT39">
        <v>2</v>
      </c>
      <c r="AU39">
        <v>12.11</v>
      </c>
      <c r="AV39">
        <v>2</v>
      </c>
      <c r="AW39">
        <v>12.39</v>
      </c>
      <c r="AX39">
        <v>2</v>
      </c>
      <c r="AY39">
        <v>0.01</v>
      </c>
      <c r="AZ39">
        <v>2</v>
      </c>
      <c r="BA39">
        <v>0.01</v>
      </c>
      <c r="BB39">
        <v>2</v>
      </c>
      <c r="BC39">
        <v>1.04</v>
      </c>
      <c r="BD39">
        <v>2</v>
      </c>
      <c r="BE39">
        <v>1.06</v>
      </c>
      <c r="BF39">
        <v>2</v>
      </c>
      <c r="BG39">
        <v>0.02</v>
      </c>
      <c r="BH39">
        <v>2</v>
      </c>
      <c r="BI39">
        <v>0.02</v>
      </c>
      <c r="BJ39">
        <v>2</v>
      </c>
      <c r="BK39">
        <v>0.04</v>
      </c>
      <c r="BL39">
        <v>2</v>
      </c>
      <c r="BM39">
        <v>0.04</v>
      </c>
      <c r="BN39">
        <v>2</v>
      </c>
      <c r="BO39">
        <v>0.13500000000000001</v>
      </c>
      <c r="BP39">
        <v>2</v>
      </c>
      <c r="BQ39">
        <v>0.73799999999999999</v>
      </c>
      <c r="BR39">
        <v>2</v>
      </c>
      <c r="BS39">
        <v>0.13500000000000001</v>
      </c>
      <c r="BT39">
        <v>2</v>
      </c>
      <c r="BU39">
        <v>-1.36</v>
      </c>
      <c r="BV39">
        <v>2</v>
      </c>
      <c r="BW39">
        <v>0</v>
      </c>
      <c r="BX39">
        <v>2</v>
      </c>
      <c r="BY39">
        <v>0.02</v>
      </c>
      <c r="BZ39">
        <v>2</v>
      </c>
    </row>
    <row r="40" spans="1:78">
      <c r="A40" t="s">
        <v>52</v>
      </c>
      <c r="B40">
        <v>131</v>
      </c>
      <c r="C40">
        <v>47</v>
      </c>
      <c r="E40">
        <v>347</v>
      </c>
      <c r="F40" t="s">
        <v>20</v>
      </c>
      <c r="G40">
        <v>0</v>
      </c>
      <c r="H40" s="52">
        <v>341079.08351810795</v>
      </c>
      <c r="I40" s="52"/>
      <c r="J40" s="2">
        <v>2.7200438218568843</v>
      </c>
      <c r="K40" s="2">
        <v>0.14137814078019539</v>
      </c>
      <c r="L40" s="2">
        <v>1.4940266341287332E-2</v>
      </c>
      <c r="M40" s="2">
        <f t="shared" si="0"/>
        <v>0.15631840712148273</v>
      </c>
      <c r="N40" s="1">
        <v>79.748186074637346</v>
      </c>
      <c r="O40" s="1">
        <v>4.1450252335010047</v>
      </c>
      <c r="P40" s="1">
        <v>0.43802939151776366</v>
      </c>
      <c r="Q40" s="1">
        <v>84.331240699656107</v>
      </c>
      <c r="R40" t="s">
        <v>53</v>
      </c>
      <c r="S40" t="s">
        <v>66</v>
      </c>
      <c r="T40">
        <v>47</v>
      </c>
      <c r="U40">
        <v>2</v>
      </c>
      <c r="V40">
        <v>212</v>
      </c>
      <c r="W40">
        <v>12</v>
      </c>
      <c r="X40">
        <v>2</v>
      </c>
      <c r="Y40">
        <v>20040813</v>
      </c>
      <c r="Z40">
        <v>72.831999999999994</v>
      </c>
      <c r="AA40">
        <v>-158.23699999999999</v>
      </c>
      <c r="AB40">
        <v>465</v>
      </c>
      <c r="AC40">
        <v>2.4</v>
      </c>
      <c r="AD40">
        <v>2</v>
      </c>
      <c r="AE40">
        <v>3.476</v>
      </c>
      <c r="AF40">
        <v>2</v>
      </c>
      <c r="AG40">
        <v>27.026</v>
      </c>
      <c r="AH40">
        <v>2</v>
      </c>
      <c r="AI40">
        <v>27.022600000000001</v>
      </c>
      <c r="AJ40">
        <v>2</v>
      </c>
      <c r="AK40">
        <v>333</v>
      </c>
      <c r="AL40">
        <v>2</v>
      </c>
      <c r="AM40">
        <v>349.8</v>
      </c>
      <c r="AN40">
        <v>2</v>
      </c>
      <c r="AO40">
        <v>8</v>
      </c>
      <c r="AP40">
        <v>2</v>
      </c>
      <c r="AQ40">
        <v>4.45</v>
      </c>
      <c r="AR40">
        <v>2</v>
      </c>
      <c r="AS40">
        <v>4.53</v>
      </c>
      <c r="AT40">
        <v>2</v>
      </c>
      <c r="AU40">
        <v>0.08</v>
      </c>
      <c r="AV40">
        <v>2</v>
      </c>
      <c r="AW40">
        <v>0.08</v>
      </c>
      <c r="AX40">
        <v>2</v>
      </c>
      <c r="AY40">
        <v>0</v>
      </c>
      <c r="AZ40">
        <v>2</v>
      </c>
      <c r="BA40">
        <v>0</v>
      </c>
      <c r="BB40">
        <v>2</v>
      </c>
      <c r="BC40">
        <v>0.5</v>
      </c>
      <c r="BD40">
        <v>2</v>
      </c>
      <c r="BE40">
        <v>0.51</v>
      </c>
      <c r="BF40">
        <v>2</v>
      </c>
      <c r="BG40">
        <v>0.06</v>
      </c>
      <c r="BH40">
        <v>2</v>
      </c>
      <c r="BI40">
        <v>0.06</v>
      </c>
      <c r="BJ40">
        <v>2</v>
      </c>
      <c r="BK40">
        <v>0.02</v>
      </c>
      <c r="BL40">
        <v>2</v>
      </c>
      <c r="BM40">
        <v>0.02</v>
      </c>
      <c r="BN40">
        <v>2</v>
      </c>
      <c r="BO40">
        <v>-999</v>
      </c>
      <c r="BP40">
        <v>9</v>
      </c>
      <c r="BS40">
        <v>1.958</v>
      </c>
      <c r="BT40">
        <v>2</v>
      </c>
      <c r="BU40">
        <v>-4.38</v>
      </c>
      <c r="BV40">
        <v>2</v>
      </c>
      <c r="BW40">
        <v>0.22</v>
      </c>
      <c r="BX40">
        <v>2</v>
      </c>
      <c r="BY40">
        <v>0.06</v>
      </c>
      <c r="BZ40">
        <v>2</v>
      </c>
    </row>
    <row r="41" spans="1:78">
      <c r="A41" t="s">
        <v>27</v>
      </c>
      <c r="B41">
        <v>93</v>
      </c>
      <c r="C41">
        <v>33</v>
      </c>
      <c r="E41">
        <v>2140</v>
      </c>
      <c r="F41" t="s">
        <v>17</v>
      </c>
      <c r="G41">
        <v>500</v>
      </c>
      <c r="H41" s="52">
        <v>96943.705673758872</v>
      </c>
      <c r="I41" s="52">
        <v>17279.268164528443</v>
      </c>
      <c r="J41" s="2">
        <v>0.50080150423282388</v>
      </c>
      <c r="K41" s="2">
        <v>0.14494439349223387</v>
      </c>
      <c r="L41" s="2">
        <v>1.2403353907856664E-2</v>
      </c>
      <c r="M41" s="2">
        <f t="shared" si="0"/>
        <v>0.15734774740009053</v>
      </c>
      <c r="N41" s="1">
        <v>46.27790648754889</v>
      </c>
      <c r="O41" s="1">
        <v>14.951398080449902</v>
      </c>
      <c r="P41" s="1">
        <v>1.2794388064344497</v>
      </c>
      <c r="Q41" s="1">
        <v>62.508743374433244</v>
      </c>
      <c r="R41" t="s">
        <v>29</v>
      </c>
      <c r="S41" t="s">
        <v>30</v>
      </c>
      <c r="T41">
        <v>33</v>
      </c>
      <c r="U41">
        <v>1</v>
      </c>
      <c r="V41">
        <v>5</v>
      </c>
      <c r="W41">
        <v>5</v>
      </c>
      <c r="X41">
        <v>2</v>
      </c>
      <c r="Y41">
        <v>20020814</v>
      </c>
      <c r="Z41">
        <v>73.497200000000007</v>
      </c>
      <c r="AA41">
        <v>-159.54820000000001</v>
      </c>
      <c r="AB41">
        <v>2251</v>
      </c>
      <c r="AC41">
        <v>502.4</v>
      </c>
      <c r="AD41">
        <v>2</v>
      </c>
      <c r="AE41">
        <v>0.57869999999999999</v>
      </c>
      <c r="AF41">
        <v>2</v>
      </c>
      <c r="AG41">
        <v>34.840200000000003</v>
      </c>
      <c r="AH41">
        <v>2</v>
      </c>
      <c r="AI41">
        <v>34.8401</v>
      </c>
      <c r="AJ41">
        <v>2</v>
      </c>
      <c r="AK41">
        <v>287.39999999999998</v>
      </c>
      <c r="AL41">
        <v>2</v>
      </c>
      <c r="AM41">
        <v>296.89999999999998</v>
      </c>
      <c r="AN41">
        <v>2</v>
      </c>
      <c r="AO41">
        <v>6.8339999999999996</v>
      </c>
      <c r="AP41">
        <v>2</v>
      </c>
      <c r="AQ41">
        <v>6.77</v>
      </c>
      <c r="AR41">
        <v>2</v>
      </c>
      <c r="AS41">
        <v>6.93</v>
      </c>
      <c r="AT41">
        <v>2</v>
      </c>
      <c r="AU41">
        <v>12.44</v>
      </c>
      <c r="AV41">
        <v>2</v>
      </c>
      <c r="AW41">
        <v>12.73</v>
      </c>
      <c r="AX41">
        <v>2</v>
      </c>
      <c r="AY41">
        <v>0</v>
      </c>
      <c r="AZ41">
        <v>2</v>
      </c>
      <c r="BA41">
        <v>0</v>
      </c>
      <c r="BB41">
        <v>2</v>
      </c>
      <c r="BC41">
        <v>0.88</v>
      </c>
      <c r="BD41">
        <v>2</v>
      </c>
      <c r="BE41">
        <v>0.9</v>
      </c>
      <c r="BF41">
        <v>2</v>
      </c>
      <c r="BG41">
        <v>0.01</v>
      </c>
      <c r="BH41">
        <v>2</v>
      </c>
      <c r="BI41">
        <v>0.01</v>
      </c>
      <c r="BJ41">
        <v>2</v>
      </c>
      <c r="BK41">
        <v>0</v>
      </c>
      <c r="BL41">
        <v>2</v>
      </c>
      <c r="BM41">
        <v>0</v>
      </c>
      <c r="BN41">
        <v>2</v>
      </c>
      <c r="BO41">
        <v>9.9000000000000005E-2</v>
      </c>
      <c r="BP41">
        <v>2</v>
      </c>
      <c r="BQ41">
        <v>0.61</v>
      </c>
      <c r="BR41">
        <v>2</v>
      </c>
      <c r="BS41">
        <v>0.13700000000000001</v>
      </c>
      <c r="BT41">
        <v>2</v>
      </c>
      <c r="BU41">
        <v>1.1499999999999999</v>
      </c>
      <c r="BV41">
        <v>2</v>
      </c>
      <c r="BW41">
        <v>-999</v>
      </c>
      <c r="BX41">
        <v>9</v>
      </c>
      <c r="BY41">
        <v>-999</v>
      </c>
      <c r="BZ41">
        <v>9</v>
      </c>
    </row>
    <row r="42" spans="1:78">
      <c r="A42" t="s">
        <v>52</v>
      </c>
      <c r="B42">
        <v>176</v>
      </c>
      <c r="C42">
        <v>51</v>
      </c>
      <c r="E42">
        <v>3703</v>
      </c>
      <c r="F42" t="s">
        <v>17</v>
      </c>
      <c r="G42">
        <v>1000</v>
      </c>
      <c r="H42" s="52">
        <v>177000</v>
      </c>
      <c r="I42" s="52">
        <v>15900</v>
      </c>
      <c r="J42" s="2">
        <v>0.9565904800993198</v>
      </c>
      <c r="K42" s="2">
        <v>0.14024897565285205</v>
      </c>
      <c r="L42" s="2">
        <v>2.2272078748975604E-2</v>
      </c>
      <c r="M42" s="2">
        <f t="shared" si="0"/>
        <v>0.16252105440182765</v>
      </c>
      <c r="N42" s="1">
        <v>54.044659892616934</v>
      </c>
      <c r="O42" s="1">
        <v>7.9236709408390986</v>
      </c>
      <c r="P42" s="1">
        <v>1.2583095338404298</v>
      </c>
      <c r="Q42" s="1">
        <v>63.226640367296469</v>
      </c>
      <c r="R42" t="s">
        <v>53</v>
      </c>
      <c r="S42" t="s">
        <v>68</v>
      </c>
      <c r="T42">
        <v>51</v>
      </c>
      <c r="U42">
        <v>1</v>
      </c>
      <c r="V42">
        <v>104</v>
      </c>
      <c r="W42">
        <v>4</v>
      </c>
      <c r="X42">
        <v>2</v>
      </c>
      <c r="Y42">
        <v>20040817</v>
      </c>
      <c r="Z42">
        <v>73.798000000000002</v>
      </c>
      <c r="AA42">
        <v>-156.72200000000001</v>
      </c>
      <c r="AB42">
        <v>3688</v>
      </c>
      <c r="AC42">
        <v>1014.8</v>
      </c>
      <c r="AD42">
        <v>2</v>
      </c>
      <c r="AE42">
        <v>-4.9000000000000002E-2</v>
      </c>
      <c r="AF42">
        <v>2</v>
      </c>
      <c r="AG42">
        <v>34.881</v>
      </c>
      <c r="AH42">
        <v>2</v>
      </c>
      <c r="AI42">
        <v>-999</v>
      </c>
      <c r="AJ42">
        <v>9</v>
      </c>
      <c r="AK42">
        <v>281.2</v>
      </c>
      <c r="AL42">
        <v>2</v>
      </c>
      <c r="AM42">
        <v>-999</v>
      </c>
      <c r="AN42">
        <v>9</v>
      </c>
      <c r="AO42">
        <v>-999</v>
      </c>
      <c r="AP42">
        <v>9</v>
      </c>
      <c r="AQ42">
        <v>7.1</v>
      </c>
      <c r="AR42">
        <v>2</v>
      </c>
      <c r="AS42">
        <v>7.27</v>
      </c>
      <c r="AT42">
        <v>2</v>
      </c>
      <c r="AU42">
        <v>12.64</v>
      </c>
      <c r="AV42">
        <v>2</v>
      </c>
      <c r="AW42">
        <v>12.95</v>
      </c>
      <c r="AX42">
        <v>2</v>
      </c>
      <c r="AY42">
        <v>0</v>
      </c>
      <c r="AZ42">
        <v>2</v>
      </c>
      <c r="BA42">
        <v>0</v>
      </c>
      <c r="BB42">
        <v>2</v>
      </c>
      <c r="BC42">
        <v>0.94</v>
      </c>
      <c r="BD42">
        <v>2</v>
      </c>
      <c r="BE42">
        <v>0.96</v>
      </c>
      <c r="BF42">
        <v>2</v>
      </c>
      <c r="BG42">
        <v>0.02</v>
      </c>
      <c r="BH42">
        <v>2</v>
      </c>
      <c r="BI42">
        <v>0.02</v>
      </c>
      <c r="BJ42">
        <v>2</v>
      </c>
      <c r="BK42">
        <v>0.06</v>
      </c>
      <c r="BL42">
        <v>2</v>
      </c>
      <c r="BM42">
        <v>0.06</v>
      </c>
      <c r="BN42">
        <v>2</v>
      </c>
      <c r="BO42">
        <v>0</v>
      </c>
      <c r="BP42">
        <v>2</v>
      </c>
      <c r="BS42">
        <v>-999</v>
      </c>
      <c r="BT42">
        <v>9</v>
      </c>
      <c r="BU42">
        <v>0.51</v>
      </c>
      <c r="BV42">
        <v>2</v>
      </c>
      <c r="BW42">
        <v>-999</v>
      </c>
      <c r="BX42">
        <v>9</v>
      </c>
      <c r="BY42">
        <v>-999</v>
      </c>
      <c r="BZ42">
        <v>9</v>
      </c>
    </row>
    <row r="43" spans="1:78">
      <c r="A43" t="s">
        <v>27</v>
      </c>
      <c r="B43">
        <v>60</v>
      </c>
      <c r="C43">
        <v>26</v>
      </c>
      <c r="D43" t="s">
        <v>37</v>
      </c>
      <c r="E43">
        <v>165</v>
      </c>
      <c r="F43" t="s">
        <v>15</v>
      </c>
      <c r="G43">
        <v>0</v>
      </c>
      <c r="H43" s="52">
        <v>420886.52482269501</v>
      </c>
      <c r="I43" s="52">
        <v>340085.16606966307</v>
      </c>
      <c r="J43" s="2">
        <v>3.8394143430134915</v>
      </c>
      <c r="K43" s="2">
        <v>0.10697442847299288</v>
      </c>
      <c r="L43" s="2">
        <v>5.8300922112552528E-2</v>
      </c>
      <c r="M43" s="2">
        <f t="shared" si="0"/>
        <v>0.16527535058554541</v>
      </c>
      <c r="N43" s="1">
        <v>89.454857550391637</v>
      </c>
      <c r="O43" s="1">
        <v>2.5416453643427408</v>
      </c>
      <c r="P43" s="1">
        <v>1.3851933638672014</v>
      </c>
      <c r="Q43" s="1">
        <v>93.381696278601581</v>
      </c>
      <c r="R43" t="s">
        <v>29</v>
      </c>
      <c r="S43" t="s">
        <v>30</v>
      </c>
      <c r="T43">
        <v>26</v>
      </c>
      <c r="U43">
        <v>1</v>
      </c>
      <c r="V43">
        <v>11</v>
      </c>
      <c r="W43">
        <v>11</v>
      </c>
      <c r="X43">
        <v>2</v>
      </c>
      <c r="Y43">
        <v>20020806</v>
      </c>
      <c r="Z43">
        <v>72.644499999999994</v>
      </c>
      <c r="AA43">
        <v>-158.60910000000001</v>
      </c>
      <c r="AB43">
        <v>156</v>
      </c>
      <c r="AC43">
        <v>2</v>
      </c>
      <c r="AD43">
        <v>2</v>
      </c>
      <c r="AE43">
        <v>-0.78139999999999998</v>
      </c>
      <c r="AF43">
        <v>2</v>
      </c>
      <c r="AG43">
        <v>28.162199999999999</v>
      </c>
      <c r="AH43">
        <v>2</v>
      </c>
      <c r="AI43">
        <v>28.16</v>
      </c>
      <c r="AJ43">
        <v>2</v>
      </c>
      <c r="AK43">
        <v>382.9</v>
      </c>
      <c r="AL43">
        <v>2</v>
      </c>
      <c r="AM43">
        <v>391.5</v>
      </c>
      <c r="AN43">
        <v>2</v>
      </c>
      <c r="AO43">
        <v>8.9640000000000004</v>
      </c>
      <c r="AP43">
        <v>2</v>
      </c>
      <c r="AQ43">
        <v>3.3</v>
      </c>
      <c r="AR43">
        <v>2</v>
      </c>
      <c r="AS43">
        <v>3.36</v>
      </c>
      <c r="AT43">
        <v>2</v>
      </c>
      <c r="AU43">
        <v>0</v>
      </c>
      <c r="AV43">
        <v>2</v>
      </c>
      <c r="AW43">
        <v>0</v>
      </c>
      <c r="AX43">
        <v>2</v>
      </c>
      <c r="AY43">
        <v>0</v>
      </c>
      <c r="AZ43">
        <v>2</v>
      </c>
      <c r="BA43">
        <v>0</v>
      </c>
      <c r="BB43">
        <v>2</v>
      </c>
      <c r="BC43">
        <v>0.67</v>
      </c>
      <c r="BD43">
        <v>2</v>
      </c>
      <c r="BE43">
        <v>0.68</v>
      </c>
      <c r="BF43">
        <v>2</v>
      </c>
      <c r="BG43">
        <v>0</v>
      </c>
      <c r="BH43">
        <v>2</v>
      </c>
      <c r="BI43">
        <v>0</v>
      </c>
      <c r="BJ43">
        <v>2</v>
      </c>
      <c r="BK43">
        <v>0</v>
      </c>
      <c r="BL43">
        <v>2</v>
      </c>
      <c r="BM43">
        <v>0</v>
      </c>
      <c r="BN43">
        <v>2</v>
      </c>
      <c r="BO43">
        <v>0.1</v>
      </c>
      <c r="BP43">
        <v>2</v>
      </c>
      <c r="BQ43">
        <v>0.93</v>
      </c>
      <c r="BR43">
        <v>2</v>
      </c>
      <c r="BS43">
        <v>2.68</v>
      </c>
      <c r="BT43">
        <v>2</v>
      </c>
      <c r="BU43">
        <v>-6.87</v>
      </c>
      <c r="BV43">
        <v>2</v>
      </c>
      <c r="BW43">
        <v>0.24</v>
      </c>
      <c r="BX43">
        <v>2</v>
      </c>
      <c r="BY43">
        <v>0.16</v>
      </c>
      <c r="BZ43">
        <v>2</v>
      </c>
    </row>
    <row r="44" spans="1:78">
      <c r="A44" t="s">
        <v>27</v>
      </c>
      <c r="B44">
        <v>104</v>
      </c>
      <c r="C44">
        <v>39</v>
      </c>
      <c r="D44" t="s">
        <v>40</v>
      </c>
      <c r="E44">
        <v>54</v>
      </c>
      <c r="F44" t="s">
        <v>11</v>
      </c>
      <c r="G44">
        <v>0</v>
      </c>
      <c r="H44" s="52">
        <v>799095.744680851</v>
      </c>
      <c r="I44" s="52">
        <v>198903.2357846284</v>
      </c>
      <c r="J44" s="2">
        <v>7.7327490578168137</v>
      </c>
      <c r="K44" s="2">
        <v>0.16101407533651968</v>
      </c>
      <c r="L44" s="2">
        <v>5.5492760047281308E-3</v>
      </c>
      <c r="M44" s="2">
        <f t="shared" si="0"/>
        <v>0.16656335134124781</v>
      </c>
      <c r="N44" s="1">
        <v>96.768742785699331</v>
      </c>
      <c r="O44" s="1">
        <v>2.0149534822116557</v>
      </c>
      <c r="P44" s="1">
        <v>6.9444444444444434E-2</v>
      </c>
      <c r="Q44" s="1">
        <v>98.853140712355426</v>
      </c>
      <c r="R44" t="s">
        <v>29</v>
      </c>
      <c r="S44" t="s">
        <v>30</v>
      </c>
      <c r="T44">
        <v>39</v>
      </c>
      <c r="U44">
        <v>1</v>
      </c>
      <c r="V44">
        <v>11</v>
      </c>
      <c r="W44">
        <v>11</v>
      </c>
      <c r="X44">
        <v>2</v>
      </c>
      <c r="Y44">
        <v>20020818</v>
      </c>
      <c r="Z44">
        <v>72.801299999999998</v>
      </c>
      <c r="AA44">
        <v>-161.08510000000001</v>
      </c>
      <c r="AB44">
        <v>51</v>
      </c>
      <c r="AC44">
        <v>2.5</v>
      </c>
      <c r="AD44">
        <v>2</v>
      </c>
      <c r="AE44">
        <v>-0.29289999999999999</v>
      </c>
      <c r="AF44">
        <v>2</v>
      </c>
      <c r="AG44">
        <v>27.839700000000001</v>
      </c>
      <c r="AH44">
        <v>2</v>
      </c>
      <c r="AI44">
        <v>27.838699999999999</v>
      </c>
      <c r="AJ44">
        <v>2</v>
      </c>
      <c r="AK44">
        <v>376</v>
      </c>
      <c r="AL44">
        <v>2</v>
      </c>
      <c r="AM44">
        <v>383.4</v>
      </c>
      <c r="AN44">
        <v>2</v>
      </c>
      <c r="AO44">
        <v>8.7759999999999998</v>
      </c>
      <c r="AP44">
        <v>2</v>
      </c>
      <c r="AQ44">
        <v>3.89</v>
      </c>
      <c r="AR44">
        <v>2</v>
      </c>
      <c r="AS44">
        <v>3.96</v>
      </c>
      <c r="AT44">
        <v>2</v>
      </c>
      <c r="AU44">
        <v>0.09</v>
      </c>
      <c r="AV44">
        <v>2</v>
      </c>
      <c r="AW44">
        <v>0.09</v>
      </c>
      <c r="AX44">
        <v>2</v>
      </c>
      <c r="AY44">
        <v>0.02</v>
      </c>
      <c r="AZ44">
        <v>2</v>
      </c>
      <c r="BA44">
        <v>0.02</v>
      </c>
      <c r="BB44">
        <v>2</v>
      </c>
      <c r="BC44">
        <v>0.68</v>
      </c>
      <c r="BD44">
        <v>2</v>
      </c>
      <c r="BE44">
        <v>0.69</v>
      </c>
      <c r="BF44">
        <v>2</v>
      </c>
      <c r="BG44">
        <v>0.05</v>
      </c>
      <c r="BH44">
        <v>2</v>
      </c>
      <c r="BI44">
        <v>0.05</v>
      </c>
      <c r="BJ44">
        <v>2</v>
      </c>
      <c r="BK44">
        <v>0.03</v>
      </c>
      <c r="BL44">
        <v>2</v>
      </c>
      <c r="BM44">
        <v>0.03</v>
      </c>
      <c r="BN44">
        <v>2</v>
      </c>
      <c r="BO44">
        <v>9.5000000000000001E-2</v>
      </c>
      <c r="BP44">
        <v>2</v>
      </c>
      <c r="BQ44">
        <v>1.127</v>
      </c>
      <c r="BR44">
        <v>2</v>
      </c>
      <c r="BS44">
        <v>2.5369999999999999</v>
      </c>
      <c r="BT44">
        <v>2</v>
      </c>
      <c r="BU44">
        <v>-6.87</v>
      </c>
      <c r="BV44">
        <v>2</v>
      </c>
      <c r="BW44">
        <v>0.21</v>
      </c>
      <c r="BX44">
        <v>2</v>
      </c>
      <c r="BY44">
        <v>0.15</v>
      </c>
      <c r="BZ44">
        <v>2</v>
      </c>
    </row>
    <row r="45" spans="1:78">
      <c r="A45" t="s">
        <v>27</v>
      </c>
      <c r="B45">
        <v>62</v>
      </c>
      <c r="C45">
        <v>26</v>
      </c>
      <c r="D45" t="s">
        <v>37</v>
      </c>
      <c r="E45">
        <v>165</v>
      </c>
      <c r="F45" t="s">
        <v>15</v>
      </c>
      <c r="G45">
        <v>33</v>
      </c>
      <c r="H45" s="52">
        <v>409113.47517730499</v>
      </c>
      <c r="I45" s="52">
        <v>90929.397039326883</v>
      </c>
      <c r="J45" s="2">
        <v>2.7453900541591296</v>
      </c>
      <c r="K45" s="2">
        <v>0.14207974191528883</v>
      </c>
      <c r="L45" s="2">
        <v>2.8249687876353072E-2</v>
      </c>
      <c r="M45" s="2">
        <f t="shared" si="0"/>
        <v>0.1703294297916419</v>
      </c>
      <c r="N45" s="1">
        <v>67.105832995828592</v>
      </c>
      <c r="O45" s="1">
        <v>3.4728687891229475</v>
      </c>
      <c r="P45" s="1">
        <v>0.69050983627733076</v>
      </c>
      <c r="Q45" s="1">
        <v>71.269211621228862</v>
      </c>
      <c r="R45" t="s">
        <v>29</v>
      </c>
      <c r="S45" t="s">
        <v>30</v>
      </c>
      <c r="T45">
        <v>26</v>
      </c>
      <c r="U45">
        <v>4</v>
      </c>
      <c r="V45">
        <v>9</v>
      </c>
      <c r="W45">
        <v>9</v>
      </c>
      <c r="X45">
        <v>2</v>
      </c>
      <c r="Y45">
        <v>20020806</v>
      </c>
      <c r="Z45">
        <v>72.609200000000001</v>
      </c>
      <c r="AA45">
        <v>-158.7167</v>
      </c>
      <c r="AB45">
        <v>86</v>
      </c>
      <c r="AC45">
        <v>31.2</v>
      </c>
      <c r="AD45">
        <v>2</v>
      </c>
      <c r="AE45">
        <v>-1.524</v>
      </c>
      <c r="AF45">
        <v>2</v>
      </c>
      <c r="AG45">
        <v>31.452500000000001</v>
      </c>
      <c r="AH45">
        <v>2</v>
      </c>
      <c r="AI45">
        <v>31.355699999999999</v>
      </c>
      <c r="AJ45">
        <v>2</v>
      </c>
      <c r="AK45">
        <v>358.1</v>
      </c>
      <c r="AL45">
        <v>2</v>
      </c>
      <c r="AM45">
        <v>392.8</v>
      </c>
      <c r="AN45">
        <v>2</v>
      </c>
      <c r="AO45">
        <v>9.0180000000000007</v>
      </c>
      <c r="AP45">
        <v>2</v>
      </c>
      <c r="AQ45">
        <v>10.039999999999999</v>
      </c>
      <c r="AR45">
        <v>2</v>
      </c>
      <c r="AS45">
        <v>10.25</v>
      </c>
      <c r="AT45">
        <v>2</v>
      </c>
      <c r="AU45">
        <v>0.49</v>
      </c>
      <c r="AV45">
        <v>2</v>
      </c>
      <c r="AW45">
        <v>0.5</v>
      </c>
      <c r="AX45">
        <v>2</v>
      </c>
      <c r="AY45">
        <v>0.02</v>
      </c>
      <c r="AZ45">
        <v>2</v>
      </c>
      <c r="BA45">
        <v>0.02</v>
      </c>
      <c r="BB45">
        <v>2</v>
      </c>
      <c r="BC45">
        <v>0.95</v>
      </c>
      <c r="BD45">
        <v>2</v>
      </c>
      <c r="BE45">
        <v>0.97</v>
      </c>
      <c r="BF45">
        <v>2</v>
      </c>
      <c r="BG45">
        <v>0.1</v>
      </c>
      <c r="BH45">
        <v>2</v>
      </c>
      <c r="BI45">
        <v>0.1</v>
      </c>
      <c r="BJ45">
        <v>2</v>
      </c>
      <c r="BK45">
        <v>0.03</v>
      </c>
      <c r="BL45">
        <v>2</v>
      </c>
      <c r="BM45">
        <v>0.03</v>
      </c>
      <c r="BN45">
        <v>2</v>
      </c>
      <c r="BO45">
        <v>0.13</v>
      </c>
      <c r="BP45">
        <v>2</v>
      </c>
      <c r="BQ45">
        <v>2.4729999999999999</v>
      </c>
      <c r="BR45">
        <v>2</v>
      </c>
      <c r="BS45">
        <v>1.4179999999999999</v>
      </c>
      <c r="BT45">
        <v>2</v>
      </c>
      <c r="BU45">
        <v>-10.37</v>
      </c>
      <c r="BV45">
        <v>2</v>
      </c>
      <c r="BW45">
        <v>11.54</v>
      </c>
      <c r="BX45">
        <v>2</v>
      </c>
      <c r="BY45">
        <v>3.72</v>
      </c>
      <c r="BZ45">
        <v>2</v>
      </c>
    </row>
    <row r="46" spans="1:78">
      <c r="A46" t="s">
        <v>52</v>
      </c>
      <c r="B46">
        <v>111</v>
      </c>
      <c r="C46">
        <v>37</v>
      </c>
      <c r="E46">
        <v>3804</v>
      </c>
      <c r="F46" t="s">
        <v>17</v>
      </c>
      <c r="G46">
        <v>25.9</v>
      </c>
      <c r="H46" s="52">
        <v>316132.05222961318</v>
      </c>
      <c r="I46" s="52"/>
      <c r="J46" s="2">
        <v>2.8308353641137631</v>
      </c>
      <c r="K46" s="2">
        <v>0.12689395588379027</v>
      </c>
      <c r="L46" s="2">
        <v>4.5096849054712188E-2</v>
      </c>
      <c r="M46" s="2">
        <f t="shared" si="0"/>
        <v>0.17199080493850244</v>
      </c>
      <c r="N46" s="1">
        <v>89.545977516309208</v>
      </c>
      <c r="O46" s="1">
        <v>4.0139541368498941</v>
      </c>
      <c r="P46" s="1">
        <v>1.4265193528037905</v>
      </c>
      <c r="Q46" s="1">
        <v>94.986451005962891</v>
      </c>
      <c r="R46" t="s">
        <v>53</v>
      </c>
      <c r="S46" t="s">
        <v>64</v>
      </c>
      <c r="T46">
        <v>37</v>
      </c>
      <c r="U46">
        <v>5</v>
      </c>
      <c r="V46">
        <v>509</v>
      </c>
      <c r="W46">
        <v>9</v>
      </c>
      <c r="X46">
        <v>2</v>
      </c>
      <c r="Y46">
        <v>20040809</v>
      </c>
      <c r="Z46">
        <v>72.765600000000006</v>
      </c>
      <c r="AA46">
        <v>-152.88480000000001</v>
      </c>
      <c r="AB46">
        <v>3861</v>
      </c>
      <c r="AC46">
        <v>27.2</v>
      </c>
      <c r="AD46">
        <v>2</v>
      </c>
      <c r="AE46">
        <v>-0.94499999999999995</v>
      </c>
      <c r="AF46">
        <v>2</v>
      </c>
      <c r="AG46">
        <v>28.951000000000001</v>
      </c>
      <c r="AH46">
        <v>2</v>
      </c>
      <c r="AI46">
        <v>-999</v>
      </c>
      <c r="AJ46">
        <v>9</v>
      </c>
      <c r="AK46">
        <v>380.1</v>
      </c>
      <c r="AL46">
        <v>2</v>
      </c>
      <c r="AM46">
        <v>395.6</v>
      </c>
      <c r="AN46">
        <v>2</v>
      </c>
      <c r="AO46">
        <v>9.0649999999999995</v>
      </c>
      <c r="AP46">
        <v>2</v>
      </c>
      <c r="AQ46">
        <v>2.31</v>
      </c>
      <c r="AR46">
        <v>2</v>
      </c>
      <c r="AS46">
        <v>2.36</v>
      </c>
      <c r="AT46">
        <v>2</v>
      </c>
      <c r="AU46">
        <v>0.03</v>
      </c>
      <c r="AV46">
        <v>2</v>
      </c>
      <c r="AW46">
        <v>0.03</v>
      </c>
      <c r="AX46">
        <v>2</v>
      </c>
      <c r="AY46">
        <v>0</v>
      </c>
      <c r="AZ46">
        <v>2</v>
      </c>
      <c r="BA46">
        <v>0</v>
      </c>
      <c r="BB46">
        <v>2</v>
      </c>
      <c r="BC46">
        <v>0.68</v>
      </c>
      <c r="BD46">
        <v>2</v>
      </c>
      <c r="BE46">
        <v>0.69</v>
      </c>
      <c r="BF46">
        <v>2</v>
      </c>
      <c r="BG46">
        <v>0.05</v>
      </c>
      <c r="BH46">
        <v>2</v>
      </c>
      <c r="BI46">
        <v>0.05</v>
      </c>
      <c r="BJ46">
        <v>2</v>
      </c>
      <c r="BK46">
        <v>0.04</v>
      </c>
      <c r="BL46">
        <v>2</v>
      </c>
      <c r="BM46">
        <v>0.04</v>
      </c>
      <c r="BN46">
        <v>2</v>
      </c>
      <c r="BO46">
        <v>-999</v>
      </c>
      <c r="BP46">
        <v>9</v>
      </c>
      <c r="BS46">
        <v>1.456</v>
      </c>
      <c r="BT46">
        <v>2</v>
      </c>
      <c r="BU46">
        <v>-6.94</v>
      </c>
      <c r="BV46">
        <v>2</v>
      </c>
      <c r="BW46">
        <v>7.0000000000000007E-2</v>
      </c>
      <c r="BX46">
        <v>2</v>
      </c>
      <c r="BY46">
        <v>0.03</v>
      </c>
      <c r="BZ46">
        <v>2</v>
      </c>
    </row>
    <row r="47" spans="1:78">
      <c r="A47" t="s">
        <v>10</v>
      </c>
      <c r="B47">
        <v>17</v>
      </c>
      <c r="C47">
        <v>7</v>
      </c>
      <c r="E47">
        <v>164</v>
      </c>
      <c r="F47" t="s">
        <v>15</v>
      </c>
      <c r="G47">
        <v>0</v>
      </c>
      <c r="H47" s="52">
        <v>322287.23404255317</v>
      </c>
      <c r="I47" s="52">
        <v>114508.08128511786</v>
      </c>
      <c r="J47" s="2">
        <v>2.7747237992421345</v>
      </c>
      <c r="K47" s="2">
        <v>0.13723505313208365</v>
      </c>
      <c r="L47" s="2">
        <v>4.1059712713292604E-2</v>
      </c>
      <c r="M47" s="2">
        <f t="shared" si="0"/>
        <v>0.17829476584537624</v>
      </c>
      <c r="N47" s="1">
        <v>86.094747360541561</v>
      </c>
      <c r="O47" s="1">
        <v>4.2581597604937658</v>
      </c>
      <c r="P47" s="1">
        <v>1.2740099009900991</v>
      </c>
      <c r="Q47" s="1">
        <v>91.626917022025424</v>
      </c>
      <c r="R47" t="s">
        <v>12</v>
      </c>
      <c r="S47" t="s">
        <v>13</v>
      </c>
      <c r="T47">
        <v>7</v>
      </c>
      <c r="U47">
        <v>4</v>
      </c>
      <c r="V47">
        <v>12</v>
      </c>
      <c r="W47">
        <v>12</v>
      </c>
      <c r="X47">
        <v>2</v>
      </c>
      <c r="Y47">
        <v>20020518</v>
      </c>
      <c r="Z47">
        <v>73.0334</v>
      </c>
      <c r="AA47">
        <v>-160.482</v>
      </c>
      <c r="AB47">
        <v>148</v>
      </c>
      <c r="AC47">
        <v>2</v>
      </c>
      <c r="AD47">
        <v>2</v>
      </c>
      <c r="AE47">
        <v>-1.6657999999999999</v>
      </c>
      <c r="AF47">
        <v>2</v>
      </c>
      <c r="AG47">
        <v>30.760899999999999</v>
      </c>
      <c r="AH47">
        <v>2</v>
      </c>
      <c r="AI47">
        <v>-999</v>
      </c>
      <c r="AJ47">
        <v>9</v>
      </c>
      <c r="AK47">
        <v>376.6</v>
      </c>
      <c r="AL47">
        <v>2</v>
      </c>
      <c r="AM47">
        <v>-999</v>
      </c>
      <c r="AN47">
        <v>9</v>
      </c>
      <c r="AO47">
        <v>-999</v>
      </c>
      <c r="AP47">
        <v>9</v>
      </c>
      <c r="AQ47">
        <v>8.1</v>
      </c>
      <c r="AR47">
        <v>2</v>
      </c>
      <c r="AS47">
        <v>8.26</v>
      </c>
      <c r="AT47">
        <v>2</v>
      </c>
      <c r="AU47">
        <v>1.82</v>
      </c>
      <c r="AV47">
        <v>2</v>
      </c>
      <c r="AW47">
        <v>1.86</v>
      </c>
      <c r="AX47">
        <v>2</v>
      </c>
      <c r="AY47">
        <v>0.04</v>
      </c>
      <c r="AZ47">
        <v>2</v>
      </c>
      <c r="BA47">
        <v>0.04</v>
      </c>
      <c r="BB47">
        <v>2</v>
      </c>
      <c r="BC47">
        <v>0.91</v>
      </c>
      <c r="BD47">
        <v>2</v>
      </c>
      <c r="BE47">
        <v>0.93</v>
      </c>
      <c r="BF47">
        <v>2</v>
      </c>
      <c r="BG47">
        <v>0.01</v>
      </c>
      <c r="BH47">
        <v>2</v>
      </c>
      <c r="BI47">
        <v>0.01</v>
      </c>
      <c r="BJ47">
        <v>2</v>
      </c>
      <c r="BK47">
        <v>0</v>
      </c>
      <c r="BL47">
        <v>2</v>
      </c>
      <c r="BM47">
        <v>0</v>
      </c>
      <c r="BN47">
        <v>2</v>
      </c>
      <c r="BO47">
        <v>0.14299999999999999</v>
      </c>
      <c r="BP47">
        <v>2</v>
      </c>
      <c r="BQ47">
        <v>0.88100000000000001</v>
      </c>
      <c r="BR47">
        <v>2</v>
      </c>
      <c r="BS47">
        <v>3.1160000000000001</v>
      </c>
      <c r="BT47">
        <v>2</v>
      </c>
      <c r="BU47">
        <v>-8.69</v>
      </c>
      <c r="BV47">
        <v>2</v>
      </c>
      <c r="BW47">
        <v>0.18</v>
      </c>
      <c r="BX47">
        <v>2</v>
      </c>
      <c r="BY47">
        <v>0.22</v>
      </c>
      <c r="BZ47">
        <v>2</v>
      </c>
    </row>
    <row r="48" spans="1:78">
      <c r="A48" t="s">
        <v>41</v>
      </c>
      <c r="B48">
        <v>67</v>
      </c>
      <c r="C48">
        <v>20</v>
      </c>
      <c r="E48">
        <v>2386</v>
      </c>
      <c r="F48" t="s">
        <v>17</v>
      </c>
      <c r="G48">
        <v>300</v>
      </c>
      <c r="H48" s="52">
        <v>198991.31101117373</v>
      </c>
      <c r="I48" s="52">
        <v>48007.926288853487</v>
      </c>
      <c r="J48" s="2">
        <v>1.0218874404540965</v>
      </c>
      <c r="K48" s="2">
        <v>1.1957243077739465E-2</v>
      </c>
      <c r="L48" s="2">
        <v>0.17963694165013269</v>
      </c>
      <c r="M48" s="2">
        <f t="shared" si="0"/>
        <v>0.19159418472787215</v>
      </c>
      <c r="N48" s="1">
        <v>51.353369916574678</v>
      </c>
      <c r="O48" s="1">
        <v>0.6008927232540342</v>
      </c>
      <c r="P48" s="1">
        <v>9.0273761571451594</v>
      </c>
      <c r="Q48" s="1">
        <v>60.981638796973868</v>
      </c>
      <c r="R48" t="s">
        <v>42</v>
      </c>
      <c r="S48" t="s">
        <v>46</v>
      </c>
      <c r="T48">
        <v>20</v>
      </c>
      <c r="U48">
        <v>3</v>
      </c>
      <c r="V48">
        <v>10</v>
      </c>
      <c r="W48">
        <v>10</v>
      </c>
      <c r="X48">
        <v>2</v>
      </c>
      <c r="Y48">
        <v>20040604</v>
      </c>
      <c r="Z48">
        <v>73.143000000000001</v>
      </c>
      <c r="AA48">
        <v>-157.786</v>
      </c>
      <c r="AB48">
        <v>2481</v>
      </c>
      <c r="AC48">
        <v>306.3</v>
      </c>
      <c r="AD48">
        <v>2</v>
      </c>
      <c r="AE48">
        <v>0.64400000000000002</v>
      </c>
      <c r="AF48">
        <v>2</v>
      </c>
      <c r="AG48">
        <v>34.757399999999997</v>
      </c>
      <c r="AH48">
        <v>2</v>
      </c>
      <c r="AI48">
        <v>34.755499999999998</v>
      </c>
      <c r="AJ48">
        <v>2</v>
      </c>
      <c r="AK48">
        <v>306.39999999999998</v>
      </c>
      <c r="AL48">
        <v>2</v>
      </c>
      <c r="AM48">
        <v>286.89999999999998</v>
      </c>
      <c r="AN48">
        <v>2</v>
      </c>
      <c r="AO48">
        <v>6.6040000000000001</v>
      </c>
      <c r="AP48">
        <v>2</v>
      </c>
      <c r="AQ48">
        <v>8.6300000000000008</v>
      </c>
      <c r="AR48">
        <v>2</v>
      </c>
      <c r="AS48">
        <v>8.84</v>
      </c>
      <c r="AT48">
        <v>2</v>
      </c>
      <c r="AU48">
        <v>12.51</v>
      </c>
      <c r="AV48">
        <v>2</v>
      </c>
      <c r="AW48">
        <v>12.81</v>
      </c>
      <c r="AX48">
        <v>2</v>
      </c>
      <c r="AY48">
        <v>0</v>
      </c>
      <c r="AZ48">
        <v>2</v>
      </c>
      <c r="BA48">
        <v>0</v>
      </c>
      <c r="BB48">
        <v>2</v>
      </c>
      <c r="BC48">
        <v>0.89</v>
      </c>
      <c r="BD48">
        <v>2</v>
      </c>
      <c r="BE48">
        <v>0.91</v>
      </c>
      <c r="BF48">
        <v>2</v>
      </c>
      <c r="BG48">
        <v>0.11</v>
      </c>
      <c r="BH48">
        <v>2</v>
      </c>
      <c r="BI48">
        <v>0.11</v>
      </c>
      <c r="BJ48">
        <v>2</v>
      </c>
      <c r="BK48">
        <v>0.12</v>
      </c>
      <c r="BL48">
        <v>2</v>
      </c>
      <c r="BM48">
        <v>0.12</v>
      </c>
      <c r="BN48">
        <v>2</v>
      </c>
      <c r="BO48">
        <v>0.11899999999999999</v>
      </c>
      <c r="BP48">
        <v>2</v>
      </c>
      <c r="BQ48">
        <v>0.63</v>
      </c>
      <c r="BR48">
        <v>2</v>
      </c>
      <c r="BS48">
        <v>0.152</v>
      </c>
      <c r="BT48">
        <v>2</v>
      </c>
      <c r="BU48">
        <v>1.17</v>
      </c>
      <c r="BV48">
        <v>2</v>
      </c>
      <c r="BW48">
        <v>-999</v>
      </c>
      <c r="BX48">
        <v>9</v>
      </c>
      <c r="BY48">
        <v>-999</v>
      </c>
      <c r="BZ48">
        <v>9</v>
      </c>
    </row>
    <row r="49" spans="1:78">
      <c r="A49" t="s">
        <v>52</v>
      </c>
      <c r="B49">
        <v>110</v>
      </c>
      <c r="C49">
        <v>37</v>
      </c>
      <c r="E49">
        <v>3804</v>
      </c>
      <c r="F49" t="s">
        <v>17</v>
      </c>
      <c r="G49">
        <v>0</v>
      </c>
      <c r="H49" s="52">
        <v>510391.72209903912</v>
      </c>
      <c r="I49" s="52"/>
      <c r="J49" s="2">
        <v>4.6614515088664712</v>
      </c>
      <c r="K49" s="2">
        <v>0.13331140911133846</v>
      </c>
      <c r="L49" s="2">
        <v>6.4347169131484139E-2</v>
      </c>
      <c r="M49" s="2">
        <f t="shared" si="0"/>
        <v>0.1976585782428226</v>
      </c>
      <c r="N49" s="1">
        <v>91.330860337933501</v>
      </c>
      <c r="O49" s="1">
        <v>2.6119430104211214</v>
      </c>
      <c r="P49" s="1">
        <v>1.2607408456165727</v>
      </c>
      <c r="Q49" s="1">
        <v>95.203544193971183</v>
      </c>
      <c r="R49" t="s">
        <v>53</v>
      </c>
      <c r="S49" t="s">
        <v>64</v>
      </c>
      <c r="T49">
        <v>37</v>
      </c>
      <c r="U49">
        <v>2</v>
      </c>
      <c r="V49">
        <v>212</v>
      </c>
      <c r="W49">
        <v>12</v>
      </c>
      <c r="X49">
        <v>2</v>
      </c>
      <c r="Y49">
        <v>20040809</v>
      </c>
      <c r="Z49">
        <v>72.716499999999996</v>
      </c>
      <c r="AA49">
        <v>-153.0446</v>
      </c>
      <c r="AB49">
        <v>3779</v>
      </c>
      <c r="AC49">
        <v>1.7</v>
      </c>
      <c r="AD49">
        <v>2</v>
      </c>
      <c r="AE49">
        <v>-1.006</v>
      </c>
      <c r="AF49">
        <v>2</v>
      </c>
      <c r="AG49">
        <v>25.681999999999999</v>
      </c>
      <c r="AH49">
        <v>2</v>
      </c>
      <c r="AI49">
        <v>-999</v>
      </c>
      <c r="AJ49">
        <v>9</v>
      </c>
      <c r="AK49">
        <v>366</v>
      </c>
      <c r="AL49">
        <v>2</v>
      </c>
      <c r="AM49">
        <v>379.9</v>
      </c>
      <c r="AN49">
        <v>2</v>
      </c>
      <c r="AO49">
        <v>8.6820000000000004</v>
      </c>
      <c r="AP49">
        <v>2</v>
      </c>
      <c r="AQ49">
        <v>2.0699999999999998</v>
      </c>
      <c r="AR49">
        <v>2</v>
      </c>
      <c r="AS49">
        <v>2.11</v>
      </c>
      <c r="AT49">
        <v>2</v>
      </c>
      <c r="AU49">
        <v>0.27</v>
      </c>
      <c r="AV49">
        <v>2</v>
      </c>
      <c r="AW49">
        <v>0.27</v>
      </c>
      <c r="AX49">
        <v>2</v>
      </c>
      <c r="AY49">
        <v>0</v>
      </c>
      <c r="AZ49">
        <v>2</v>
      </c>
      <c r="BA49">
        <v>0</v>
      </c>
      <c r="BB49">
        <v>2</v>
      </c>
      <c r="BC49">
        <v>0.55000000000000004</v>
      </c>
      <c r="BD49">
        <v>2</v>
      </c>
      <c r="BE49">
        <v>0.56000000000000005</v>
      </c>
      <c r="BF49">
        <v>2</v>
      </c>
      <c r="BG49">
        <v>0.01</v>
      </c>
      <c r="BH49">
        <v>2</v>
      </c>
      <c r="BI49">
        <v>0.01</v>
      </c>
      <c r="BJ49">
        <v>2</v>
      </c>
      <c r="BK49">
        <v>0.01</v>
      </c>
      <c r="BL49">
        <v>2</v>
      </c>
      <c r="BM49">
        <v>0.01</v>
      </c>
      <c r="BN49">
        <v>2</v>
      </c>
      <c r="BO49">
        <v>-999</v>
      </c>
      <c r="BP49">
        <v>9</v>
      </c>
      <c r="BS49">
        <v>0.89600000000000002</v>
      </c>
      <c r="BT49">
        <v>2</v>
      </c>
      <c r="BU49">
        <v>-4.96</v>
      </c>
      <c r="BV49">
        <v>2</v>
      </c>
      <c r="BW49">
        <v>0.06</v>
      </c>
      <c r="BX49">
        <v>2</v>
      </c>
      <c r="BY49">
        <v>0.01</v>
      </c>
      <c r="BZ49">
        <v>2</v>
      </c>
    </row>
    <row r="50" spans="1:78">
      <c r="A50" t="s">
        <v>52</v>
      </c>
      <c r="B50">
        <v>1</v>
      </c>
      <c r="C50">
        <v>6</v>
      </c>
      <c r="E50">
        <v>53</v>
      </c>
      <c r="F50" t="s">
        <v>11</v>
      </c>
      <c r="G50">
        <v>0</v>
      </c>
      <c r="H50" s="52">
        <v>587277.65459472779</v>
      </c>
      <c r="I50" s="52"/>
      <c r="J50" s="2">
        <v>4.3482082730996314</v>
      </c>
      <c r="K50" s="2">
        <v>0.12052277799926328</v>
      </c>
      <c r="L50" s="2">
        <v>7.8488647994773938E-2</v>
      </c>
      <c r="M50" s="2">
        <f t="shared" ref="M50:M81" si="1">K50+L50</f>
        <v>0.19901142599403721</v>
      </c>
      <c r="N50" s="1">
        <v>74.040076939420928</v>
      </c>
      <c r="O50" s="1">
        <v>2.052228227250267</v>
      </c>
      <c r="P50" s="1">
        <v>1.3364827927760656</v>
      </c>
      <c r="Q50" s="1">
        <v>77.428787959447263</v>
      </c>
      <c r="R50" t="s">
        <v>53</v>
      </c>
      <c r="S50" t="s">
        <v>54</v>
      </c>
      <c r="T50">
        <v>6</v>
      </c>
      <c r="U50">
        <v>1</v>
      </c>
      <c r="V50">
        <v>112</v>
      </c>
      <c r="W50">
        <v>12</v>
      </c>
      <c r="X50">
        <v>2</v>
      </c>
      <c r="Y50">
        <v>20040720</v>
      </c>
      <c r="Z50">
        <v>67.531000000000006</v>
      </c>
      <c r="AA50">
        <v>-168.881</v>
      </c>
      <c r="AB50">
        <v>50</v>
      </c>
      <c r="AC50">
        <v>2.2000000000000002</v>
      </c>
      <c r="AD50">
        <v>2</v>
      </c>
      <c r="AE50">
        <v>8.31</v>
      </c>
      <c r="AF50">
        <v>2</v>
      </c>
      <c r="AG50">
        <v>30.684999999999999</v>
      </c>
      <c r="AH50">
        <v>2</v>
      </c>
      <c r="AI50">
        <v>30.670300000000001</v>
      </c>
      <c r="AJ50">
        <v>2</v>
      </c>
      <c r="AK50">
        <v>390.2</v>
      </c>
      <c r="AL50">
        <v>2</v>
      </c>
      <c r="AM50">
        <v>389.8</v>
      </c>
      <c r="AN50">
        <v>2</v>
      </c>
      <c r="AO50">
        <v>8.9369999999999994</v>
      </c>
      <c r="AP50">
        <v>2</v>
      </c>
      <c r="AQ50">
        <v>0.99</v>
      </c>
      <c r="AR50">
        <v>2</v>
      </c>
      <c r="AS50">
        <v>1.01</v>
      </c>
      <c r="AT50">
        <v>2</v>
      </c>
      <c r="AU50">
        <v>0.14000000000000001</v>
      </c>
      <c r="AV50">
        <v>2</v>
      </c>
      <c r="AW50">
        <v>0.14000000000000001</v>
      </c>
      <c r="AX50">
        <v>2</v>
      </c>
      <c r="AY50">
        <v>0</v>
      </c>
      <c r="AZ50">
        <v>2</v>
      </c>
      <c r="BA50">
        <v>0</v>
      </c>
      <c r="BB50">
        <v>2</v>
      </c>
      <c r="BC50">
        <v>0.17</v>
      </c>
      <c r="BD50">
        <v>2</v>
      </c>
      <c r="BE50">
        <v>0.17</v>
      </c>
      <c r="BF50">
        <v>2</v>
      </c>
      <c r="BG50">
        <v>0.19</v>
      </c>
      <c r="BH50">
        <v>2</v>
      </c>
      <c r="BI50">
        <v>0.19</v>
      </c>
      <c r="BJ50">
        <v>2</v>
      </c>
      <c r="BK50">
        <v>0.05</v>
      </c>
      <c r="BL50">
        <v>2</v>
      </c>
      <c r="BM50">
        <v>0.05</v>
      </c>
      <c r="BN50">
        <v>2</v>
      </c>
      <c r="BO50">
        <v>9.5000000000000001E-2</v>
      </c>
      <c r="BP50">
        <v>2</v>
      </c>
      <c r="BS50">
        <v>0.45700000000000002</v>
      </c>
      <c r="BT50">
        <v>2</v>
      </c>
      <c r="BU50">
        <v>0.51</v>
      </c>
      <c r="BV50">
        <v>2</v>
      </c>
      <c r="BW50">
        <v>0.55000000000000004</v>
      </c>
      <c r="BX50">
        <v>2</v>
      </c>
      <c r="BY50">
        <v>0.15</v>
      </c>
      <c r="BZ50">
        <v>2</v>
      </c>
    </row>
    <row r="51" spans="1:78">
      <c r="A51" t="s">
        <v>10</v>
      </c>
      <c r="B51">
        <v>60</v>
      </c>
      <c r="C51">
        <v>19</v>
      </c>
      <c r="D51" t="s">
        <v>21</v>
      </c>
      <c r="E51">
        <v>100</v>
      </c>
      <c r="F51" t="s">
        <v>11</v>
      </c>
      <c r="G51">
        <v>19</v>
      </c>
      <c r="H51" s="52">
        <v>370851.06382978725</v>
      </c>
      <c r="I51" s="52">
        <v>82900.439927425177</v>
      </c>
      <c r="J51" s="2">
        <v>3.1443196482945446</v>
      </c>
      <c r="K51" s="2">
        <v>0.19017091670786862</v>
      </c>
      <c r="L51" s="2">
        <v>2.3374956754886701E-2</v>
      </c>
      <c r="M51" s="2">
        <f t="shared" si="1"/>
        <v>0.21354587346275533</v>
      </c>
      <c r="N51" s="1">
        <v>77.028682174602295</v>
      </c>
      <c r="O51" s="1">
        <v>5.1279593145552642</v>
      </c>
      <c r="P51" s="1">
        <v>0.6303057759493258</v>
      </c>
      <c r="Q51" s="1">
        <v>82.786947265106889</v>
      </c>
      <c r="R51" t="s">
        <v>12</v>
      </c>
      <c r="S51" t="s">
        <v>13</v>
      </c>
      <c r="T51">
        <v>19</v>
      </c>
      <c r="U51">
        <v>1</v>
      </c>
      <c r="V51">
        <v>8</v>
      </c>
      <c r="W51">
        <v>8</v>
      </c>
      <c r="X51">
        <v>2</v>
      </c>
      <c r="Y51">
        <v>20020529</v>
      </c>
      <c r="Z51">
        <v>72.605999999999995</v>
      </c>
      <c r="AA51">
        <v>-158.7559</v>
      </c>
      <c r="AB51">
        <v>90</v>
      </c>
      <c r="AC51">
        <v>20.100000000000001</v>
      </c>
      <c r="AD51">
        <v>2</v>
      </c>
      <c r="AE51">
        <v>-1.6466000000000001</v>
      </c>
      <c r="AF51">
        <v>2</v>
      </c>
      <c r="AG51">
        <v>30.8126</v>
      </c>
      <c r="AH51">
        <v>2</v>
      </c>
      <c r="AI51">
        <v>-999</v>
      </c>
      <c r="AJ51">
        <v>9</v>
      </c>
      <c r="AK51">
        <v>381.6</v>
      </c>
      <c r="AL51">
        <v>2</v>
      </c>
      <c r="AM51">
        <v>390.3</v>
      </c>
      <c r="AN51">
        <v>2</v>
      </c>
      <c r="AO51">
        <v>8.9570000000000007</v>
      </c>
      <c r="AP51">
        <v>2</v>
      </c>
      <c r="AQ51">
        <v>7.68</v>
      </c>
      <c r="AR51">
        <v>2</v>
      </c>
      <c r="AS51">
        <v>7.83</v>
      </c>
      <c r="AT51">
        <v>2</v>
      </c>
      <c r="AU51">
        <v>1.37</v>
      </c>
      <c r="AV51">
        <v>2</v>
      </c>
      <c r="AW51">
        <v>1.4</v>
      </c>
      <c r="AX51">
        <v>2</v>
      </c>
      <c r="AY51">
        <v>0.03</v>
      </c>
      <c r="AZ51">
        <v>2</v>
      </c>
      <c r="BA51">
        <v>0.03</v>
      </c>
      <c r="BB51">
        <v>2</v>
      </c>
      <c r="BC51">
        <v>0.88</v>
      </c>
      <c r="BD51">
        <v>2</v>
      </c>
      <c r="BE51">
        <v>0.9</v>
      </c>
      <c r="BF51">
        <v>2</v>
      </c>
      <c r="BG51">
        <v>0.12</v>
      </c>
      <c r="BH51">
        <v>2</v>
      </c>
      <c r="BI51">
        <v>0.12</v>
      </c>
      <c r="BJ51">
        <v>2</v>
      </c>
      <c r="BK51">
        <v>0.01</v>
      </c>
      <c r="BL51">
        <v>2</v>
      </c>
      <c r="BM51">
        <v>0.01</v>
      </c>
      <c r="BN51">
        <v>2</v>
      </c>
      <c r="BO51">
        <v>0.13600000000000001</v>
      </c>
      <c r="BP51">
        <v>2</v>
      </c>
      <c r="BQ51">
        <v>1.018</v>
      </c>
      <c r="BR51">
        <v>2</v>
      </c>
      <c r="BS51">
        <v>1.9139999999999999</v>
      </c>
      <c r="BT51">
        <v>2</v>
      </c>
      <c r="BU51">
        <v>-8.59</v>
      </c>
      <c r="BV51">
        <v>2</v>
      </c>
      <c r="BW51">
        <v>0.35</v>
      </c>
      <c r="BX51">
        <v>2</v>
      </c>
      <c r="BY51">
        <v>0.28000000000000003</v>
      </c>
      <c r="BZ51">
        <v>2</v>
      </c>
    </row>
    <row r="52" spans="1:78">
      <c r="A52" t="s">
        <v>27</v>
      </c>
      <c r="B52">
        <v>71</v>
      </c>
      <c r="C52">
        <v>28</v>
      </c>
      <c r="E52">
        <v>455</v>
      </c>
      <c r="F52" t="s">
        <v>20</v>
      </c>
      <c r="G52">
        <v>100</v>
      </c>
      <c r="H52" s="52">
        <v>153638.29787234045</v>
      </c>
      <c r="I52" s="52">
        <v>37482.164011323701</v>
      </c>
      <c r="J52" s="2">
        <v>0.80243705824815337</v>
      </c>
      <c r="K52" s="2">
        <v>0.21340908452456667</v>
      </c>
      <c r="L52" s="2">
        <v>2.7382217145033084E-3</v>
      </c>
      <c r="M52" s="2">
        <f t="shared" si="1"/>
        <v>0.21614730623906997</v>
      </c>
      <c r="N52" s="1">
        <v>52.228973463042792</v>
      </c>
      <c r="O52" s="1">
        <v>13.890357253364675</v>
      </c>
      <c r="P52" s="1">
        <v>0.17822520507084263</v>
      </c>
      <c r="Q52" s="1">
        <v>66.297555921478306</v>
      </c>
      <c r="R52" t="s">
        <v>29</v>
      </c>
      <c r="S52" t="s">
        <v>30</v>
      </c>
      <c r="T52">
        <v>28</v>
      </c>
      <c r="U52">
        <v>2</v>
      </c>
      <c r="V52">
        <v>4</v>
      </c>
      <c r="W52">
        <v>4</v>
      </c>
      <c r="X52">
        <v>2</v>
      </c>
      <c r="Y52">
        <v>20020808</v>
      </c>
      <c r="Z52">
        <v>72.8309</v>
      </c>
      <c r="AA52">
        <v>-158.2876</v>
      </c>
      <c r="AB52">
        <v>453</v>
      </c>
      <c r="AC52">
        <v>106.8</v>
      </c>
      <c r="AD52">
        <v>2</v>
      </c>
      <c r="AE52">
        <v>-1.5518000000000001</v>
      </c>
      <c r="AF52">
        <v>2</v>
      </c>
      <c r="AG52">
        <v>32.881700000000002</v>
      </c>
      <c r="AH52">
        <v>2</v>
      </c>
      <c r="AI52">
        <v>32.883400000000002</v>
      </c>
      <c r="AJ52">
        <v>2</v>
      </c>
      <c r="AK52">
        <v>284.39999999999998</v>
      </c>
      <c r="AL52">
        <v>2</v>
      </c>
      <c r="AM52">
        <v>292.60000000000002</v>
      </c>
      <c r="AN52">
        <v>2</v>
      </c>
      <c r="AO52">
        <v>6.7249999999999996</v>
      </c>
      <c r="AP52">
        <v>2</v>
      </c>
      <c r="AQ52">
        <v>32</v>
      </c>
      <c r="AR52">
        <v>2</v>
      </c>
      <c r="AS52">
        <v>32.700000000000003</v>
      </c>
      <c r="AT52">
        <v>2</v>
      </c>
      <c r="AU52">
        <v>14.07</v>
      </c>
      <c r="AV52">
        <v>2</v>
      </c>
      <c r="AW52">
        <v>14.38</v>
      </c>
      <c r="AX52">
        <v>2</v>
      </c>
      <c r="AY52">
        <v>0.03</v>
      </c>
      <c r="AZ52">
        <v>2</v>
      </c>
      <c r="BA52">
        <v>0.03</v>
      </c>
      <c r="BB52">
        <v>2</v>
      </c>
      <c r="BC52">
        <v>1.76</v>
      </c>
      <c r="BD52">
        <v>2</v>
      </c>
      <c r="BE52">
        <v>1.8</v>
      </c>
      <c r="BF52">
        <v>2</v>
      </c>
      <c r="BG52">
        <v>0</v>
      </c>
      <c r="BH52">
        <v>2</v>
      </c>
      <c r="BI52">
        <v>0</v>
      </c>
      <c r="BJ52">
        <v>2</v>
      </c>
      <c r="BK52">
        <v>0</v>
      </c>
      <c r="BL52">
        <v>2</v>
      </c>
      <c r="BM52">
        <v>0</v>
      </c>
      <c r="BN52">
        <v>2</v>
      </c>
      <c r="BO52">
        <v>0.151</v>
      </c>
      <c r="BP52">
        <v>2</v>
      </c>
      <c r="BQ52">
        <v>0.73499999999999999</v>
      </c>
      <c r="BR52">
        <v>2</v>
      </c>
      <c r="BS52">
        <v>0.13500000000000001</v>
      </c>
      <c r="BT52">
        <v>2</v>
      </c>
      <c r="BU52">
        <v>-9.93</v>
      </c>
      <c r="BV52">
        <v>2</v>
      </c>
      <c r="BW52">
        <v>0.01</v>
      </c>
      <c r="BX52">
        <v>2</v>
      </c>
      <c r="BY52">
        <v>0.03</v>
      </c>
      <c r="BZ52">
        <v>2</v>
      </c>
    </row>
    <row r="53" spans="1:78">
      <c r="A53" t="s">
        <v>10</v>
      </c>
      <c r="B53">
        <v>37</v>
      </c>
      <c r="C53">
        <v>12</v>
      </c>
      <c r="D53" t="s">
        <v>18</v>
      </c>
      <c r="E53">
        <v>2000</v>
      </c>
      <c r="F53" t="s">
        <v>17</v>
      </c>
      <c r="G53">
        <v>29</v>
      </c>
      <c r="H53" s="52">
        <v>304627.65957446804</v>
      </c>
      <c r="I53" s="52">
        <v>77266.477883557614</v>
      </c>
      <c r="J53" s="2">
        <v>2.4982229863687291</v>
      </c>
      <c r="K53" s="2">
        <v>0.17123372525691113</v>
      </c>
      <c r="L53" s="2">
        <v>4.5133954521730878E-2</v>
      </c>
      <c r="M53" s="2">
        <f t="shared" si="1"/>
        <v>0.21636767977864202</v>
      </c>
      <c r="N53" s="1">
        <v>82.009066079504294</v>
      </c>
      <c r="O53" s="1">
        <v>5.6210826520515624</v>
      </c>
      <c r="P53" s="1">
        <v>1.4816105203571512</v>
      </c>
      <c r="Q53" s="1">
        <v>89.111759251913014</v>
      </c>
      <c r="R53" t="s">
        <v>12</v>
      </c>
      <c r="S53" t="s">
        <v>13</v>
      </c>
      <c r="T53">
        <v>12</v>
      </c>
      <c r="U53">
        <v>3</v>
      </c>
      <c r="V53">
        <v>8</v>
      </c>
      <c r="W53">
        <v>8</v>
      </c>
      <c r="X53">
        <v>2</v>
      </c>
      <c r="Y53">
        <v>20020523</v>
      </c>
      <c r="Z53">
        <v>73.447500000000005</v>
      </c>
      <c r="AA53">
        <v>-157.5694</v>
      </c>
      <c r="AB53">
        <v>2857</v>
      </c>
      <c r="AC53">
        <v>30.1</v>
      </c>
      <c r="AD53">
        <v>2</v>
      </c>
      <c r="AE53">
        <v>-1.5639000000000001</v>
      </c>
      <c r="AF53">
        <v>2</v>
      </c>
      <c r="AG53">
        <v>29.895199999999999</v>
      </c>
      <c r="AH53">
        <v>2</v>
      </c>
      <c r="AI53">
        <v>-999</v>
      </c>
      <c r="AJ53">
        <v>9</v>
      </c>
      <c r="AK53">
        <v>391.1</v>
      </c>
      <c r="AL53">
        <v>2</v>
      </c>
      <c r="AM53">
        <v>-999</v>
      </c>
      <c r="AN53">
        <v>9</v>
      </c>
      <c r="AO53">
        <v>-999</v>
      </c>
      <c r="AP53">
        <v>9</v>
      </c>
      <c r="AQ53">
        <v>4.67</v>
      </c>
      <c r="AR53">
        <v>2</v>
      </c>
      <c r="AS53">
        <v>4.76</v>
      </c>
      <c r="AT53">
        <v>2</v>
      </c>
      <c r="AU53">
        <v>0.61</v>
      </c>
      <c r="AV53">
        <v>2</v>
      </c>
      <c r="AW53">
        <v>0.62</v>
      </c>
      <c r="AX53">
        <v>2</v>
      </c>
      <c r="AY53">
        <v>0.03</v>
      </c>
      <c r="AZ53">
        <v>2</v>
      </c>
      <c r="BA53">
        <v>0.03</v>
      </c>
      <c r="BB53">
        <v>2</v>
      </c>
      <c r="BC53">
        <v>0.78</v>
      </c>
      <c r="BD53">
        <v>2</v>
      </c>
      <c r="BE53">
        <v>0.8</v>
      </c>
      <c r="BF53">
        <v>2</v>
      </c>
      <c r="BG53">
        <v>0.02</v>
      </c>
      <c r="BH53">
        <v>2</v>
      </c>
      <c r="BI53">
        <v>0.02</v>
      </c>
      <c r="BJ53">
        <v>2</v>
      </c>
      <c r="BK53">
        <v>0.05</v>
      </c>
      <c r="BL53">
        <v>2</v>
      </c>
      <c r="BM53">
        <v>0.05</v>
      </c>
      <c r="BN53">
        <v>2</v>
      </c>
      <c r="BO53">
        <v>0.12</v>
      </c>
      <c r="BP53">
        <v>2</v>
      </c>
      <c r="BQ53">
        <v>1.1579999999999999</v>
      </c>
      <c r="BR53">
        <v>2</v>
      </c>
      <c r="BS53">
        <v>2.1760000000000002</v>
      </c>
      <c r="BT53">
        <v>2</v>
      </c>
      <c r="BU53">
        <v>-7.96</v>
      </c>
      <c r="BV53">
        <v>2</v>
      </c>
      <c r="BW53">
        <v>0.2</v>
      </c>
      <c r="BX53">
        <v>2</v>
      </c>
      <c r="BY53">
        <v>0.23</v>
      </c>
      <c r="BZ53">
        <v>2</v>
      </c>
    </row>
    <row r="54" spans="1:78">
      <c r="A54" t="s">
        <v>27</v>
      </c>
      <c r="B54">
        <v>92</v>
      </c>
      <c r="C54">
        <v>33</v>
      </c>
      <c r="E54">
        <v>2140</v>
      </c>
      <c r="F54" t="s">
        <v>17</v>
      </c>
      <c r="G54">
        <v>350</v>
      </c>
      <c r="H54" s="52">
        <v>152497.78368794327</v>
      </c>
      <c r="I54" s="52">
        <v>19476.540024876067</v>
      </c>
      <c r="J54" s="2">
        <v>0.83329918407196613</v>
      </c>
      <c r="K54" s="2">
        <v>0.21539267204721668</v>
      </c>
      <c r="L54" s="2">
        <v>9.1433590398265294E-3</v>
      </c>
      <c r="M54" s="2">
        <f t="shared" si="1"/>
        <v>0.2245360310870432</v>
      </c>
      <c r="N54" s="1">
        <v>47.797183099364652</v>
      </c>
      <c r="O54" s="1">
        <v>14.124314913846581</v>
      </c>
      <c r="P54" s="1">
        <v>0.59957324091585595</v>
      </c>
      <c r="Q54" s="1">
        <v>62.521071254127094</v>
      </c>
      <c r="R54" t="s">
        <v>29</v>
      </c>
      <c r="S54" t="s">
        <v>30</v>
      </c>
      <c r="T54">
        <v>33</v>
      </c>
      <c r="U54">
        <v>1</v>
      </c>
      <c r="V54">
        <v>8</v>
      </c>
      <c r="W54">
        <v>8</v>
      </c>
      <c r="X54">
        <v>2</v>
      </c>
      <c r="Y54">
        <v>20020814</v>
      </c>
      <c r="Z54">
        <v>73.497200000000007</v>
      </c>
      <c r="AA54">
        <v>-159.54820000000001</v>
      </c>
      <c r="AB54">
        <v>2251</v>
      </c>
      <c r="AC54">
        <v>351.5</v>
      </c>
      <c r="AD54">
        <v>2</v>
      </c>
      <c r="AE54">
        <v>0.67479999999999996</v>
      </c>
      <c r="AF54">
        <v>2</v>
      </c>
      <c r="AG54">
        <v>34.781300000000002</v>
      </c>
      <c r="AH54">
        <v>2</v>
      </c>
      <c r="AI54">
        <v>34.781100000000002</v>
      </c>
      <c r="AJ54">
        <v>2</v>
      </c>
      <c r="AK54">
        <v>282.39999999999998</v>
      </c>
      <c r="AL54">
        <v>2</v>
      </c>
      <c r="AM54">
        <v>290.89999999999998</v>
      </c>
      <c r="AN54">
        <v>2</v>
      </c>
      <c r="AO54">
        <v>6.694</v>
      </c>
      <c r="AP54">
        <v>2</v>
      </c>
      <c r="AQ54">
        <v>7.43</v>
      </c>
      <c r="AR54">
        <v>2</v>
      </c>
      <c r="AS54">
        <v>7.6</v>
      </c>
      <c r="AT54">
        <v>2</v>
      </c>
      <c r="AU54">
        <v>12.44</v>
      </c>
      <c r="AV54">
        <v>2</v>
      </c>
      <c r="AW54">
        <v>12.73</v>
      </c>
      <c r="AX54">
        <v>2</v>
      </c>
      <c r="AY54">
        <v>0</v>
      </c>
      <c r="AZ54">
        <v>2</v>
      </c>
      <c r="BA54">
        <v>0</v>
      </c>
      <c r="BB54">
        <v>2</v>
      </c>
      <c r="BC54">
        <v>0.88</v>
      </c>
      <c r="BD54">
        <v>2</v>
      </c>
      <c r="BE54">
        <v>0.9</v>
      </c>
      <c r="BF54">
        <v>2</v>
      </c>
      <c r="BG54">
        <v>0.01</v>
      </c>
      <c r="BH54">
        <v>2</v>
      </c>
      <c r="BI54">
        <v>0.01</v>
      </c>
      <c r="BJ54">
        <v>2</v>
      </c>
      <c r="BK54">
        <v>0</v>
      </c>
      <c r="BL54">
        <v>2</v>
      </c>
      <c r="BM54">
        <v>0</v>
      </c>
      <c r="BN54">
        <v>2</v>
      </c>
      <c r="BO54">
        <v>0.10199999999999999</v>
      </c>
      <c r="BP54">
        <v>2</v>
      </c>
      <c r="BQ54">
        <v>0.65900000000000003</v>
      </c>
      <c r="BR54">
        <v>2</v>
      </c>
      <c r="BS54">
        <v>0.13700000000000001</v>
      </c>
      <c r="BT54">
        <v>2</v>
      </c>
      <c r="BU54">
        <v>1.1499999999999999</v>
      </c>
      <c r="BV54">
        <v>2</v>
      </c>
      <c r="BW54">
        <v>-999</v>
      </c>
      <c r="BX54">
        <v>9</v>
      </c>
      <c r="BY54">
        <v>-999</v>
      </c>
      <c r="BZ54">
        <v>9</v>
      </c>
    </row>
    <row r="55" spans="1:78">
      <c r="A55" t="s">
        <v>52</v>
      </c>
      <c r="B55">
        <v>168</v>
      </c>
      <c r="C55">
        <v>50</v>
      </c>
      <c r="E55">
        <v>3320</v>
      </c>
      <c r="F55" t="s">
        <v>17</v>
      </c>
      <c r="G55">
        <v>0</v>
      </c>
      <c r="H55" s="52">
        <v>328810.05173688103</v>
      </c>
      <c r="I55" s="52"/>
      <c r="J55" s="2">
        <v>2.6130875637546858</v>
      </c>
      <c r="K55" s="2">
        <v>0.2113896323545125</v>
      </c>
      <c r="L55" s="2">
        <v>1.6996320985213326E-2</v>
      </c>
      <c r="M55" s="2">
        <f t="shared" si="1"/>
        <v>0.22838595333972583</v>
      </c>
      <c r="N55" s="1">
        <v>79.471036543789111</v>
      </c>
      <c r="O55" s="1">
        <v>6.4289285329899162</v>
      </c>
      <c r="P55" s="1">
        <v>0.51690393573533611</v>
      </c>
      <c r="Q55" s="1">
        <v>86.416869012514368</v>
      </c>
      <c r="R55" t="s">
        <v>53</v>
      </c>
      <c r="S55" t="s">
        <v>67</v>
      </c>
      <c r="T55">
        <v>50</v>
      </c>
      <c r="U55">
        <v>1</v>
      </c>
      <c r="V55">
        <v>112</v>
      </c>
      <c r="W55">
        <v>12</v>
      </c>
      <c r="X55">
        <v>2</v>
      </c>
      <c r="Y55">
        <v>20040816</v>
      </c>
      <c r="Z55">
        <v>73.388000000000005</v>
      </c>
      <c r="AA55">
        <v>-157.41200000000001</v>
      </c>
      <c r="AB55">
        <v>3157</v>
      </c>
      <c r="AC55">
        <v>1.8</v>
      </c>
      <c r="AD55">
        <v>2</v>
      </c>
      <c r="AE55">
        <v>3.4119999999999999</v>
      </c>
      <c r="AF55">
        <v>2</v>
      </c>
      <c r="AG55">
        <v>26.247</v>
      </c>
      <c r="AH55">
        <v>2</v>
      </c>
      <c r="AI55">
        <v>26.2681</v>
      </c>
      <c r="AJ55">
        <v>4</v>
      </c>
      <c r="AK55">
        <v>334.1</v>
      </c>
      <c r="AL55">
        <v>2</v>
      </c>
      <c r="AM55">
        <v>352.9</v>
      </c>
      <c r="AN55">
        <v>2</v>
      </c>
      <c r="AO55">
        <v>8.0670000000000002</v>
      </c>
      <c r="AP55">
        <v>2</v>
      </c>
      <c r="AQ55">
        <v>4.21</v>
      </c>
      <c r="AR55">
        <v>2</v>
      </c>
      <c r="AS55">
        <v>4.28</v>
      </c>
      <c r="AT55">
        <v>2</v>
      </c>
      <c r="AU55">
        <v>0.04</v>
      </c>
      <c r="AV55">
        <v>2</v>
      </c>
      <c r="AW55">
        <v>0.04</v>
      </c>
      <c r="AX55">
        <v>2</v>
      </c>
      <c r="AY55">
        <v>0</v>
      </c>
      <c r="AZ55">
        <v>2</v>
      </c>
      <c r="BA55">
        <v>0</v>
      </c>
      <c r="BB55">
        <v>2</v>
      </c>
      <c r="BC55">
        <v>0.54</v>
      </c>
      <c r="BD55">
        <v>2</v>
      </c>
      <c r="BE55">
        <v>0.55000000000000004</v>
      </c>
      <c r="BF55">
        <v>2</v>
      </c>
      <c r="BG55">
        <v>0.05</v>
      </c>
      <c r="BH55">
        <v>2</v>
      </c>
      <c r="BI55">
        <v>0.05</v>
      </c>
      <c r="BJ55">
        <v>2</v>
      </c>
      <c r="BK55">
        <v>0.04</v>
      </c>
      <c r="BL55">
        <v>2</v>
      </c>
      <c r="BM55">
        <v>0.04</v>
      </c>
      <c r="BN55">
        <v>2</v>
      </c>
      <c r="BO55">
        <v>-999</v>
      </c>
      <c r="BP55">
        <v>9</v>
      </c>
      <c r="BS55">
        <v>1.891</v>
      </c>
      <c r="BT55">
        <v>2</v>
      </c>
      <c r="BU55">
        <v>-4.99</v>
      </c>
      <c r="BV55">
        <v>2</v>
      </c>
      <c r="BW55">
        <v>0.25</v>
      </c>
      <c r="BX55">
        <v>2</v>
      </c>
      <c r="BY55">
        <v>0.05</v>
      </c>
      <c r="BZ55">
        <v>2</v>
      </c>
    </row>
    <row r="56" spans="1:78">
      <c r="A56" t="s">
        <v>10</v>
      </c>
      <c r="B56">
        <v>61</v>
      </c>
      <c r="C56">
        <v>19</v>
      </c>
      <c r="D56" t="s">
        <v>21</v>
      </c>
      <c r="E56">
        <v>100</v>
      </c>
      <c r="F56" t="s">
        <v>11</v>
      </c>
      <c r="G56">
        <v>80</v>
      </c>
      <c r="H56" s="52">
        <v>532730.49645390082</v>
      </c>
      <c r="I56" s="52">
        <v>127692.21848628725</v>
      </c>
      <c r="J56" s="2">
        <v>3.5189490960727898</v>
      </c>
      <c r="K56" s="2">
        <v>0.16737945473491242</v>
      </c>
      <c r="L56" s="2">
        <v>6.4132002875101374E-2</v>
      </c>
      <c r="M56" s="2">
        <f t="shared" si="1"/>
        <v>0.23151145761001379</v>
      </c>
      <c r="N56" s="1">
        <v>54.146440998609961</v>
      </c>
      <c r="O56" s="1">
        <v>3.1419161442618178</v>
      </c>
      <c r="P56" s="1">
        <v>1.2038357725340201</v>
      </c>
      <c r="Q56" s="1">
        <v>58.492192915405802</v>
      </c>
      <c r="R56" t="s">
        <v>12</v>
      </c>
      <c r="S56" t="s">
        <v>13</v>
      </c>
      <c r="T56">
        <v>19</v>
      </c>
      <c r="U56">
        <v>2</v>
      </c>
      <c r="V56">
        <v>2</v>
      </c>
      <c r="W56">
        <v>2</v>
      </c>
      <c r="X56">
        <v>2</v>
      </c>
      <c r="Y56">
        <v>20020529</v>
      </c>
      <c r="Z56">
        <v>72.607299999999995</v>
      </c>
      <c r="AA56">
        <v>-158.79220000000001</v>
      </c>
      <c r="AB56">
        <v>86</v>
      </c>
      <c r="AC56">
        <v>81.400000000000006</v>
      </c>
      <c r="AD56">
        <v>2</v>
      </c>
      <c r="AE56">
        <v>-1.7484999999999999</v>
      </c>
      <c r="AF56">
        <v>2</v>
      </c>
      <c r="AG56">
        <v>32.592399999999998</v>
      </c>
      <c r="AH56">
        <v>2</v>
      </c>
      <c r="AI56">
        <v>32.592599999999997</v>
      </c>
      <c r="AJ56">
        <v>2</v>
      </c>
      <c r="AK56">
        <v>290</v>
      </c>
      <c r="AL56">
        <v>2</v>
      </c>
      <c r="AM56">
        <v>295.5</v>
      </c>
      <c r="AN56">
        <v>2</v>
      </c>
      <c r="AO56">
        <v>6.79</v>
      </c>
      <c r="AP56">
        <v>2</v>
      </c>
      <c r="AQ56">
        <v>40.35</v>
      </c>
      <c r="AR56">
        <v>2</v>
      </c>
      <c r="AS56">
        <v>41.22</v>
      </c>
      <c r="AT56">
        <v>2</v>
      </c>
      <c r="AU56">
        <v>10.86</v>
      </c>
      <c r="AV56">
        <v>2</v>
      </c>
      <c r="AW56">
        <v>11.09</v>
      </c>
      <c r="AX56">
        <v>2</v>
      </c>
      <c r="AY56">
        <v>0.1</v>
      </c>
      <c r="AZ56">
        <v>2</v>
      </c>
      <c r="BA56">
        <v>0.1</v>
      </c>
      <c r="BB56">
        <v>2</v>
      </c>
      <c r="BC56">
        <v>1.85</v>
      </c>
      <c r="BD56">
        <v>2</v>
      </c>
      <c r="BE56">
        <v>1.89</v>
      </c>
      <c r="BF56">
        <v>2</v>
      </c>
      <c r="BG56">
        <v>1.81</v>
      </c>
      <c r="BH56">
        <v>2</v>
      </c>
      <c r="BI56">
        <v>1.85</v>
      </c>
      <c r="BJ56">
        <v>2</v>
      </c>
      <c r="BK56">
        <v>0.03</v>
      </c>
      <c r="BL56">
        <v>2</v>
      </c>
      <c r="BM56">
        <v>0.03</v>
      </c>
      <c r="BN56">
        <v>2</v>
      </c>
      <c r="BO56">
        <v>0.152</v>
      </c>
      <c r="BP56">
        <v>2</v>
      </c>
      <c r="BQ56">
        <v>0.97499999999999998</v>
      </c>
      <c r="BR56">
        <v>2</v>
      </c>
      <c r="BS56">
        <v>0.17399999999999999</v>
      </c>
      <c r="BT56">
        <v>2</v>
      </c>
      <c r="BU56">
        <v>-12.37</v>
      </c>
      <c r="BV56">
        <v>2</v>
      </c>
      <c r="BW56">
        <v>7.0000000000000007E-2</v>
      </c>
      <c r="BX56">
        <v>2</v>
      </c>
      <c r="BY56">
        <v>0.23</v>
      </c>
      <c r="BZ56">
        <v>2</v>
      </c>
    </row>
    <row r="57" spans="1:78">
      <c r="A57" t="s">
        <v>27</v>
      </c>
      <c r="B57">
        <v>2</v>
      </c>
      <c r="C57">
        <v>1</v>
      </c>
      <c r="D57" t="s">
        <v>28</v>
      </c>
      <c r="E57">
        <v>50</v>
      </c>
      <c r="F57" t="s">
        <v>11</v>
      </c>
      <c r="G57">
        <v>0</v>
      </c>
      <c r="H57" s="52">
        <v>1009539.0070921985</v>
      </c>
      <c r="I57" s="52">
        <v>145551.8569755762</v>
      </c>
      <c r="J57" s="2">
        <v>8.2607529536056319</v>
      </c>
      <c r="K57" s="2">
        <v>0.16335233191230591</v>
      </c>
      <c r="L57" s="2">
        <v>6.8557251200228903E-2</v>
      </c>
      <c r="M57" s="2">
        <f t="shared" si="1"/>
        <v>0.23190958311253482</v>
      </c>
      <c r="N57" s="1">
        <v>81.826981380336093</v>
      </c>
      <c r="O57" s="1">
        <v>1.6180883627549363</v>
      </c>
      <c r="P57" s="1">
        <v>0.67909462357176409</v>
      </c>
      <c r="Q57" s="1">
        <v>84.124164366662797</v>
      </c>
      <c r="R57" t="s">
        <v>29</v>
      </c>
      <c r="S57" t="s">
        <v>30</v>
      </c>
      <c r="T57">
        <v>1</v>
      </c>
      <c r="U57">
        <v>1</v>
      </c>
      <c r="V57">
        <v>11</v>
      </c>
      <c r="W57">
        <v>11</v>
      </c>
      <c r="X57">
        <v>2</v>
      </c>
      <c r="Y57">
        <v>20020718</v>
      </c>
      <c r="Z57">
        <v>65.667599999999993</v>
      </c>
      <c r="AA57">
        <v>-168.2073</v>
      </c>
      <c r="AB57">
        <v>42</v>
      </c>
      <c r="AC57">
        <v>2</v>
      </c>
      <c r="AD57">
        <v>2</v>
      </c>
      <c r="AE57">
        <v>9.8709000000000007</v>
      </c>
      <c r="AF57">
        <v>2</v>
      </c>
      <c r="AG57">
        <v>29.9771</v>
      </c>
      <c r="AH57">
        <v>2</v>
      </c>
      <c r="AI57">
        <v>29.976600000000001</v>
      </c>
      <c r="AJ57">
        <v>2</v>
      </c>
      <c r="AK57">
        <v>297.7</v>
      </c>
      <c r="AL57">
        <v>2</v>
      </c>
      <c r="AM57">
        <v>293.89999999999998</v>
      </c>
      <c r="AN57">
        <v>2</v>
      </c>
      <c r="AO57">
        <v>6.7320000000000002</v>
      </c>
      <c r="AP57">
        <v>2</v>
      </c>
      <c r="AQ57">
        <v>4.07</v>
      </c>
      <c r="AR57">
        <v>2</v>
      </c>
      <c r="AS57">
        <v>4.1500000000000004</v>
      </c>
      <c r="AT57">
        <v>2</v>
      </c>
      <c r="AU57">
        <v>0.06</v>
      </c>
      <c r="AV57">
        <v>2</v>
      </c>
      <c r="AW57">
        <v>0.06</v>
      </c>
      <c r="AX57">
        <v>2</v>
      </c>
      <c r="AY57">
        <v>0.01</v>
      </c>
      <c r="AZ57">
        <v>2</v>
      </c>
      <c r="BA57">
        <v>0.01</v>
      </c>
      <c r="BB57">
        <v>2</v>
      </c>
      <c r="BC57">
        <v>0.44</v>
      </c>
      <c r="BD57">
        <v>2</v>
      </c>
      <c r="BE57">
        <v>0.45</v>
      </c>
      <c r="BF57">
        <v>2</v>
      </c>
      <c r="BG57">
        <v>0.02</v>
      </c>
      <c r="BH57">
        <v>2</v>
      </c>
      <c r="BI57">
        <v>0.02</v>
      </c>
      <c r="BJ57">
        <v>2</v>
      </c>
      <c r="BK57">
        <v>7.0000000000000007E-2</v>
      </c>
      <c r="BL57">
        <v>2</v>
      </c>
      <c r="BM57">
        <v>7.0000000000000007E-2</v>
      </c>
      <c r="BN57">
        <v>2</v>
      </c>
      <c r="BO57">
        <v>0.17399999999999999</v>
      </c>
      <c r="BP57">
        <v>2</v>
      </c>
      <c r="BQ57">
        <v>1.5509999999999999</v>
      </c>
      <c r="BR57">
        <v>2</v>
      </c>
      <c r="BS57">
        <v>3.1819999999999999</v>
      </c>
      <c r="BT57">
        <v>2</v>
      </c>
      <c r="BU57">
        <v>-3.59</v>
      </c>
      <c r="BV57">
        <v>2</v>
      </c>
      <c r="BW57">
        <v>0.95</v>
      </c>
      <c r="BX57">
        <v>2</v>
      </c>
      <c r="BY57">
        <v>0.84</v>
      </c>
      <c r="BZ57">
        <v>2</v>
      </c>
    </row>
    <row r="58" spans="1:78">
      <c r="A58" t="s">
        <v>10</v>
      </c>
      <c r="B58">
        <v>13</v>
      </c>
      <c r="C58">
        <v>6</v>
      </c>
      <c r="D58" t="s">
        <v>14</v>
      </c>
      <c r="E58">
        <v>50</v>
      </c>
      <c r="F58" t="s">
        <v>11</v>
      </c>
      <c r="G58">
        <v>0</v>
      </c>
      <c r="H58" s="52">
        <v>440017.73049645388</v>
      </c>
      <c r="I58" s="52">
        <v>70218.041626665552</v>
      </c>
      <c r="J58" s="2">
        <v>3.1464341285309119</v>
      </c>
      <c r="K58" s="2">
        <v>2.1106320946225866E-2</v>
      </c>
      <c r="L58" s="2">
        <v>0.2117437605770385</v>
      </c>
      <c r="M58" s="2">
        <f t="shared" si="1"/>
        <v>0.23285008152326436</v>
      </c>
      <c r="N58" s="1">
        <v>75.150577710108251</v>
      </c>
      <c r="O58" s="1">
        <v>0.47966978336105848</v>
      </c>
      <c r="P58" s="1">
        <v>4.8121642811560505</v>
      </c>
      <c r="Q58" s="1">
        <v>80.442411774625356</v>
      </c>
      <c r="R58" t="s">
        <v>12</v>
      </c>
      <c r="S58" t="s">
        <v>13</v>
      </c>
      <c r="T58">
        <v>6</v>
      </c>
      <c r="U58">
        <v>1</v>
      </c>
      <c r="V58">
        <v>12</v>
      </c>
      <c r="W58">
        <v>12</v>
      </c>
      <c r="X58">
        <v>2</v>
      </c>
      <c r="Y58">
        <v>20020517</v>
      </c>
      <c r="Z58">
        <v>72.920400000000001</v>
      </c>
      <c r="AA58">
        <v>-160.52099999999999</v>
      </c>
      <c r="AB58">
        <v>71</v>
      </c>
      <c r="AC58">
        <v>2</v>
      </c>
      <c r="AD58">
        <v>2</v>
      </c>
      <c r="AE58">
        <v>-1.6850000000000001</v>
      </c>
      <c r="AF58">
        <v>2</v>
      </c>
      <c r="AG58">
        <v>31.161799999999999</v>
      </c>
      <c r="AH58">
        <v>2</v>
      </c>
      <c r="AI58">
        <v>-999</v>
      </c>
      <c r="AJ58">
        <v>9</v>
      </c>
      <c r="AK58">
        <v>354.9</v>
      </c>
      <c r="AL58">
        <v>2</v>
      </c>
      <c r="AM58">
        <v>-999</v>
      </c>
      <c r="AN58">
        <v>9</v>
      </c>
      <c r="AO58">
        <v>-999</v>
      </c>
      <c r="AP58">
        <v>9</v>
      </c>
      <c r="AQ58">
        <v>14.43</v>
      </c>
      <c r="AR58">
        <v>2</v>
      </c>
      <c r="AS58">
        <v>14.73</v>
      </c>
      <c r="AT58">
        <v>2</v>
      </c>
      <c r="AU58">
        <v>3.42</v>
      </c>
      <c r="AV58">
        <v>2</v>
      </c>
      <c r="AW58">
        <v>3.49</v>
      </c>
      <c r="AX58">
        <v>2</v>
      </c>
      <c r="AY58">
        <v>0.05</v>
      </c>
      <c r="AZ58">
        <v>2</v>
      </c>
      <c r="BA58">
        <v>0.05</v>
      </c>
      <c r="BB58">
        <v>2</v>
      </c>
      <c r="BC58">
        <v>1.08</v>
      </c>
      <c r="BD58">
        <v>2</v>
      </c>
      <c r="BE58">
        <v>1.1000000000000001</v>
      </c>
      <c r="BF58">
        <v>2</v>
      </c>
      <c r="BG58">
        <v>7.0000000000000007E-2</v>
      </c>
      <c r="BH58">
        <v>2</v>
      </c>
      <c r="BI58">
        <v>7.0000000000000007E-2</v>
      </c>
      <c r="BJ58">
        <v>2</v>
      </c>
      <c r="BK58">
        <v>0.04</v>
      </c>
      <c r="BL58">
        <v>2</v>
      </c>
      <c r="BM58">
        <v>0.04</v>
      </c>
      <c r="BN58">
        <v>2</v>
      </c>
      <c r="BO58">
        <v>0.14499999999999999</v>
      </c>
      <c r="BP58">
        <v>2</v>
      </c>
      <c r="BQ58">
        <v>1.0469999999999999</v>
      </c>
      <c r="BR58">
        <v>2</v>
      </c>
      <c r="BS58">
        <v>2.992</v>
      </c>
      <c r="BT58">
        <v>2</v>
      </c>
      <c r="BU58">
        <v>-9.58</v>
      </c>
      <c r="BV58">
        <v>2</v>
      </c>
      <c r="BW58">
        <v>0.36</v>
      </c>
      <c r="BX58">
        <v>2</v>
      </c>
      <c r="BY58">
        <v>0.33</v>
      </c>
      <c r="BZ58">
        <v>2</v>
      </c>
    </row>
    <row r="59" spans="1:78">
      <c r="A59" t="s">
        <v>27</v>
      </c>
      <c r="B59">
        <v>52</v>
      </c>
      <c r="C59">
        <v>20</v>
      </c>
      <c r="E59">
        <v>1000</v>
      </c>
      <c r="F59" t="s">
        <v>20</v>
      </c>
      <c r="G59">
        <v>0</v>
      </c>
      <c r="H59" s="52">
        <v>1476046.09929078</v>
      </c>
      <c r="I59" s="52">
        <v>310948.24083744228</v>
      </c>
      <c r="J59" s="2">
        <v>11.171213705192288</v>
      </c>
      <c r="K59" s="2">
        <v>0.17391406498449644</v>
      </c>
      <c r="L59" s="2">
        <v>5.9973563610744289E-2</v>
      </c>
      <c r="M59" s="2">
        <f t="shared" si="1"/>
        <v>0.23388762859524073</v>
      </c>
      <c r="N59" s="1">
        <v>75.683365923055533</v>
      </c>
      <c r="O59" s="1">
        <v>1.1782427735018559</v>
      </c>
      <c r="P59" s="1">
        <v>0.40631226653124697</v>
      </c>
      <c r="Q59" s="1">
        <v>77.267920963088628</v>
      </c>
      <c r="R59" t="s">
        <v>29</v>
      </c>
      <c r="S59" t="s">
        <v>30</v>
      </c>
      <c r="T59">
        <v>20</v>
      </c>
      <c r="U59">
        <v>6</v>
      </c>
      <c r="V59">
        <v>11</v>
      </c>
      <c r="W59">
        <v>11</v>
      </c>
      <c r="X59">
        <v>2</v>
      </c>
      <c r="Y59">
        <v>20020801</v>
      </c>
      <c r="Z59">
        <v>71.676400000000001</v>
      </c>
      <c r="AA59">
        <v>-152.19479999999999</v>
      </c>
      <c r="AB59">
        <v>1026</v>
      </c>
      <c r="AC59">
        <v>2</v>
      </c>
      <c r="AD59">
        <v>2</v>
      </c>
      <c r="AE59">
        <v>-1.1747000000000001</v>
      </c>
      <c r="AF59">
        <v>2</v>
      </c>
      <c r="AG59">
        <v>24.779499999999999</v>
      </c>
      <c r="AH59">
        <v>2</v>
      </c>
      <c r="AI59">
        <v>12.023899999999999</v>
      </c>
      <c r="AJ59">
        <v>2</v>
      </c>
      <c r="AK59">
        <v>375.1</v>
      </c>
      <c r="AL59">
        <v>2</v>
      </c>
      <c r="AM59">
        <v>409.7</v>
      </c>
      <c r="AN59">
        <v>2</v>
      </c>
      <c r="AO59">
        <v>9.2609999999999992</v>
      </c>
      <c r="AP59">
        <v>2</v>
      </c>
      <c r="AQ59">
        <v>6.7</v>
      </c>
      <c r="AR59">
        <v>2</v>
      </c>
      <c r="AS59">
        <v>6.74</v>
      </c>
      <c r="AT59">
        <v>2</v>
      </c>
      <c r="AU59">
        <v>7.0000000000000007E-2</v>
      </c>
      <c r="AV59">
        <v>2</v>
      </c>
      <c r="AW59">
        <v>7.0000000000000007E-2</v>
      </c>
      <c r="AX59">
        <v>2</v>
      </c>
      <c r="AY59">
        <v>0.02</v>
      </c>
      <c r="AZ59">
        <v>2</v>
      </c>
      <c r="BA59">
        <v>0.02</v>
      </c>
      <c r="BB59">
        <v>2</v>
      </c>
      <c r="BC59">
        <v>0.44</v>
      </c>
      <c r="BD59">
        <v>2</v>
      </c>
      <c r="BE59">
        <v>0.44</v>
      </c>
      <c r="BF59">
        <v>2</v>
      </c>
      <c r="BG59">
        <v>5.96</v>
      </c>
      <c r="BH59">
        <v>2</v>
      </c>
      <c r="BI59">
        <v>6</v>
      </c>
      <c r="BJ59">
        <v>2</v>
      </c>
      <c r="BK59">
        <v>0.26</v>
      </c>
      <c r="BL59">
        <v>2</v>
      </c>
      <c r="BM59">
        <v>0.26</v>
      </c>
      <c r="BN59">
        <v>2</v>
      </c>
      <c r="BO59">
        <v>0.104</v>
      </c>
      <c r="BP59">
        <v>2</v>
      </c>
      <c r="BQ59">
        <v>1.452</v>
      </c>
      <c r="BR59">
        <v>2</v>
      </c>
      <c r="BS59">
        <v>2.92</v>
      </c>
      <c r="BT59">
        <v>2</v>
      </c>
      <c r="BU59">
        <v>1.77</v>
      </c>
      <c r="BV59">
        <v>2</v>
      </c>
      <c r="BW59">
        <v>0.33</v>
      </c>
      <c r="BX59">
        <v>2</v>
      </c>
      <c r="BY59">
        <v>0.33</v>
      </c>
      <c r="BZ59">
        <v>2</v>
      </c>
    </row>
    <row r="60" spans="1:78">
      <c r="A60" t="s">
        <v>27</v>
      </c>
      <c r="B60">
        <v>72</v>
      </c>
      <c r="C60">
        <v>28</v>
      </c>
      <c r="E60">
        <v>455</v>
      </c>
      <c r="F60" t="s">
        <v>20</v>
      </c>
      <c r="G60">
        <v>200</v>
      </c>
      <c r="H60" s="52">
        <v>186602.83687943261</v>
      </c>
      <c r="I60" s="52">
        <v>42543.464215245796</v>
      </c>
      <c r="J60" s="2">
        <v>0.86261338045153979</v>
      </c>
      <c r="K60" s="2">
        <v>0.24154118284693674</v>
      </c>
      <c r="L60" s="2">
        <v>1.0976637463496032E-3</v>
      </c>
      <c r="M60" s="2">
        <f t="shared" si="1"/>
        <v>0.24263884659328633</v>
      </c>
      <c r="N60" s="1">
        <v>46.227238281960823</v>
      </c>
      <c r="O60" s="1">
        <v>12.944132409037318</v>
      </c>
      <c r="P60" s="1">
        <v>5.8823529411764698E-2</v>
      </c>
      <c r="Q60" s="1">
        <v>59.230194220409906</v>
      </c>
      <c r="R60" t="s">
        <v>29</v>
      </c>
      <c r="S60" t="s">
        <v>30</v>
      </c>
      <c r="T60">
        <v>28</v>
      </c>
      <c r="U60">
        <v>1</v>
      </c>
      <c r="V60">
        <v>10</v>
      </c>
      <c r="W60">
        <v>10</v>
      </c>
      <c r="X60">
        <v>2</v>
      </c>
      <c r="Y60">
        <v>20020808</v>
      </c>
      <c r="Z60">
        <v>72.836399999999998</v>
      </c>
      <c r="AA60">
        <v>-158.2587</v>
      </c>
      <c r="AB60">
        <v>545</v>
      </c>
      <c r="AC60">
        <v>201.4</v>
      </c>
      <c r="AD60">
        <v>2</v>
      </c>
      <c r="AE60">
        <v>-0.45679999999999998</v>
      </c>
      <c r="AF60">
        <v>2</v>
      </c>
      <c r="AG60">
        <v>34.409300000000002</v>
      </c>
      <c r="AH60">
        <v>2</v>
      </c>
      <c r="AI60">
        <v>34.384599999999999</v>
      </c>
      <c r="AJ60">
        <v>2</v>
      </c>
      <c r="AK60">
        <v>270.89999999999998</v>
      </c>
      <c r="AL60">
        <v>2</v>
      </c>
      <c r="AM60">
        <v>277.5</v>
      </c>
      <c r="AN60">
        <v>2</v>
      </c>
      <c r="AO60">
        <v>6.3860000000000001</v>
      </c>
      <c r="AP60">
        <v>2</v>
      </c>
      <c r="AQ60">
        <v>17.78</v>
      </c>
      <c r="AR60">
        <v>2</v>
      </c>
      <c r="AS60">
        <v>18.190000000000001</v>
      </c>
      <c r="AT60">
        <v>2</v>
      </c>
      <c r="AU60">
        <v>13.04</v>
      </c>
      <c r="AV60">
        <v>2</v>
      </c>
      <c r="AW60">
        <v>13.34</v>
      </c>
      <c r="AX60">
        <v>2</v>
      </c>
      <c r="AY60">
        <v>0.02</v>
      </c>
      <c r="AZ60">
        <v>2</v>
      </c>
      <c r="BA60">
        <v>0.02</v>
      </c>
      <c r="BB60">
        <v>2</v>
      </c>
      <c r="BC60">
        <v>1.19</v>
      </c>
      <c r="BD60">
        <v>2</v>
      </c>
      <c r="BE60">
        <v>1.22</v>
      </c>
      <c r="BF60">
        <v>2</v>
      </c>
      <c r="BG60">
        <v>0.06</v>
      </c>
      <c r="BH60">
        <v>2</v>
      </c>
      <c r="BI60">
        <v>0.06</v>
      </c>
      <c r="BJ60">
        <v>2</v>
      </c>
      <c r="BK60">
        <v>0.02</v>
      </c>
      <c r="BL60">
        <v>2</v>
      </c>
      <c r="BM60">
        <v>0.02</v>
      </c>
      <c r="BN60">
        <v>2</v>
      </c>
      <c r="BO60">
        <v>0.128</v>
      </c>
      <c r="BP60">
        <v>2</v>
      </c>
      <c r="BQ60">
        <v>0.72499999999999998</v>
      </c>
      <c r="BR60">
        <v>2</v>
      </c>
      <c r="BS60">
        <v>0.13500000000000001</v>
      </c>
      <c r="BT60">
        <v>2</v>
      </c>
      <c r="BU60">
        <v>-2.71</v>
      </c>
      <c r="BV60">
        <v>2</v>
      </c>
      <c r="BW60">
        <v>0.02</v>
      </c>
      <c r="BX60">
        <v>2</v>
      </c>
      <c r="BY60">
        <v>0.08</v>
      </c>
      <c r="BZ60">
        <v>2</v>
      </c>
    </row>
    <row r="61" spans="1:78">
      <c r="A61" t="s">
        <v>41</v>
      </c>
      <c r="B61">
        <v>63</v>
      </c>
      <c r="C61">
        <v>20</v>
      </c>
      <c r="E61">
        <v>2386</v>
      </c>
      <c r="F61" t="s">
        <v>17</v>
      </c>
      <c r="G61">
        <v>100</v>
      </c>
      <c r="H61" s="52">
        <v>197180.86791257522</v>
      </c>
      <c r="I61" s="52">
        <v>62054.272697008069</v>
      </c>
      <c r="J61" s="2">
        <v>1.1442441688783078</v>
      </c>
      <c r="K61" s="2">
        <v>2.9363981802549885E-2</v>
      </c>
      <c r="L61" s="2">
        <v>0.22249388318218269</v>
      </c>
      <c r="M61" s="2">
        <f t="shared" si="1"/>
        <v>0.25185786498473256</v>
      </c>
      <c r="N61" s="1">
        <v>58.030182187129597</v>
      </c>
      <c r="O61" s="1">
        <v>1.4891902096489957</v>
      </c>
      <c r="P61" s="1">
        <v>11.283746011343787</v>
      </c>
      <c r="Q61" s="1">
        <v>70.803118408122373</v>
      </c>
      <c r="R61" t="s">
        <v>42</v>
      </c>
      <c r="S61" t="s">
        <v>46</v>
      </c>
      <c r="T61">
        <v>20</v>
      </c>
      <c r="U61">
        <v>4</v>
      </c>
      <c r="V61">
        <v>5</v>
      </c>
      <c r="W61">
        <v>5</v>
      </c>
      <c r="X61">
        <v>2</v>
      </c>
      <c r="Y61">
        <v>20040605</v>
      </c>
      <c r="Z61">
        <v>73.150999999999996</v>
      </c>
      <c r="AA61">
        <v>-157.804</v>
      </c>
      <c r="AB61">
        <v>2497</v>
      </c>
      <c r="AC61">
        <v>103.2</v>
      </c>
      <c r="AD61">
        <v>2</v>
      </c>
      <c r="AE61">
        <v>-1.4696</v>
      </c>
      <c r="AF61">
        <v>2</v>
      </c>
      <c r="AG61">
        <v>32.552</v>
      </c>
      <c r="AH61">
        <v>2</v>
      </c>
      <c r="AI61">
        <v>32.548200000000001</v>
      </c>
      <c r="AJ61">
        <v>2</v>
      </c>
      <c r="AK61">
        <v>323</v>
      </c>
      <c r="AL61">
        <v>2</v>
      </c>
      <c r="AM61">
        <v>301.7</v>
      </c>
      <c r="AN61">
        <v>2</v>
      </c>
      <c r="AO61">
        <v>6.9320000000000004</v>
      </c>
      <c r="AP61">
        <v>2</v>
      </c>
      <c r="AQ61">
        <v>26.12</v>
      </c>
      <c r="AR61">
        <v>2</v>
      </c>
      <c r="AS61">
        <v>26.7</v>
      </c>
      <c r="AT61">
        <v>2</v>
      </c>
      <c r="AU61">
        <v>11.93</v>
      </c>
      <c r="AV61">
        <v>2</v>
      </c>
      <c r="AW61">
        <v>12.2</v>
      </c>
      <c r="AX61">
        <v>2</v>
      </c>
      <c r="AY61">
        <v>0.01</v>
      </c>
      <c r="AZ61">
        <v>2</v>
      </c>
      <c r="BA61">
        <v>0.01</v>
      </c>
      <c r="BB61">
        <v>2</v>
      </c>
      <c r="BC61">
        <v>1.63</v>
      </c>
      <c r="BD61">
        <v>2</v>
      </c>
      <c r="BE61">
        <v>1.67</v>
      </c>
      <c r="BF61">
        <v>2</v>
      </c>
      <c r="BG61">
        <v>0.14000000000000001</v>
      </c>
      <c r="BH61">
        <v>2</v>
      </c>
      <c r="BI61">
        <v>0.14000000000000001</v>
      </c>
      <c r="BJ61">
        <v>2</v>
      </c>
      <c r="BK61">
        <v>0.15</v>
      </c>
      <c r="BL61">
        <v>2</v>
      </c>
      <c r="BM61">
        <v>0.15</v>
      </c>
      <c r="BN61">
        <v>2</v>
      </c>
      <c r="BO61">
        <v>0.16200000000000001</v>
      </c>
      <c r="BP61">
        <v>2</v>
      </c>
      <c r="BQ61">
        <v>0.72399999999999998</v>
      </c>
      <c r="BR61">
        <v>2</v>
      </c>
      <c r="BS61">
        <v>0.27500000000000002</v>
      </c>
      <c r="BT61">
        <v>2</v>
      </c>
      <c r="BU61">
        <v>-9.91</v>
      </c>
      <c r="BV61">
        <v>2</v>
      </c>
      <c r="BW61">
        <v>0</v>
      </c>
      <c r="BX61">
        <v>2</v>
      </c>
      <c r="BY61">
        <v>0.02</v>
      </c>
      <c r="BZ61">
        <v>2</v>
      </c>
    </row>
    <row r="62" spans="1:78">
      <c r="A62" t="s">
        <v>41</v>
      </c>
      <c r="B62">
        <v>111</v>
      </c>
      <c r="C62">
        <v>26</v>
      </c>
      <c r="E62">
        <v>577</v>
      </c>
      <c r="F62" t="s">
        <v>20</v>
      </c>
      <c r="G62">
        <v>1100</v>
      </c>
      <c r="H62" s="52">
        <v>65964.08851789053</v>
      </c>
      <c r="I62" s="52">
        <v>11601.386923176713</v>
      </c>
      <c r="J62" s="2">
        <v>0.45992780574485165</v>
      </c>
      <c r="K62" s="2">
        <v>0.2326369137275773</v>
      </c>
      <c r="L62" s="2">
        <v>2.4565050376751163E-2</v>
      </c>
      <c r="M62" s="2">
        <f t="shared" si="1"/>
        <v>0.2572019641043285</v>
      </c>
      <c r="N62" s="1">
        <v>69.723968916831438</v>
      </c>
      <c r="O62" s="1">
        <v>35.2672065899133</v>
      </c>
      <c r="P62" s="1">
        <v>3.7240036099473612</v>
      </c>
      <c r="Q62" s="1">
        <v>108.7151791166921</v>
      </c>
      <c r="R62" t="s">
        <v>42</v>
      </c>
      <c r="S62" t="s">
        <v>51</v>
      </c>
      <c r="T62">
        <v>26</v>
      </c>
      <c r="U62">
        <v>2</v>
      </c>
      <c r="V62">
        <v>2</v>
      </c>
      <c r="W62">
        <v>2</v>
      </c>
      <c r="X62">
        <v>2</v>
      </c>
      <c r="Y62">
        <v>20040614</v>
      </c>
      <c r="Z62">
        <v>72.102000000000004</v>
      </c>
      <c r="AA62">
        <v>-154.44</v>
      </c>
      <c r="AB62">
        <v>1426</v>
      </c>
      <c r="AC62">
        <v>1112.7</v>
      </c>
      <c r="AD62">
        <v>2</v>
      </c>
      <c r="AE62">
        <v>-0.1128</v>
      </c>
      <c r="AF62">
        <v>2</v>
      </c>
      <c r="AG62">
        <v>34.891399999999997</v>
      </c>
      <c r="AH62">
        <v>2</v>
      </c>
      <c r="AI62">
        <v>34.888399999999997</v>
      </c>
      <c r="AJ62">
        <v>2</v>
      </c>
      <c r="AK62">
        <v>320.89999999999998</v>
      </c>
      <c r="AL62">
        <v>2</v>
      </c>
      <c r="AM62">
        <v>299.39999999999998</v>
      </c>
      <c r="AN62">
        <v>2</v>
      </c>
      <c r="AO62">
        <v>6.8929999999999998</v>
      </c>
      <c r="AP62">
        <v>2</v>
      </c>
      <c r="AQ62">
        <v>8.3699999999999992</v>
      </c>
      <c r="AR62">
        <v>2</v>
      </c>
      <c r="AS62">
        <v>8.57</v>
      </c>
      <c r="AT62">
        <v>2</v>
      </c>
      <c r="AU62">
        <v>12.79</v>
      </c>
      <c r="AV62">
        <v>2</v>
      </c>
      <c r="AW62">
        <v>13.1</v>
      </c>
      <c r="AX62">
        <v>2</v>
      </c>
      <c r="AY62">
        <v>0</v>
      </c>
      <c r="AZ62">
        <v>2</v>
      </c>
      <c r="BA62">
        <v>0</v>
      </c>
      <c r="BB62">
        <v>2</v>
      </c>
      <c r="BC62">
        <v>0.9</v>
      </c>
      <c r="BD62">
        <v>2</v>
      </c>
      <c r="BE62">
        <v>0.92</v>
      </c>
      <c r="BF62">
        <v>2</v>
      </c>
      <c r="BG62">
        <v>0.17</v>
      </c>
      <c r="BH62">
        <v>2</v>
      </c>
      <c r="BI62">
        <v>0.17</v>
      </c>
      <c r="BJ62">
        <v>2</v>
      </c>
      <c r="BK62">
        <v>0.09</v>
      </c>
      <c r="BL62">
        <v>2</v>
      </c>
      <c r="BM62">
        <v>0.09</v>
      </c>
      <c r="BN62">
        <v>2</v>
      </c>
      <c r="BO62">
        <v>0.114</v>
      </c>
      <c r="BP62">
        <v>2</v>
      </c>
      <c r="BQ62">
        <v>0.56399999999999995</v>
      </c>
      <c r="BR62">
        <v>2</v>
      </c>
      <c r="BS62">
        <v>0.153</v>
      </c>
      <c r="BT62">
        <v>2</v>
      </c>
      <c r="BU62">
        <v>1.33</v>
      </c>
      <c r="BV62">
        <v>2</v>
      </c>
      <c r="BW62">
        <v>-999</v>
      </c>
      <c r="BX62">
        <v>9</v>
      </c>
      <c r="BY62">
        <v>-999</v>
      </c>
      <c r="BZ62">
        <v>9</v>
      </c>
    </row>
    <row r="63" spans="1:78">
      <c r="A63" t="s">
        <v>52</v>
      </c>
      <c r="B63">
        <v>174</v>
      </c>
      <c r="C63">
        <v>50</v>
      </c>
      <c r="E63">
        <v>3320</v>
      </c>
      <c r="F63" t="s">
        <v>17</v>
      </c>
      <c r="G63">
        <v>200</v>
      </c>
      <c r="H63" s="52">
        <v>180968.21877309683</v>
      </c>
      <c r="I63" s="52"/>
      <c r="J63" s="2">
        <v>1.2045780841130429</v>
      </c>
      <c r="K63" s="2">
        <v>0.18933968946912746</v>
      </c>
      <c r="L63" s="2">
        <v>6.8917393619281328E-2</v>
      </c>
      <c r="M63" s="2">
        <f t="shared" si="1"/>
        <v>0.25825708308840878</v>
      </c>
      <c r="N63" s="1">
        <v>66.562962948946165</v>
      </c>
      <c r="O63" s="1">
        <v>10.462593418490073</v>
      </c>
      <c r="P63" s="1">
        <v>3.8082594881310037</v>
      </c>
      <c r="Q63" s="1">
        <v>80.833815855567238</v>
      </c>
      <c r="R63" t="s">
        <v>53</v>
      </c>
      <c r="S63" t="s">
        <v>67</v>
      </c>
      <c r="T63">
        <v>50</v>
      </c>
      <c r="U63">
        <v>2</v>
      </c>
      <c r="V63">
        <v>211</v>
      </c>
      <c r="W63">
        <v>11</v>
      </c>
      <c r="X63">
        <v>2</v>
      </c>
      <c r="Y63">
        <v>20040816</v>
      </c>
      <c r="Z63">
        <v>73.388999999999996</v>
      </c>
      <c r="AA63">
        <v>-157.34299999999999</v>
      </c>
      <c r="AB63">
        <v>3205</v>
      </c>
      <c r="AC63">
        <v>203</v>
      </c>
      <c r="AD63">
        <v>2</v>
      </c>
      <c r="AE63">
        <v>-1.2669999999999999</v>
      </c>
      <c r="AF63">
        <v>2</v>
      </c>
      <c r="AG63">
        <v>33.895000000000003</v>
      </c>
      <c r="AH63">
        <v>2</v>
      </c>
      <c r="AI63">
        <v>33.881599999999999</v>
      </c>
      <c r="AJ63">
        <v>2</v>
      </c>
      <c r="AK63">
        <v>270.5</v>
      </c>
      <c r="AL63">
        <v>2</v>
      </c>
      <c r="AM63">
        <v>297.39999999999998</v>
      </c>
      <c r="AN63">
        <v>2</v>
      </c>
      <c r="AO63">
        <v>6.84</v>
      </c>
      <c r="AP63">
        <v>2</v>
      </c>
      <c r="AQ63">
        <v>26.26</v>
      </c>
      <c r="AR63">
        <v>2</v>
      </c>
      <c r="AS63">
        <v>26.87</v>
      </c>
      <c r="AT63">
        <v>2</v>
      </c>
      <c r="AU63">
        <v>12.66</v>
      </c>
      <c r="AV63">
        <v>2</v>
      </c>
      <c r="AW63">
        <v>12.96</v>
      </c>
      <c r="AX63">
        <v>2</v>
      </c>
      <c r="AY63">
        <v>0.08</v>
      </c>
      <c r="AZ63">
        <v>2</v>
      </c>
      <c r="BA63">
        <v>0.08</v>
      </c>
      <c r="BB63">
        <v>2</v>
      </c>
      <c r="BC63">
        <v>1.51</v>
      </c>
      <c r="BD63">
        <v>2</v>
      </c>
      <c r="BE63">
        <v>1.55</v>
      </c>
      <c r="BF63">
        <v>2</v>
      </c>
      <c r="BG63">
        <v>0.02</v>
      </c>
      <c r="BH63">
        <v>2</v>
      </c>
      <c r="BI63">
        <v>0.02</v>
      </c>
      <c r="BJ63">
        <v>2</v>
      </c>
      <c r="BK63">
        <v>0.06</v>
      </c>
      <c r="BL63">
        <v>2</v>
      </c>
      <c r="BM63">
        <v>0.06</v>
      </c>
      <c r="BN63">
        <v>2</v>
      </c>
      <c r="BO63">
        <v>-999</v>
      </c>
      <c r="BP63">
        <v>9</v>
      </c>
      <c r="BS63">
        <v>0.154</v>
      </c>
      <c r="BT63">
        <v>2</v>
      </c>
      <c r="BU63">
        <v>-7.62</v>
      </c>
      <c r="BV63">
        <v>2</v>
      </c>
      <c r="BW63">
        <v>-999</v>
      </c>
      <c r="BX63">
        <v>9</v>
      </c>
      <c r="BY63">
        <v>-999</v>
      </c>
      <c r="BZ63">
        <v>9</v>
      </c>
    </row>
    <row r="64" spans="1:78">
      <c r="A64" t="s">
        <v>41</v>
      </c>
      <c r="B64">
        <v>61</v>
      </c>
      <c r="C64">
        <v>20</v>
      </c>
      <c r="E64">
        <v>2386</v>
      </c>
      <c r="F64" t="s">
        <v>17</v>
      </c>
      <c r="G64">
        <v>56.4</v>
      </c>
      <c r="H64" s="52">
        <v>224550.74957805208</v>
      </c>
      <c r="I64" s="52">
        <v>42768.146213352855</v>
      </c>
      <c r="J64" s="2">
        <v>1.4678608285163925</v>
      </c>
      <c r="K64" s="2">
        <v>0.10945808902424528</v>
      </c>
      <c r="L64" s="2">
        <v>0.16309622588422173</v>
      </c>
      <c r="M64" s="2">
        <f t="shared" si="1"/>
        <v>0.27255431490846704</v>
      </c>
      <c r="N64" s="1">
        <v>65.368778829490196</v>
      </c>
      <c r="O64" s="1">
        <v>4.8745367909002901</v>
      </c>
      <c r="P64" s="1">
        <v>7.2632234000862566</v>
      </c>
      <c r="Q64" s="1">
        <v>77.506539020476751</v>
      </c>
      <c r="R64" t="s">
        <v>42</v>
      </c>
      <c r="S64" t="s">
        <v>46</v>
      </c>
      <c r="T64">
        <v>20</v>
      </c>
      <c r="U64">
        <v>1</v>
      </c>
      <c r="V64">
        <v>3</v>
      </c>
      <c r="W64">
        <v>3</v>
      </c>
      <c r="X64">
        <v>2</v>
      </c>
      <c r="Y64">
        <v>20040604</v>
      </c>
      <c r="Z64">
        <v>73.134</v>
      </c>
      <c r="AA64">
        <v>-157.792</v>
      </c>
      <c r="AB64">
        <v>2401</v>
      </c>
      <c r="AC64">
        <v>58</v>
      </c>
      <c r="AD64">
        <v>2</v>
      </c>
      <c r="AE64">
        <v>-1.1676</v>
      </c>
      <c r="AF64">
        <v>2</v>
      </c>
      <c r="AG64">
        <v>31.972799999999999</v>
      </c>
      <c r="AH64">
        <v>2</v>
      </c>
      <c r="AI64">
        <v>-999</v>
      </c>
      <c r="AJ64">
        <v>9</v>
      </c>
      <c r="AK64">
        <v>351.7</v>
      </c>
      <c r="AL64">
        <v>2</v>
      </c>
      <c r="AM64">
        <v>330.6</v>
      </c>
      <c r="AN64">
        <v>2</v>
      </c>
      <c r="AO64">
        <v>7.5919999999999996</v>
      </c>
      <c r="AP64">
        <v>2</v>
      </c>
      <c r="AQ64">
        <v>16.22</v>
      </c>
      <c r="AR64">
        <v>2</v>
      </c>
      <c r="AS64">
        <v>16.579999999999998</v>
      </c>
      <c r="AT64">
        <v>2</v>
      </c>
      <c r="AU64">
        <v>7.62</v>
      </c>
      <c r="AV64">
        <v>2</v>
      </c>
      <c r="AW64">
        <v>7.79</v>
      </c>
      <c r="AX64">
        <v>2</v>
      </c>
      <c r="AY64">
        <v>0.01</v>
      </c>
      <c r="AZ64">
        <v>2</v>
      </c>
      <c r="BA64">
        <v>0.01</v>
      </c>
      <c r="BB64">
        <v>2</v>
      </c>
      <c r="BC64">
        <v>1.34</v>
      </c>
      <c r="BD64">
        <v>2</v>
      </c>
      <c r="BE64">
        <v>1.37</v>
      </c>
      <c r="BF64">
        <v>2</v>
      </c>
      <c r="BG64">
        <v>0.19</v>
      </c>
      <c r="BH64">
        <v>2</v>
      </c>
      <c r="BI64">
        <v>0.19</v>
      </c>
      <c r="BJ64">
        <v>2</v>
      </c>
      <c r="BK64">
        <v>0.2</v>
      </c>
      <c r="BL64">
        <v>2</v>
      </c>
      <c r="BM64">
        <v>0.2</v>
      </c>
      <c r="BN64">
        <v>2</v>
      </c>
      <c r="BO64">
        <v>0.14499999999999999</v>
      </c>
      <c r="BP64">
        <v>2</v>
      </c>
      <c r="BQ64">
        <v>0.96599999999999997</v>
      </c>
      <c r="BR64">
        <v>2</v>
      </c>
      <c r="BS64">
        <v>0.76300000000000001</v>
      </c>
      <c r="BT64">
        <v>2</v>
      </c>
      <c r="BU64">
        <v>-9.5299999999999994</v>
      </c>
      <c r="BV64">
        <v>2</v>
      </c>
      <c r="BW64">
        <v>0.09</v>
      </c>
      <c r="BX64">
        <v>2</v>
      </c>
      <c r="BY64">
        <v>0.03</v>
      </c>
      <c r="BZ64">
        <v>2</v>
      </c>
    </row>
    <row r="65" spans="1:78">
      <c r="A65" t="s">
        <v>27</v>
      </c>
      <c r="B65">
        <v>42</v>
      </c>
      <c r="C65">
        <v>17</v>
      </c>
      <c r="E65">
        <v>3090</v>
      </c>
      <c r="F65" t="s">
        <v>17</v>
      </c>
      <c r="G65">
        <v>26.8</v>
      </c>
      <c r="H65" s="52">
        <v>688723.40425531904</v>
      </c>
      <c r="I65" s="52">
        <v>102850.53983888056</v>
      </c>
      <c r="J65" s="2">
        <v>5.5513965785307837</v>
      </c>
      <c r="K65" s="2">
        <v>0.2390594379354129</v>
      </c>
      <c r="L65" s="2">
        <v>3.8000895779544679E-2</v>
      </c>
      <c r="M65" s="2">
        <f t="shared" si="1"/>
        <v>0.27706033371495759</v>
      </c>
      <c r="N65" s="1">
        <v>80.604151742646536</v>
      </c>
      <c r="O65" s="1">
        <v>3.4710514621453221</v>
      </c>
      <c r="P65" s="1">
        <v>0.55175844968755028</v>
      </c>
      <c r="Q65" s="1">
        <v>84.626961654479416</v>
      </c>
      <c r="R65" t="s">
        <v>29</v>
      </c>
      <c r="S65" t="s">
        <v>30</v>
      </c>
      <c r="T65">
        <v>17</v>
      </c>
      <c r="U65">
        <v>8</v>
      </c>
      <c r="V65">
        <v>10</v>
      </c>
      <c r="W65">
        <v>10</v>
      </c>
      <c r="X65">
        <v>2</v>
      </c>
      <c r="Y65">
        <v>20020728</v>
      </c>
      <c r="Z65">
        <v>72.485500000000002</v>
      </c>
      <c r="AA65">
        <v>-153.5566</v>
      </c>
      <c r="AB65">
        <v>3149</v>
      </c>
      <c r="AC65">
        <v>26.7</v>
      </c>
      <c r="AD65">
        <v>2</v>
      </c>
      <c r="AE65">
        <v>-1.5338000000000001</v>
      </c>
      <c r="AF65">
        <v>2</v>
      </c>
      <c r="AG65">
        <v>30.542999999999999</v>
      </c>
      <c r="AH65">
        <v>2</v>
      </c>
      <c r="AI65">
        <v>30.5319</v>
      </c>
      <c r="AJ65">
        <v>2</v>
      </c>
      <c r="AK65">
        <v>380.2</v>
      </c>
      <c r="AL65">
        <v>2</v>
      </c>
      <c r="AM65">
        <v>392.4</v>
      </c>
      <c r="AN65">
        <v>2</v>
      </c>
      <c r="AO65">
        <v>9.0030000000000001</v>
      </c>
      <c r="AP65">
        <v>2</v>
      </c>
      <c r="AQ65">
        <v>9.7100000000000009</v>
      </c>
      <c r="AR65">
        <v>2</v>
      </c>
      <c r="AS65">
        <v>9.9</v>
      </c>
      <c r="AT65">
        <v>2</v>
      </c>
      <c r="AU65">
        <v>1.4</v>
      </c>
      <c r="AV65">
        <v>2</v>
      </c>
      <c r="AW65">
        <v>1.43</v>
      </c>
      <c r="AX65">
        <v>2</v>
      </c>
      <c r="AY65">
        <v>0.09</v>
      </c>
      <c r="AZ65">
        <v>2</v>
      </c>
      <c r="BA65">
        <v>0.09</v>
      </c>
      <c r="BB65">
        <v>2</v>
      </c>
      <c r="BC65">
        <v>0.9</v>
      </c>
      <c r="BD65">
        <v>2</v>
      </c>
      <c r="BE65">
        <v>0.92</v>
      </c>
      <c r="BF65">
        <v>2</v>
      </c>
      <c r="BG65">
        <v>0.83</v>
      </c>
      <c r="BH65">
        <v>2</v>
      </c>
      <c r="BI65">
        <v>0.85</v>
      </c>
      <c r="BJ65">
        <v>2</v>
      </c>
      <c r="BK65">
        <v>0.06</v>
      </c>
      <c r="BL65">
        <v>2</v>
      </c>
      <c r="BM65">
        <v>0.06</v>
      </c>
      <c r="BN65">
        <v>2</v>
      </c>
      <c r="BO65">
        <v>0.13</v>
      </c>
      <c r="BP65">
        <v>2</v>
      </c>
      <c r="BQ65">
        <v>1.1020000000000001</v>
      </c>
      <c r="BR65">
        <v>2</v>
      </c>
      <c r="BS65">
        <v>0</v>
      </c>
      <c r="BT65">
        <v>2</v>
      </c>
      <c r="BU65">
        <v>-8.15</v>
      </c>
      <c r="BV65">
        <v>2</v>
      </c>
      <c r="BW65">
        <v>0.35</v>
      </c>
      <c r="BX65">
        <v>2</v>
      </c>
      <c r="BY65">
        <v>0.28000000000000003</v>
      </c>
      <c r="BZ65">
        <v>2</v>
      </c>
    </row>
    <row r="66" spans="1:78">
      <c r="A66" t="s">
        <v>52</v>
      </c>
      <c r="B66">
        <v>207</v>
      </c>
      <c r="C66">
        <v>57</v>
      </c>
      <c r="E66">
        <v>271</v>
      </c>
      <c r="F66" t="s">
        <v>20</v>
      </c>
      <c r="G66">
        <v>7.3</v>
      </c>
      <c r="H66" s="52">
        <v>415920.17738359206</v>
      </c>
      <c r="I66" s="52"/>
      <c r="J66" s="2">
        <v>3.3046032513564354</v>
      </c>
      <c r="K66" s="2">
        <v>0.23313681154511509</v>
      </c>
      <c r="L66" s="2">
        <v>4.5667426069865097E-2</v>
      </c>
      <c r="M66" s="2">
        <f t="shared" si="1"/>
        <v>0.27880423761498019</v>
      </c>
      <c r="N66" s="1">
        <v>79.452823667861821</v>
      </c>
      <c r="O66" s="1">
        <v>5.605325834675706</v>
      </c>
      <c r="P66" s="1">
        <v>1.0979853479853479</v>
      </c>
      <c r="Q66" s="1">
        <v>86.156134850522875</v>
      </c>
      <c r="R66" t="s">
        <v>53</v>
      </c>
      <c r="S66" t="s">
        <v>71</v>
      </c>
      <c r="T66">
        <v>57</v>
      </c>
      <c r="U66">
        <v>1</v>
      </c>
      <c r="V66">
        <v>109</v>
      </c>
      <c r="W66">
        <v>9</v>
      </c>
      <c r="X66">
        <v>2</v>
      </c>
      <c r="Y66">
        <v>20040822</v>
      </c>
      <c r="Z66">
        <v>73.144000000000005</v>
      </c>
      <c r="AA66">
        <v>-160.43100000000001</v>
      </c>
      <c r="AB66">
        <v>267</v>
      </c>
      <c r="AC66">
        <v>8.1999999999999993</v>
      </c>
      <c r="AD66">
        <v>2</v>
      </c>
      <c r="AE66">
        <v>1.5269999999999999</v>
      </c>
      <c r="AF66">
        <v>2</v>
      </c>
      <c r="AG66">
        <v>26.882999999999999</v>
      </c>
      <c r="AH66">
        <v>2</v>
      </c>
      <c r="AI66">
        <v>-999</v>
      </c>
      <c r="AJ66">
        <v>9</v>
      </c>
      <c r="AK66">
        <v>364</v>
      </c>
      <c r="AL66">
        <v>2</v>
      </c>
      <c r="AM66">
        <v>374</v>
      </c>
      <c r="AN66">
        <v>2</v>
      </c>
      <c r="AO66">
        <v>8.5549999999999997</v>
      </c>
      <c r="AP66">
        <v>2</v>
      </c>
      <c r="AQ66">
        <v>5.0599999999999996</v>
      </c>
      <c r="AR66">
        <v>2</v>
      </c>
      <c r="AS66">
        <v>5.15</v>
      </c>
      <c r="AT66">
        <v>2</v>
      </c>
      <c r="AU66">
        <v>0.06</v>
      </c>
      <c r="AV66">
        <v>2</v>
      </c>
      <c r="AW66">
        <v>0.06</v>
      </c>
      <c r="AX66">
        <v>2</v>
      </c>
      <c r="AY66">
        <v>0</v>
      </c>
      <c r="AZ66">
        <v>2</v>
      </c>
      <c r="BA66">
        <v>0</v>
      </c>
      <c r="BB66">
        <v>2</v>
      </c>
      <c r="BC66">
        <v>0.57999999999999996</v>
      </c>
      <c r="BD66">
        <v>2</v>
      </c>
      <c r="BE66">
        <v>0.59</v>
      </c>
      <c r="BF66">
        <v>2</v>
      </c>
      <c r="BG66">
        <v>0.16</v>
      </c>
      <c r="BH66">
        <v>2</v>
      </c>
      <c r="BI66">
        <v>0.16</v>
      </c>
      <c r="BJ66">
        <v>2</v>
      </c>
      <c r="BK66">
        <v>0.05</v>
      </c>
      <c r="BL66">
        <v>2</v>
      </c>
      <c r="BM66">
        <v>0.05</v>
      </c>
      <c r="BN66">
        <v>2</v>
      </c>
      <c r="BO66">
        <v>-999</v>
      </c>
      <c r="BP66">
        <v>9</v>
      </c>
      <c r="BS66">
        <v>1.9950000000000001</v>
      </c>
      <c r="BT66">
        <v>2</v>
      </c>
      <c r="BU66">
        <v>-5.43</v>
      </c>
      <c r="BV66">
        <v>2</v>
      </c>
      <c r="BW66">
        <v>0.2</v>
      </c>
      <c r="BX66">
        <v>2</v>
      </c>
      <c r="BY66">
        <v>0.02</v>
      </c>
      <c r="BZ66">
        <v>2</v>
      </c>
    </row>
    <row r="67" spans="1:78">
      <c r="A67" t="s">
        <v>41</v>
      </c>
      <c r="B67">
        <v>57</v>
      </c>
      <c r="C67">
        <v>20</v>
      </c>
      <c r="E67">
        <v>2386</v>
      </c>
      <c r="F67" t="s">
        <v>17</v>
      </c>
      <c r="G67">
        <v>0</v>
      </c>
      <c r="H67" s="52">
        <v>358113.81010689348</v>
      </c>
      <c r="I67" s="52">
        <v>56209.945009556082</v>
      </c>
      <c r="J67" s="2">
        <v>2.9396991809842121</v>
      </c>
      <c r="K67" s="2">
        <v>3.2262505415035446E-3</v>
      </c>
      <c r="L67" s="2">
        <v>0.27792368157241681</v>
      </c>
      <c r="M67" s="2">
        <f t="shared" si="1"/>
        <v>0.28114993211392036</v>
      </c>
      <c r="N67" s="1">
        <v>82.088405920641279</v>
      </c>
      <c r="O67" s="1">
        <v>9.0090090090090086E-2</v>
      </c>
      <c r="P67" s="1">
        <v>7.7607641405803172</v>
      </c>
      <c r="Q67" s="1">
        <v>89.939260151311686</v>
      </c>
      <c r="R67" t="s">
        <v>42</v>
      </c>
      <c r="S67" t="s">
        <v>46</v>
      </c>
      <c r="T67">
        <v>20</v>
      </c>
      <c r="U67">
        <v>4</v>
      </c>
      <c r="V67">
        <v>12</v>
      </c>
      <c r="W67">
        <v>12</v>
      </c>
      <c r="X67">
        <v>2</v>
      </c>
      <c r="Y67">
        <v>20040605</v>
      </c>
      <c r="Z67">
        <v>73.150999999999996</v>
      </c>
      <c r="AA67">
        <v>-157.804</v>
      </c>
      <c r="AB67">
        <v>2497</v>
      </c>
      <c r="AC67">
        <v>1.8</v>
      </c>
      <c r="AD67">
        <v>2</v>
      </c>
      <c r="AE67">
        <v>-1.4985999999999999</v>
      </c>
      <c r="AF67">
        <v>2</v>
      </c>
      <c r="AG67">
        <v>28.910900000000002</v>
      </c>
      <c r="AH67">
        <v>2</v>
      </c>
      <c r="AI67">
        <v>28.9115</v>
      </c>
      <c r="AJ67">
        <v>2</v>
      </c>
      <c r="AK67">
        <v>415.6</v>
      </c>
      <c r="AL67">
        <v>2</v>
      </c>
      <c r="AM67">
        <v>400.4</v>
      </c>
      <c r="AN67">
        <v>2</v>
      </c>
      <c r="AO67">
        <v>9.173</v>
      </c>
      <c r="AP67">
        <v>2</v>
      </c>
      <c r="AQ67">
        <v>2.91</v>
      </c>
      <c r="AR67">
        <v>2</v>
      </c>
      <c r="AS67">
        <v>2.97</v>
      </c>
      <c r="AT67">
        <v>2</v>
      </c>
      <c r="AU67">
        <v>0</v>
      </c>
      <c r="AV67">
        <v>2</v>
      </c>
      <c r="AW67">
        <v>0</v>
      </c>
      <c r="AX67">
        <v>2</v>
      </c>
      <c r="AY67">
        <v>0</v>
      </c>
      <c r="AZ67">
        <v>2</v>
      </c>
      <c r="BA67">
        <v>0</v>
      </c>
      <c r="BB67">
        <v>2</v>
      </c>
      <c r="BC67">
        <v>0.66</v>
      </c>
      <c r="BD67">
        <v>2</v>
      </c>
      <c r="BE67">
        <v>0.67</v>
      </c>
      <c r="BF67">
        <v>2</v>
      </c>
      <c r="BG67">
        <v>0.1</v>
      </c>
      <c r="BH67">
        <v>2</v>
      </c>
      <c r="BI67">
        <v>0.1</v>
      </c>
      <c r="BJ67">
        <v>2</v>
      </c>
      <c r="BK67">
        <v>0.09</v>
      </c>
      <c r="BL67">
        <v>2</v>
      </c>
      <c r="BM67">
        <v>0.09</v>
      </c>
      <c r="BN67">
        <v>2</v>
      </c>
      <c r="BO67">
        <v>0.10299999999999999</v>
      </c>
      <c r="BP67">
        <v>2</v>
      </c>
      <c r="BQ67">
        <v>0.66800000000000004</v>
      </c>
      <c r="BR67">
        <v>2</v>
      </c>
      <c r="BS67">
        <v>3.359</v>
      </c>
      <c r="BT67">
        <v>2</v>
      </c>
      <c r="BU67">
        <v>-6.65</v>
      </c>
      <c r="BV67">
        <v>2</v>
      </c>
      <c r="BW67">
        <v>0.06</v>
      </c>
      <c r="BX67">
        <v>2</v>
      </c>
      <c r="BY67">
        <v>0.05</v>
      </c>
      <c r="BZ67">
        <v>2</v>
      </c>
    </row>
    <row r="68" spans="1:78">
      <c r="A68" t="s">
        <v>10</v>
      </c>
      <c r="B68">
        <v>38</v>
      </c>
      <c r="C68">
        <v>12</v>
      </c>
      <c r="D68" t="s">
        <v>18</v>
      </c>
      <c r="E68">
        <v>2000</v>
      </c>
      <c r="F68" t="s">
        <v>17</v>
      </c>
      <c r="G68">
        <v>140</v>
      </c>
      <c r="H68" s="52">
        <v>178067.37588652479</v>
      </c>
      <c r="I68" s="52">
        <v>30397.883473779289</v>
      </c>
      <c r="J68" s="2">
        <v>1.1092937157006779</v>
      </c>
      <c r="K68" s="2">
        <v>0.28216975786991183</v>
      </c>
      <c r="L68" s="2">
        <v>5.4437190414830415E-3</v>
      </c>
      <c r="M68" s="2">
        <f t="shared" si="1"/>
        <v>0.28761347691139488</v>
      </c>
      <c r="N68" s="1">
        <v>62.29629151201658</v>
      </c>
      <c r="O68" s="1">
        <v>15.846235531079387</v>
      </c>
      <c r="P68" s="1">
        <v>0.30571119579771344</v>
      </c>
      <c r="Q68" s="1">
        <v>78.44823823889368</v>
      </c>
      <c r="R68" t="s">
        <v>12</v>
      </c>
      <c r="S68" t="s">
        <v>13</v>
      </c>
      <c r="T68">
        <v>12</v>
      </c>
      <c r="U68">
        <v>2</v>
      </c>
      <c r="V68">
        <v>4</v>
      </c>
      <c r="W68">
        <v>4</v>
      </c>
      <c r="X68">
        <v>2</v>
      </c>
      <c r="Y68">
        <v>20020523</v>
      </c>
      <c r="Z68">
        <v>73.443299999999994</v>
      </c>
      <c r="AA68">
        <v>-157.55500000000001</v>
      </c>
      <c r="AB68">
        <v>2834</v>
      </c>
      <c r="AC68">
        <v>140.69999999999999</v>
      </c>
      <c r="AD68">
        <v>2</v>
      </c>
      <c r="AE68">
        <v>-1.5483</v>
      </c>
      <c r="AF68">
        <v>2</v>
      </c>
      <c r="AG68">
        <v>33.0291</v>
      </c>
      <c r="AH68">
        <v>2</v>
      </c>
      <c r="AI68">
        <v>33.039099999999998</v>
      </c>
      <c r="AJ68">
        <v>2</v>
      </c>
      <c r="AK68">
        <v>284</v>
      </c>
      <c r="AL68">
        <v>2</v>
      </c>
      <c r="AM68">
        <v>289.8</v>
      </c>
      <c r="AN68">
        <v>2</v>
      </c>
      <c r="AO68">
        <v>6.6619999999999999</v>
      </c>
      <c r="AP68">
        <v>2</v>
      </c>
      <c r="AQ68">
        <v>32.299999999999997</v>
      </c>
      <c r="AR68">
        <v>2</v>
      </c>
      <c r="AS68">
        <v>33.01</v>
      </c>
      <c r="AT68">
        <v>2</v>
      </c>
      <c r="AU68">
        <v>14.39</v>
      </c>
      <c r="AV68">
        <v>2</v>
      </c>
      <c r="AW68">
        <v>14.7</v>
      </c>
      <c r="AX68">
        <v>2</v>
      </c>
      <c r="AY68">
        <v>0</v>
      </c>
      <c r="AZ68">
        <v>2</v>
      </c>
      <c r="BA68">
        <v>0</v>
      </c>
      <c r="BB68">
        <v>2</v>
      </c>
      <c r="BC68">
        <v>1.75</v>
      </c>
      <c r="BD68">
        <v>2</v>
      </c>
      <c r="BE68">
        <v>1.79</v>
      </c>
      <c r="BF68">
        <v>2</v>
      </c>
      <c r="BG68">
        <v>0.01</v>
      </c>
      <c r="BH68">
        <v>2</v>
      </c>
      <c r="BI68">
        <v>0.01</v>
      </c>
      <c r="BJ68">
        <v>2</v>
      </c>
      <c r="BK68">
        <v>0.01</v>
      </c>
      <c r="BL68">
        <v>2</v>
      </c>
      <c r="BM68">
        <v>0.01</v>
      </c>
      <c r="BN68">
        <v>2</v>
      </c>
      <c r="BO68">
        <v>0.16900000000000001</v>
      </c>
      <c r="BP68">
        <v>2</v>
      </c>
      <c r="BQ68">
        <v>0.70099999999999996</v>
      </c>
      <c r="BR68">
        <v>2</v>
      </c>
      <c r="BS68">
        <v>0</v>
      </c>
      <c r="BT68">
        <v>2</v>
      </c>
      <c r="BU68">
        <v>-9.5299999999999994</v>
      </c>
      <c r="BV68">
        <v>2</v>
      </c>
      <c r="BW68">
        <v>0</v>
      </c>
      <c r="BX68">
        <v>2</v>
      </c>
      <c r="BY68">
        <v>0.02</v>
      </c>
      <c r="BZ68">
        <v>2</v>
      </c>
    </row>
    <row r="69" spans="1:78">
      <c r="A69" t="s">
        <v>52</v>
      </c>
      <c r="B69">
        <v>173</v>
      </c>
      <c r="C69">
        <v>50</v>
      </c>
      <c r="E69">
        <v>3320</v>
      </c>
      <c r="F69" t="s">
        <v>17</v>
      </c>
      <c r="G69">
        <v>150</v>
      </c>
      <c r="H69" s="52">
        <v>297728.50455777283</v>
      </c>
      <c r="I69" s="52"/>
      <c r="J69" s="2">
        <v>1.7020375580226412</v>
      </c>
      <c r="K69" s="2">
        <v>0.25877349899914803</v>
      </c>
      <c r="L69" s="2">
        <v>2.9778585151069129E-2</v>
      </c>
      <c r="M69" s="2">
        <f t="shared" si="1"/>
        <v>0.28855208415021716</v>
      </c>
      <c r="N69" s="1">
        <v>57.167437177395577</v>
      </c>
      <c r="O69" s="1">
        <v>8.6915930130208352</v>
      </c>
      <c r="P69" s="1">
        <v>1.0001926149227922</v>
      </c>
      <c r="Q69" s="1">
        <v>66.859222805339201</v>
      </c>
      <c r="R69" t="s">
        <v>53</v>
      </c>
      <c r="S69" t="s">
        <v>67</v>
      </c>
      <c r="T69">
        <v>50</v>
      </c>
      <c r="U69">
        <v>1</v>
      </c>
      <c r="V69">
        <v>101</v>
      </c>
      <c r="W69">
        <v>1</v>
      </c>
      <c r="X69">
        <v>2</v>
      </c>
      <c r="Y69">
        <v>20040816</v>
      </c>
      <c r="Z69">
        <v>73.388000000000005</v>
      </c>
      <c r="AA69">
        <v>-157.41200000000001</v>
      </c>
      <c r="AB69">
        <v>3157</v>
      </c>
      <c r="AC69">
        <v>151.6</v>
      </c>
      <c r="AD69">
        <v>2</v>
      </c>
      <c r="AE69">
        <v>-1.48</v>
      </c>
      <c r="AF69">
        <v>2</v>
      </c>
      <c r="AG69">
        <v>33.011000000000003</v>
      </c>
      <c r="AH69">
        <v>2</v>
      </c>
      <c r="AI69">
        <v>32.985199999999999</v>
      </c>
      <c r="AJ69">
        <v>2</v>
      </c>
      <c r="AK69">
        <v>291.2</v>
      </c>
      <c r="AL69">
        <v>2</v>
      </c>
      <c r="AM69">
        <v>318.10000000000002</v>
      </c>
      <c r="AN69">
        <v>2</v>
      </c>
      <c r="AO69">
        <v>7.3109999999999999</v>
      </c>
      <c r="AP69">
        <v>2</v>
      </c>
      <c r="AQ69">
        <v>27.56</v>
      </c>
      <c r="AR69">
        <v>2</v>
      </c>
      <c r="AS69">
        <v>28.18</v>
      </c>
      <c r="AT69">
        <v>2</v>
      </c>
      <c r="AU69">
        <v>11.12</v>
      </c>
      <c r="AV69">
        <v>2</v>
      </c>
      <c r="AW69">
        <v>11.37</v>
      </c>
      <c r="AX69">
        <v>2</v>
      </c>
      <c r="AY69">
        <v>0.1</v>
      </c>
      <c r="AZ69">
        <v>2</v>
      </c>
      <c r="BA69">
        <v>0.1</v>
      </c>
      <c r="BB69">
        <v>2</v>
      </c>
      <c r="BC69">
        <v>1.62</v>
      </c>
      <c r="BD69">
        <v>2</v>
      </c>
      <c r="BE69">
        <v>1.66</v>
      </c>
      <c r="BF69">
        <v>2</v>
      </c>
      <c r="BG69">
        <v>0.33</v>
      </c>
      <c r="BH69">
        <v>2</v>
      </c>
      <c r="BI69">
        <v>0.34</v>
      </c>
      <c r="BJ69">
        <v>2</v>
      </c>
      <c r="BK69">
        <v>0.09</v>
      </c>
      <c r="BL69">
        <v>2</v>
      </c>
      <c r="BM69">
        <v>0.09</v>
      </c>
      <c r="BN69">
        <v>2</v>
      </c>
      <c r="BO69">
        <v>-999</v>
      </c>
      <c r="BP69">
        <v>9</v>
      </c>
      <c r="BS69">
        <v>0.153</v>
      </c>
      <c r="BT69">
        <v>2</v>
      </c>
      <c r="BU69">
        <v>-10.24</v>
      </c>
      <c r="BV69">
        <v>2</v>
      </c>
      <c r="BW69">
        <v>0.04</v>
      </c>
      <c r="BX69">
        <v>2</v>
      </c>
      <c r="BY69">
        <v>0.08</v>
      </c>
      <c r="BZ69">
        <v>2</v>
      </c>
    </row>
    <row r="70" spans="1:78">
      <c r="A70" t="s">
        <v>27</v>
      </c>
      <c r="B70">
        <v>75</v>
      </c>
      <c r="C70">
        <v>30</v>
      </c>
      <c r="E70">
        <v>1882</v>
      </c>
      <c r="F70" t="s">
        <v>20</v>
      </c>
      <c r="G70">
        <v>54.2</v>
      </c>
      <c r="H70" s="52">
        <v>415735.8156028369</v>
      </c>
      <c r="I70" s="52">
        <v>94973.593504922188</v>
      </c>
      <c r="J70" s="2">
        <v>3.5621866485632063</v>
      </c>
      <c r="K70" s="2">
        <v>0.2960595716838868</v>
      </c>
      <c r="L70" s="2">
        <v>6.2375398466532773E-3</v>
      </c>
      <c r="M70" s="2">
        <f t="shared" si="1"/>
        <v>0.30229711153054006</v>
      </c>
      <c r="N70" s="1">
        <v>85.683901046578441</v>
      </c>
      <c r="O70" s="1">
        <v>7.1213390949871904</v>
      </c>
      <c r="P70" s="1">
        <v>0.15003614344865968</v>
      </c>
      <c r="Q70" s="1">
        <v>92.955276285014293</v>
      </c>
      <c r="R70" t="s">
        <v>29</v>
      </c>
      <c r="S70" t="s">
        <v>30</v>
      </c>
      <c r="T70">
        <v>30</v>
      </c>
      <c r="U70">
        <v>3</v>
      </c>
      <c r="V70">
        <v>5</v>
      </c>
      <c r="W70">
        <v>5</v>
      </c>
      <c r="X70">
        <v>2</v>
      </c>
      <c r="Y70">
        <v>20020810</v>
      </c>
      <c r="Z70">
        <v>73.059799999999996</v>
      </c>
      <c r="AA70">
        <v>-158.00460000000001</v>
      </c>
      <c r="AB70">
        <v>1882</v>
      </c>
      <c r="AC70">
        <v>55.2</v>
      </c>
      <c r="AD70">
        <v>2</v>
      </c>
      <c r="AE70">
        <v>-1.5049999999999999</v>
      </c>
      <c r="AF70">
        <v>2</v>
      </c>
      <c r="AG70">
        <v>31.912400000000002</v>
      </c>
      <c r="AH70">
        <v>2</v>
      </c>
      <c r="AI70">
        <v>-999</v>
      </c>
      <c r="AJ70">
        <v>9</v>
      </c>
      <c r="AK70">
        <v>346.2</v>
      </c>
      <c r="AL70">
        <v>2</v>
      </c>
      <c r="AM70">
        <v>354.9</v>
      </c>
      <c r="AN70">
        <v>2</v>
      </c>
      <c r="AO70">
        <v>8.15</v>
      </c>
      <c r="AP70">
        <v>2</v>
      </c>
      <c r="AQ70">
        <v>21.44</v>
      </c>
      <c r="AR70">
        <v>2</v>
      </c>
      <c r="AS70">
        <v>21.89</v>
      </c>
      <c r="AT70">
        <v>2</v>
      </c>
      <c r="AU70">
        <v>5.85</v>
      </c>
      <c r="AV70">
        <v>2</v>
      </c>
      <c r="AW70">
        <v>5.97</v>
      </c>
      <c r="AX70">
        <v>2</v>
      </c>
      <c r="AY70">
        <v>0.13</v>
      </c>
      <c r="AZ70">
        <v>2</v>
      </c>
      <c r="BA70">
        <v>0.13</v>
      </c>
      <c r="BB70">
        <v>2</v>
      </c>
      <c r="BC70">
        <v>1.31</v>
      </c>
      <c r="BD70">
        <v>2</v>
      </c>
      <c r="BE70">
        <v>1.34</v>
      </c>
      <c r="BF70">
        <v>2</v>
      </c>
      <c r="BG70">
        <v>1.42</v>
      </c>
      <c r="BH70">
        <v>2</v>
      </c>
      <c r="BI70">
        <v>1.45</v>
      </c>
      <c r="BJ70">
        <v>2</v>
      </c>
      <c r="BK70">
        <v>0.01</v>
      </c>
      <c r="BL70">
        <v>2</v>
      </c>
      <c r="BM70">
        <v>0.01</v>
      </c>
      <c r="BN70">
        <v>2</v>
      </c>
      <c r="BO70">
        <v>0.13200000000000001</v>
      </c>
      <c r="BP70">
        <v>2</v>
      </c>
      <c r="BQ70">
        <v>1.0489999999999999</v>
      </c>
      <c r="BR70">
        <v>2</v>
      </c>
      <c r="BS70">
        <v>0.751</v>
      </c>
      <c r="BT70">
        <v>2</v>
      </c>
      <c r="BU70">
        <v>-9.49</v>
      </c>
      <c r="BV70">
        <v>2</v>
      </c>
      <c r="BW70">
        <v>0.2</v>
      </c>
      <c r="BX70">
        <v>2</v>
      </c>
      <c r="BY70">
        <v>0.2</v>
      </c>
      <c r="BZ70">
        <v>2</v>
      </c>
    </row>
    <row r="71" spans="1:78">
      <c r="A71" t="s">
        <v>41</v>
      </c>
      <c r="B71">
        <v>68</v>
      </c>
      <c r="C71">
        <v>20</v>
      </c>
      <c r="E71">
        <v>2386</v>
      </c>
      <c r="F71" t="s">
        <v>17</v>
      </c>
      <c r="G71">
        <v>200</v>
      </c>
      <c r="H71" s="52">
        <v>190568.33779671916</v>
      </c>
      <c r="I71" s="52">
        <v>23275.239589692526</v>
      </c>
      <c r="J71" s="2">
        <v>0.69924460046608505</v>
      </c>
      <c r="K71" s="2">
        <v>8.0942827624367858E-2</v>
      </c>
      <c r="L71" s="2">
        <v>0.24953182573514904</v>
      </c>
      <c r="M71" s="2">
        <f t="shared" si="1"/>
        <v>0.33047465335951687</v>
      </c>
      <c r="N71" s="1">
        <v>36.69259062394589</v>
      </c>
      <c r="O71" s="1">
        <v>4.2474436498842874</v>
      </c>
      <c r="P71" s="1">
        <v>13.094086280026577</v>
      </c>
      <c r="Q71" s="1">
        <v>54.034120553856752</v>
      </c>
      <c r="R71" t="s">
        <v>42</v>
      </c>
      <c r="S71" t="s">
        <v>46</v>
      </c>
      <c r="T71">
        <v>20</v>
      </c>
      <c r="U71">
        <v>4</v>
      </c>
      <c r="V71">
        <v>1</v>
      </c>
      <c r="W71">
        <v>1</v>
      </c>
      <c r="X71">
        <v>2</v>
      </c>
      <c r="Y71">
        <v>20040605</v>
      </c>
      <c r="Z71">
        <v>73.150999999999996</v>
      </c>
      <c r="AA71">
        <v>-157.804</v>
      </c>
      <c r="AB71">
        <v>2497</v>
      </c>
      <c r="AC71">
        <v>204.8</v>
      </c>
      <c r="AD71">
        <v>2</v>
      </c>
      <c r="AE71">
        <v>-0.82499999999999996</v>
      </c>
      <c r="AF71">
        <v>2</v>
      </c>
      <c r="AG71">
        <v>34.322699999999998</v>
      </c>
      <c r="AH71">
        <v>2</v>
      </c>
      <c r="AI71">
        <v>34.318399999999997</v>
      </c>
      <c r="AJ71">
        <v>2</v>
      </c>
      <c r="AK71">
        <v>330.7</v>
      </c>
      <c r="AL71">
        <v>2</v>
      </c>
      <c r="AM71">
        <v>310.7</v>
      </c>
      <c r="AN71">
        <v>2</v>
      </c>
      <c r="AO71">
        <v>7.149</v>
      </c>
      <c r="AP71">
        <v>2</v>
      </c>
      <c r="AQ71">
        <v>15.05</v>
      </c>
      <c r="AR71">
        <v>2</v>
      </c>
      <c r="AS71">
        <v>15.41</v>
      </c>
      <c r="AT71">
        <v>2</v>
      </c>
      <c r="AU71">
        <v>12.77</v>
      </c>
      <c r="AV71">
        <v>2</v>
      </c>
      <c r="AW71">
        <v>13.07</v>
      </c>
      <c r="AX71">
        <v>2</v>
      </c>
      <c r="AY71">
        <v>0.01</v>
      </c>
      <c r="AZ71">
        <v>2</v>
      </c>
      <c r="BA71">
        <v>0.01</v>
      </c>
      <c r="BB71">
        <v>2</v>
      </c>
      <c r="BC71">
        <v>1.1200000000000001</v>
      </c>
      <c r="BD71">
        <v>2</v>
      </c>
      <c r="BE71">
        <v>1.1499999999999999</v>
      </c>
      <c r="BF71">
        <v>2</v>
      </c>
      <c r="BG71">
        <v>0.1</v>
      </c>
      <c r="BH71">
        <v>2</v>
      </c>
      <c r="BI71">
        <v>0.1</v>
      </c>
      <c r="BJ71">
        <v>2</v>
      </c>
      <c r="BK71">
        <v>0.15</v>
      </c>
      <c r="BL71">
        <v>2</v>
      </c>
      <c r="BM71">
        <v>0.15</v>
      </c>
      <c r="BN71">
        <v>2</v>
      </c>
      <c r="BO71">
        <v>0.13100000000000001</v>
      </c>
      <c r="BP71">
        <v>2</v>
      </c>
      <c r="BQ71">
        <v>0.68300000000000005</v>
      </c>
      <c r="BR71">
        <v>2</v>
      </c>
      <c r="BS71">
        <v>0.152</v>
      </c>
      <c r="BT71">
        <v>2</v>
      </c>
      <c r="BU71">
        <v>-1.95</v>
      </c>
      <c r="BV71">
        <v>2</v>
      </c>
      <c r="BW71">
        <v>0</v>
      </c>
      <c r="BX71">
        <v>2</v>
      </c>
      <c r="BY71">
        <v>0.02</v>
      </c>
      <c r="BZ71">
        <v>2</v>
      </c>
    </row>
    <row r="72" spans="1:78">
      <c r="A72" t="s">
        <v>27</v>
      </c>
      <c r="B72">
        <v>57</v>
      </c>
      <c r="C72">
        <v>24</v>
      </c>
      <c r="D72" t="s">
        <v>36</v>
      </c>
      <c r="E72">
        <v>52</v>
      </c>
      <c r="F72" t="s">
        <v>11</v>
      </c>
      <c r="G72">
        <v>0</v>
      </c>
      <c r="H72" s="52">
        <v>1103723.4042553201</v>
      </c>
      <c r="I72" s="52">
        <v>207076.86599220458</v>
      </c>
      <c r="J72" s="2">
        <v>9.2251079636532225</v>
      </c>
      <c r="K72" s="2">
        <v>0.25302987531177451</v>
      </c>
      <c r="L72" s="2">
        <v>8.8943599683038388E-2</v>
      </c>
      <c r="M72" s="2">
        <f t="shared" si="1"/>
        <v>0.3419734749948129</v>
      </c>
      <c r="N72" s="1">
        <v>89.052508746717351</v>
      </c>
      <c r="O72" s="1">
        <v>2.292511641378967</v>
      </c>
      <c r="P72" s="1">
        <v>0.80585044532102168</v>
      </c>
      <c r="Q72" s="1">
        <v>92.150870833417343</v>
      </c>
      <c r="R72" t="s">
        <v>29</v>
      </c>
      <c r="S72" t="s">
        <v>30</v>
      </c>
      <c r="T72">
        <v>24</v>
      </c>
      <c r="U72">
        <v>1</v>
      </c>
      <c r="V72">
        <v>11</v>
      </c>
      <c r="W72">
        <v>11</v>
      </c>
      <c r="X72">
        <v>2</v>
      </c>
      <c r="Y72">
        <v>20020804</v>
      </c>
      <c r="Z72">
        <v>71.297300000000007</v>
      </c>
      <c r="AA72">
        <v>-152.631</v>
      </c>
      <c r="AB72">
        <v>51</v>
      </c>
      <c r="AC72">
        <v>2</v>
      </c>
      <c r="AD72">
        <v>2</v>
      </c>
      <c r="AE72">
        <v>-0.60940000000000005</v>
      </c>
      <c r="AF72">
        <v>2</v>
      </c>
      <c r="AG72">
        <v>23.805700000000002</v>
      </c>
      <c r="AH72">
        <v>2</v>
      </c>
      <c r="AI72">
        <v>22.459</v>
      </c>
      <c r="AJ72">
        <v>2</v>
      </c>
      <c r="AK72">
        <v>362.3</v>
      </c>
      <c r="AL72">
        <v>2</v>
      </c>
      <c r="AM72">
        <v>369.8</v>
      </c>
      <c r="AN72">
        <v>2</v>
      </c>
      <c r="AO72">
        <v>8.4290000000000003</v>
      </c>
      <c r="AP72">
        <v>2</v>
      </c>
      <c r="AQ72">
        <v>7.39</v>
      </c>
      <c r="AR72">
        <v>2</v>
      </c>
      <c r="AS72">
        <v>7.49</v>
      </c>
      <c r="AT72">
        <v>2</v>
      </c>
      <c r="AU72">
        <v>-0.02</v>
      </c>
      <c r="AV72">
        <v>2</v>
      </c>
      <c r="AW72">
        <v>-0.02</v>
      </c>
      <c r="AX72">
        <v>2</v>
      </c>
      <c r="AY72">
        <v>0.02</v>
      </c>
      <c r="AZ72">
        <v>2</v>
      </c>
      <c r="BA72">
        <v>0.02</v>
      </c>
      <c r="BB72">
        <v>2</v>
      </c>
      <c r="BC72">
        <v>0.43</v>
      </c>
      <c r="BD72">
        <v>2</v>
      </c>
      <c r="BE72">
        <v>0.44</v>
      </c>
      <c r="BF72">
        <v>2</v>
      </c>
      <c r="BG72">
        <v>0.03</v>
      </c>
      <c r="BH72">
        <v>2</v>
      </c>
      <c r="BI72">
        <v>0.03</v>
      </c>
      <c r="BJ72">
        <v>2</v>
      </c>
      <c r="BK72">
        <v>0.04</v>
      </c>
      <c r="BL72">
        <v>2</v>
      </c>
      <c r="BM72">
        <v>0.04</v>
      </c>
      <c r="BN72">
        <v>2</v>
      </c>
      <c r="BO72">
        <v>0.105</v>
      </c>
      <c r="BP72">
        <v>2</v>
      </c>
      <c r="BQ72">
        <v>1.276</v>
      </c>
      <c r="BR72">
        <v>2</v>
      </c>
      <c r="BS72">
        <v>2.8690000000000002</v>
      </c>
      <c r="BT72">
        <v>2</v>
      </c>
      <c r="BU72">
        <v>-3.51</v>
      </c>
      <c r="BV72">
        <v>2</v>
      </c>
      <c r="BW72">
        <v>0.75</v>
      </c>
      <c r="BX72">
        <v>2</v>
      </c>
      <c r="BY72">
        <v>0.31</v>
      </c>
      <c r="BZ72">
        <v>2</v>
      </c>
    </row>
    <row r="73" spans="1:78">
      <c r="A73" t="s">
        <v>27</v>
      </c>
      <c r="B73">
        <v>73</v>
      </c>
      <c r="C73">
        <v>30</v>
      </c>
      <c r="E73">
        <v>1882</v>
      </c>
      <c r="F73" t="s">
        <v>20</v>
      </c>
      <c r="G73">
        <v>0</v>
      </c>
      <c r="H73" s="52">
        <v>412056.73758865247</v>
      </c>
      <c r="I73" s="52">
        <v>122935.34503235262</v>
      </c>
      <c r="J73" s="2">
        <v>3.2168386482667017</v>
      </c>
      <c r="K73" s="2">
        <v>0.33557642742118482</v>
      </c>
      <c r="L73" s="2">
        <v>9.6372891145497519E-3</v>
      </c>
      <c r="M73" s="2">
        <f t="shared" si="1"/>
        <v>0.34521371653573457</v>
      </c>
      <c r="N73" s="1">
        <v>78.06785704055163</v>
      </c>
      <c r="O73" s="1">
        <v>8.1439373952473417</v>
      </c>
      <c r="P73" s="1">
        <v>0.23388257575757573</v>
      </c>
      <c r="Q73" s="1">
        <v>86.44567701155654</v>
      </c>
      <c r="R73" t="s">
        <v>29</v>
      </c>
      <c r="S73" t="s">
        <v>30</v>
      </c>
      <c r="T73">
        <v>30</v>
      </c>
      <c r="U73">
        <v>6</v>
      </c>
      <c r="V73">
        <v>12</v>
      </c>
      <c r="W73">
        <v>12</v>
      </c>
      <c r="X73">
        <v>2</v>
      </c>
      <c r="Y73">
        <v>20020811</v>
      </c>
      <c r="Z73">
        <v>73.070899999999995</v>
      </c>
      <c r="AA73">
        <v>-157.98410000000001</v>
      </c>
      <c r="AB73">
        <v>1955</v>
      </c>
      <c r="AC73">
        <v>2</v>
      </c>
      <c r="AD73">
        <v>2</v>
      </c>
      <c r="AE73">
        <v>-0.61890000000000001</v>
      </c>
      <c r="AF73">
        <v>2</v>
      </c>
      <c r="AG73">
        <v>28.0166</v>
      </c>
      <c r="AH73">
        <v>2</v>
      </c>
      <c r="AI73">
        <v>27.289300000000001</v>
      </c>
      <c r="AJ73">
        <v>2</v>
      </c>
      <c r="AK73">
        <v>367.9</v>
      </c>
      <c r="AL73">
        <v>2</v>
      </c>
      <c r="AM73">
        <v>379</v>
      </c>
      <c r="AN73">
        <v>2</v>
      </c>
      <c r="AO73">
        <v>8.673</v>
      </c>
      <c r="AP73">
        <v>2</v>
      </c>
      <c r="AQ73">
        <v>2.81</v>
      </c>
      <c r="AR73">
        <v>2</v>
      </c>
      <c r="AS73">
        <v>2.86</v>
      </c>
      <c r="AT73">
        <v>2</v>
      </c>
      <c r="AU73">
        <v>0</v>
      </c>
      <c r="AV73">
        <v>2</v>
      </c>
      <c r="AW73">
        <v>0</v>
      </c>
      <c r="AX73">
        <v>2</v>
      </c>
      <c r="AY73">
        <v>0</v>
      </c>
      <c r="AZ73">
        <v>2</v>
      </c>
      <c r="BA73">
        <v>0</v>
      </c>
      <c r="BB73">
        <v>2</v>
      </c>
      <c r="BC73">
        <v>0.66</v>
      </c>
      <c r="BD73">
        <v>2</v>
      </c>
      <c r="BE73">
        <v>0.67</v>
      </c>
      <c r="BF73">
        <v>2</v>
      </c>
      <c r="BG73">
        <v>0</v>
      </c>
      <c r="BH73">
        <v>2</v>
      </c>
      <c r="BI73">
        <v>0</v>
      </c>
      <c r="BJ73">
        <v>2</v>
      </c>
      <c r="BK73">
        <v>0</v>
      </c>
      <c r="BL73">
        <v>2</v>
      </c>
      <c r="BM73">
        <v>0</v>
      </c>
      <c r="BN73">
        <v>2</v>
      </c>
      <c r="BO73">
        <v>8.8999999999999996E-2</v>
      </c>
      <c r="BP73">
        <v>2</v>
      </c>
      <c r="BQ73">
        <v>0.63800000000000001</v>
      </c>
      <c r="BR73">
        <v>2</v>
      </c>
      <c r="BS73">
        <v>0</v>
      </c>
      <c r="BT73">
        <v>2</v>
      </c>
      <c r="BU73">
        <v>-6.73</v>
      </c>
      <c r="BV73">
        <v>2</v>
      </c>
      <c r="BW73">
        <v>0.05</v>
      </c>
      <c r="BX73">
        <v>2</v>
      </c>
      <c r="BY73">
        <v>0.03</v>
      </c>
      <c r="BZ73">
        <v>2</v>
      </c>
    </row>
    <row r="74" spans="1:78">
      <c r="A74" t="s">
        <v>27</v>
      </c>
      <c r="B74">
        <v>49</v>
      </c>
      <c r="C74">
        <v>18</v>
      </c>
      <c r="D74" t="s">
        <v>35</v>
      </c>
      <c r="E74">
        <v>2927</v>
      </c>
      <c r="F74" t="s">
        <v>17</v>
      </c>
      <c r="G74">
        <v>100</v>
      </c>
      <c r="H74" s="52">
        <v>300212.76595744683</v>
      </c>
      <c r="I74" s="52">
        <v>58021.184534543558</v>
      </c>
      <c r="J74" s="2">
        <v>2.0503121837834839</v>
      </c>
      <c r="K74" s="2">
        <v>0.33444585400407173</v>
      </c>
      <c r="L74" s="2">
        <v>1.833601552681028E-2</v>
      </c>
      <c r="M74" s="2">
        <f t="shared" si="1"/>
        <v>0.35278186953088203</v>
      </c>
      <c r="N74" s="1">
        <v>68.295303074290388</v>
      </c>
      <c r="O74" s="1">
        <v>11.140294215585662</v>
      </c>
      <c r="P74" s="1">
        <v>0.61076734922755715</v>
      </c>
      <c r="Q74" s="1">
        <v>80.046364639103615</v>
      </c>
      <c r="R74" t="s">
        <v>29</v>
      </c>
      <c r="S74" t="s">
        <v>30</v>
      </c>
      <c r="T74">
        <v>18</v>
      </c>
      <c r="U74">
        <v>2</v>
      </c>
      <c r="V74">
        <v>7</v>
      </c>
      <c r="W74">
        <v>7</v>
      </c>
      <c r="X74">
        <v>2</v>
      </c>
      <c r="Y74">
        <v>20020729</v>
      </c>
      <c r="Z74">
        <v>72.307000000000002</v>
      </c>
      <c r="AA74">
        <v>-151.94239999999999</v>
      </c>
      <c r="AB74">
        <v>3234</v>
      </c>
      <c r="AC74">
        <v>81.2</v>
      </c>
      <c r="AD74">
        <v>2</v>
      </c>
      <c r="AE74">
        <v>-1.53</v>
      </c>
      <c r="AF74">
        <v>2</v>
      </c>
      <c r="AG74">
        <v>32.4193</v>
      </c>
      <c r="AH74">
        <v>2</v>
      </c>
      <c r="AI74">
        <v>32.411999999999999</v>
      </c>
      <c r="AJ74">
        <v>2</v>
      </c>
      <c r="AK74">
        <v>317.7</v>
      </c>
      <c r="AL74">
        <v>2</v>
      </c>
      <c r="AM74">
        <v>324.7</v>
      </c>
      <c r="AN74">
        <v>2</v>
      </c>
      <c r="AO74">
        <v>7.4610000000000003</v>
      </c>
      <c r="AP74">
        <v>2</v>
      </c>
      <c r="AQ74">
        <v>26.47</v>
      </c>
      <c r="AR74">
        <v>2</v>
      </c>
      <c r="AS74">
        <v>27.04</v>
      </c>
      <c r="AT74">
        <v>2</v>
      </c>
      <c r="AU74">
        <v>9.6300000000000008</v>
      </c>
      <c r="AV74">
        <v>2</v>
      </c>
      <c r="AW74">
        <v>9.84</v>
      </c>
      <c r="AX74">
        <v>2</v>
      </c>
      <c r="AY74">
        <v>0.11</v>
      </c>
      <c r="AZ74">
        <v>2</v>
      </c>
      <c r="BA74">
        <v>0.11</v>
      </c>
      <c r="BB74">
        <v>2</v>
      </c>
      <c r="BC74">
        <v>1.51</v>
      </c>
      <c r="BD74">
        <v>2</v>
      </c>
      <c r="BE74">
        <v>1.54</v>
      </c>
      <c r="BF74">
        <v>2</v>
      </c>
      <c r="BG74">
        <v>0.81</v>
      </c>
      <c r="BH74">
        <v>2</v>
      </c>
      <c r="BI74">
        <v>0.83</v>
      </c>
      <c r="BJ74">
        <v>2</v>
      </c>
      <c r="BK74">
        <v>0</v>
      </c>
      <c r="BL74">
        <v>2</v>
      </c>
      <c r="BM74">
        <v>0</v>
      </c>
      <c r="BN74">
        <v>2</v>
      </c>
      <c r="BO74">
        <v>0.14499999999999999</v>
      </c>
      <c r="BP74">
        <v>2</v>
      </c>
      <c r="BQ74">
        <v>0.82599999999999996</v>
      </c>
      <c r="BR74">
        <v>2</v>
      </c>
      <c r="BS74">
        <v>0</v>
      </c>
      <c r="BT74">
        <v>2</v>
      </c>
      <c r="BU74">
        <v>-9.4700000000000006</v>
      </c>
      <c r="BV74">
        <v>2</v>
      </c>
      <c r="BW74">
        <v>0.05</v>
      </c>
      <c r="BX74">
        <v>2</v>
      </c>
      <c r="BY74">
        <v>0.16</v>
      </c>
      <c r="BZ74">
        <v>2</v>
      </c>
    </row>
    <row r="75" spans="1:78">
      <c r="A75" t="s">
        <v>10</v>
      </c>
      <c r="B75">
        <v>36</v>
      </c>
      <c r="C75">
        <v>12</v>
      </c>
      <c r="D75" t="s">
        <v>18</v>
      </c>
      <c r="E75">
        <v>2000</v>
      </c>
      <c r="F75" t="s">
        <v>17</v>
      </c>
      <c r="G75">
        <v>0</v>
      </c>
      <c r="H75" s="52">
        <v>319343.9716312057</v>
      </c>
      <c r="I75" s="52">
        <v>43902.979180306225</v>
      </c>
      <c r="J75" s="2">
        <v>2.6033507157578684</v>
      </c>
      <c r="K75" s="2">
        <v>0.23692106077808184</v>
      </c>
      <c r="L75" s="2">
        <v>0.12175012502273141</v>
      </c>
      <c r="M75" s="2">
        <f t="shared" si="1"/>
        <v>0.35867118580081325</v>
      </c>
      <c r="N75" s="1">
        <v>81.521836860109815</v>
      </c>
      <c r="O75" s="1">
        <v>7.4189927421485846</v>
      </c>
      <c r="P75" s="1">
        <v>3.8125073850880304</v>
      </c>
      <c r="Q75" s="1">
        <v>92.75333698734643</v>
      </c>
      <c r="R75" t="s">
        <v>12</v>
      </c>
      <c r="S75" t="s">
        <v>13</v>
      </c>
      <c r="T75">
        <v>12</v>
      </c>
      <c r="U75">
        <v>2</v>
      </c>
      <c r="V75">
        <v>12</v>
      </c>
      <c r="W75">
        <v>12</v>
      </c>
      <c r="X75">
        <v>2</v>
      </c>
      <c r="Y75">
        <v>20020523</v>
      </c>
      <c r="Z75">
        <v>73.443299999999994</v>
      </c>
      <c r="AA75">
        <v>-157.55500000000001</v>
      </c>
      <c r="AB75">
        <v>2834</v>
      </c>
      <c r="AC75">
        <v>2.1</v>
      </c>
      <c r="AD75">
        <v>2</v>
      </c>
      <c r="AE75">
        <v>-1.4777</v>
      </c>
      <c r="AF75">
        <v>2</v>
      </c>
      <c r="AG75">
        <v>29.787700000000001</v>
      </c>
      <c r="AH75">
        <v>2</v>
      </c>
      <c r="AI75">
        <v>29.792200000000001</v>
      </c>
      <c r="AJ75">
        <v>2</v>
      </c>
      <c r="AK75">
        <v>393.4</v>
      </c>
      <c r="AL75">
        <v>2</v>
      </c>
      <c r="AM75">
        <v>402.1</v>
      </c>
      <c r="AN75">
        <v>2</v>
      </c>
      <c r="AO75">
        <v>9.218</v>
      </c>
      <c r="AP75">
        <v>2</v>
      </c>
      <c r="AQ75">
        <v>3.66</v>
      </c>
      <c r="AR75">
        <v>2</v>
      </c>
      <c r="AS75">
        <v>3.73</v>
      </c>
      <c r="AT75">
        <v>2</v>
      </c>
      <c r="AU75">
        <v>0.2</v>
      </c>
      <c r="AV75">
        <v>2</v>
      </c>
      <c r="AW75">
        <v>0.2</v>
      </c>
      <c r="AX75">
        <v>2</v>
      </c>
      <c r="AY75">
        <v>0.02</v>
      </c>
      <c r="AZ75">
        <v>2</v>
      </c>
      <c r="BA75">
        <v>0.02</v>
      </c>
      <c r="BB75">
        <v>2</v>
      </c>
      <c r="BC75">
        <v>0.74</v>
      </c>
      <c r="BD75">
        <v>2</v>
      </c>
      <c r="BE75">
        <v>0.75</v>
      </c>
      <c r="BF75">
        <v>2</v>
      </c>
      <c r="BG75">
        <v>0.01</v>
      </c>
      <c r="BH75">
        <v>2</v>
      </c>
      <c r="BI75">
        <v>0.01</v>
      </c>
      <c r="BJ75">
        <v>2</v>
      </c>
      <c r="BK75">
        <v>0</v>
      </c>
      <c r="BL75">
        <v>2</v>
      </c>
      <c r="BM75">
        <v>0</v>
      </c>
      <c r="BN75">
        <v>2</v>
      </c>
      <c r="BO75">
        <v>0.11600000000000001</v>
      </c>
      <c r="BP75">
        <v>2</v>
      </c>
      <c r="BQ75">
        <v>1.042</v>
      </c>
      <c r="BR75">
        <v>2</v>
      </c>
      <c r="BS75">
        <v>0</v>
      </c>
      <c r="BT75">
        <v>2</v>
      </c>
      <c r="BU75">
        <v>-7.65</v>
      </c>
      <c r="BV75">
        <v>2</v>
      </c>
      <c r="BW75">
        <v>0.26</v>
      </c>
      <c r="BX75">
        <v>2</v>
      </c>
      <c r="BY75">
        <v>0.23</v>
      </c>
      <c r="BZ75">
        <v>2</v>
      </c>
    </row>
    <row r="76" spans="1:78">
      <c r="A76" t="s">
        <v>10</v>
      </c>
      <c r="B76">
        <v>86</v>
      </c>
      <c r="C76">
        <v>31</v>
      </c>
      <c r="D76" t="s">
        <v>22</v>
      </c>
      <c r="E76">
        <v>200</v>
      </c>
      <c r="F76" t="s">
        <v>15</v>
      </c>
      <c r="G76">
        <v>0</v>
      </c>
      <c r="H76" s="52">
        <v>476808.51063829788</v>
      </c>
      <c r="I76" s="52">
        <v>136860.8230141995</v>
      </c>
      <c r="J76" s="2">
        <v>3.9780449206852477</v>
      </c>
      <c r="K76" s="2">
        <v>0.35747909072384698</v>
      </c>
      <c r="L76" s="2">
        <v>3.136898096304591E-3</v>
      </c>
      <c r="M76" s="2">
        <f t="shared" si="1"/>
        <v>0.36061598882015156</v>
      </c>
      <c r="N76" s="1">
        <v>83.430660987151555</v>
      </c>
      <c r="O76" s="1">
        <v>7.4973303275416372</v>
      </c>
      <c r="P76" s="1">
        <v>6.5789473684210523E-2</v>
      </c>
      <c r="Q76" s="1">
        <v>90.993780788377393</v>
      </c>
      <c r="R76" t="s">
        <v>12</v>
      </c>
      <c r="S76" t="s">
        <v>13</v>
      </c>
      <c r="T76">
        <v>31</v>
      </c>
      <c r="U76">
        <v>5</v>
      </c>
      <c r="V76">
        <v>11</v>
      </c>
      <c r="W76">
        <v>11</v>
      </c>
      <c r="X76">
        <v>2</v>
      </c>
      <c r="Y76">
        <v>20020605</v>
      </c>
      <c r="Z76">
        <v>71.948999999999998</v>
      </c>
      <c r="AA76">
        <v>-154.9333</v>
      </c>
      <c r="AB76">
        <v>342</v>
      </c>
      <c r="AC76">
        <v>1.9</v>
      </c>
      <c r="AD76">
        <v>2</v>
      </c>
      <c r="AE76">
        <v>-1.6112</v>
      </c>
      <c r="AF76">
        <v>2</v>
      </c>
      <c r="AG76">
        <v>31.111000000000001</v>
      </c>
      <c r="AH76">
        <v>2</v>
      </c>
      <c r="AI76">
        <v>-999</v>
      </c>
      <c r="AJ76">
        <v>9</v>
      </c>
      <c r="AK76">
        <v>369</v>
      </c>
      <c r="AL76">
        <v>2</v>
      </c>
      <c r="AM76">
        <v>377.8</v>
      </c>
      <c r="AN76">
        <v>2</v>
      </c>
      <c r="AO76">
        <v>8.67</v>
      </c>
      <c r="AP76">
        <v>2</v>
      </c>
      <c r="AQ76">
        <v>10.56</v>
      </c>
      <c r="AR76">
        <v>2</v>
      </c>
      <c r="AS76">
        <v>10.78</v>
      </c>
      <c r="AT76">
        <v>2</v>
      </c>
      <c r="AU76">
        <v>2.96</v>
      </c>
      <c r="AV76">
        <v>2</v>
      </c>
      <c r="AW76">
        <v>3.02</v>
      </c>
      <c r="AX76">
        <v>2</v>
      </c>
      <c r="AY76">
        <v>0.08</v>
      </c>
      <c r="AZ76">
        <v>2</v>
      </c>
      <c r="BA76">
        <v>0.08</v>
      </c>
      <c r="BB76">
        <v>2</v>
      </c>
      <c r="BC76">
        <v>1</v>
      </c>
      <c r="BD76">
        <v>2</v>
      </c>
      <c r="BE76">
        <v>1.02</v>
      </c>
      <c r="BF76">
        <v>2</v>
      </c>
      <c r="BG76">
        <v>0.22</v>
      </c>
      <c r="BH76">
        <v>2</v>
      </c>
      <c r="BI76">
        <v>0.22</v>
      </c>
      <c r="BJ76">
        <v>2</v>
      </c>
      <c r="BK76">
        <v>0</v>
      </c>
      <c r="BL76">
        <v>2</v>
      </c>
      <c r="BM76">
        <v>0</v>
      </c>
      <c r="BN76">
        <v>2</v>
      </c>
      <c r="BO76">
        <v>0.13800000000000001</v>
      </c>
      <c r="BP76">
        <v>2</v>
      </c>
      <c r="BQ76">
        <v>0.98399999999999999</v>
      </c>
      <c r="BR76">
        <v>2</v>
      </c>
      <c r="BS76">
        <v>3.347</v>
      </c>
      <c r="BT76">
        <v>2</v>
      </c>
      <c r="BU76">
        <v>-8.7200000000000006</v>
      </c>
      <c r="BV76">
        <v>2</v>
      </c>
      <c r="BW76">
        <v>0.24</v>
      </c>
      <c r="BX76">
        <v>2</v>
      </c>
      <c r="BY76">
        <v>0.24</v>
      </c>
      <c r="BZ76">
        <v>2</v>
      </c>
    </row>
    <row r="77" spans="1:78">
      <c r="A77" t="s">
        <v>41</v>
      </c>
      <c r="B77">
        <v>2</v>
      </c>
      <c r="C77">
        <v>6</v>
      </c>
      <c r="E77">
        <v>51</v>
      </c>
      <c r="F77" t="s">
        <v>11</v>
      </c>
      <c r="G77">
        <v>10</v>
      </c>
      <c r="H77" s="52">
        <v>778061.09879280603</v>
      </c>
      <c r="I77" s="52">
        <v>219625.8864929371</v>
      </c>
      <c r="J77" s="2">
        <v>6.9404817531404639</v>
      </c>
      <c r="K77" s="2">
        <v>0.36204234273432961</v>
      </c>
      <c r="L77" s="2"/>
      <c r="M77" s="2">
        <f t="shared" si="1"/>
        <v>0.36204234273432961</v>
      </c>
      <c r="N77" s="1">
        <v>89.202271697028777</v>
      </c>
      <c r="O77" s="1">
        <v>4.6531351239131897</v>
      </c>
      <c r="P77" s="1"/>
      <c r="Q77" s="1">
        <v>93.855406820941965</v>
      </c>
      <c r="R77" t="s">
        <v>42</v>
      </c>
      <c r="S77" t="s">
        <v>43</v>
      </c>
      <c r="T77">
        <v>6</v>
      </c>
      <c r="U77">
        <v>1</v>
      </c>
      <c r="V77">
        <v>4</v>
      </c>
      <c r="W77">
        <v>4</v>
      </c>
      <c r="X77">
        <v>2</v>
      </c>
      <c r="Y77">
        <v>20040518</v>
      </c>
      <c r="Z77">
        <v>67.507999999999996</v>
      </c>
      <c r="AA77">
        <v>-168.9</v>
      </c>
      <c r="AB77">
        <v>50</v>
      </c>
      <c r="AC77">
        <v>9.1</v>
      </c>
      <c r="AD77">
        <v>2</v>
      </c>
      <c r="AE77">
        <v>-0.91759999999999997</v>
      </c>
      <c r="AF77">
        <v>2</v>
      </c>
      <c r="AG77">
        <v>32.361899999999999</v>
      </c>
      <c r="AH77">
        <v>2</v>
      </c>
      <c r="AI77">
        <v>-999</v>
      </c>
      <c r="AJ77">
        <v>9</v>
      </c>
      <c r="AK77">
        <v>440.7</v>
      </c>
      <c r="AL77">
        <v>2</v>
      </c>
      <c r="AM77">
        <v>421.9</v>
      </c>
      <c r="AN77">
        <v>2</v>
      </c>
      <c r="AO77">
        <v>9.6929999999999996</v>
      </c>
      <c r="AP77">
        <v>2</v>
      </c>
      <c r="AQ77">
        <v>13.3</v>
      </c>
      <c r="AR77">
        <v>2</v>
      </c>
      <c r="AS77">
        <v>13.61</v>
      </c>
      <c r="AT77">
        <v>2</v>
      </c>
      <c r="AU77">
        <v>0.65</v>
      </c>
      <c r="AV77">
        <v>2</v>
      </c>
      <c r="AW77">
        <v>0.67</v>
      </c>
      <c r="AX77">
        <v>2</v>
      </c>
      <c r="AY77">
        <v>0.05</v>
      </c>
      <c r="AZ77">
        <v>2</v>
      </c>
      <c r="BA77">
        <v>0.05</v>
      </c>
      <c r="BB77">
        <v>2</v>
      </c>
      <c r="BC77">
        <v>1</v>
      </c>
      <c r="BD77">
        <v>2</v>
      </c>
      <c r="BE77">
        <v>1.02</v>
      </c>
      <c r="BF77">
        <v>2</v>
      </c>
      <c r="BG77">
        <v>0.64</v>
      </c>
      <c r="BH77">
        <v>2</v>
      </c>
      <c r="BI77">
        <v>0.65</v>
      </c>
      <c r="BJ77">
        <v>2</v>
      </c>
      <c r="BK77">
        <v>0.28999999999999998</v>
      </c>
      <c r="BL77">
        <v>2</v>
      </c>
      <c r="BM77">
        <v>0.3</v>
      </c>
      <c r="BN77">
        <v>2</v>
      </c>
      <c r="BO77">
        <v>0.124</v>
      </c>
      <c r="BP77">
        <v>2</v>
      </c>
      <c r="BQ77">
        <v>2.3210000000000002</v>
      </c>
      <c r="BR77">
        <v>2</v>
      </c>
      <c r="BS77">
        <v>1.7170000000000001</v>
      </c>
      <c r="BT77">
        <v>2</v>
      </c>
      <c r="BU77">
        <v>-10.41</v>
      </c>
      <c r="BV77">
        <v>2</v>
      </c>
      <c r="BW77">
        <v>-999</v>
      </c>
      <c r="BX77">
        <v>9</v>
      </c>
      <c r="BY77">
        <v>-999</v>
      </c>
      <c r="BZ77">
        <v>9</v>
      </c>
    </row>
    <row r="78" spans="1:78">
      <c r="A78" t="s">
        <v>41</v>
      </c>
      <c r="B78">
        <v>113</v>
      </c>
      <c r="C78">
        <v>26</v>
      </c>
      <c r="E78">
        <v>577</v>
      </c>
      <c r="F78" t="s">
        <v>20</v>
      </c>
      <c r="G78">
        <v>300</v>
      </c>
      <c r="H78" s="52">
        <v>234940.66471056189</v>
      </c>
      <c r="I78" s="52">
        <v>24340.683099009686</v>
      </c>
      <c r="J78" s="2">
        <v>1.6214543766568863</v>
      </c>
      <c r="K78" s="2">
        <v>0.33689137381134748</v>
      </c>
      <c r="L78" s="2">
        <v>2.7902097226838292E-2</v>
      </c>
      <c r="M78" s="2">
        <f t="shared" si="1"/>
        <v>0.36479347103818577</v>
      </c>
      <c r="N78" s="1">
        <v>69.015484341736126</v>
      </c>
      <c r="O78" s="1">
        <v>14.339423710509418</v>
      </c>
      <c r="P78" s="1">
        <v>1.1876231499222423</v>
      </c>
      <c r="Q78" s="1">
        <v>84.542531202167794</v>
      </c>
      <c r="R78" t="s">
        <v>42</v>
      </c>
      <c r="S78" t="s">
        <v>51</v>
      </c>
      <c r="T78">
        <v>26</v>
      </c>
      <c r="U78">
        <v>2</v>
      </c>
      <c r="V78">
        <v>8</v>
      </c>
      <c r="W78">
        <v>8</v>
      </c>
      <c r="X78">
        <v>2</v>
      </c>
      <c r="Y78">
        <v>20040614</v>
      </c>
      <c r="Z78">
        <v>72.102000000000004</v>
      </c>
      <c r="AA78">
        <v>-154.44</v>
      </c>
      <c r="AB78">
        <v>1426</v>
      </c>
      <c r="AC78">
        <v>230.5</v>
      </c>
      <c r="AD78">
        <v>2</v>
      </c>
      <c r="AE78">
        <v>-0.35899999999999999</v>
      </c>
      <c r="AF78">
        <v>2</v>
      </c>
      <c r="AG78">
        <v>34.4938</v>
      </c>
      <c r="AH78">
        <v>2</v>
      </c>
      <c r="AI78">
        <v>34.484400000000001</v>
      </c>
      <c r="AJ78">
        <v>2</v>
      </c>
      <c r="AK78">
        <v>327.5</v>
      </c>
      <c r="AL78">
        <v>2</v>
      </c>
      <c r="AM78">
        <v>310.8</v>
      </c>
      <c r="AN78">
        <v>2</v>
      </c>
      <c r="AO78">
        <v>7.1520000000000001</v>
      </c>
      <c r="AP78">
        <v>2</v>
      </c>
      <c r="AQ78">
        <v>16.05</v>
      </c>
      <c r="AR78">
        <v>2</v>
      </c>
      <c r="AS78">
        <v>16.440000000000001</v>
      </c>
      <c r="AT78">
        <v>2</v>
      </c>
      <c r="AU78">
        <v>10.6</v>
      </c>
      <c r="AV78">
        <v>2</v>
      </c>
      <c r="AW78">
        <v>10.85</v>
      </c>
      <c r="AX78">
        <v>2</v>
      </c>
      <c r="AY78">
        <v>0.08</v>
      </c>
      <c r="AZ78">
        <v>2</v>
      </c>
      <c r="BA78">
        <v>0.08</v>
      </c>
      <c r="BB78">
        <v>2</v>
      </c>
      <c r="BC78">
        <v>1.1299999999999999</v>
      </c>
      <c r="BD78">
        <v>2</v>
      </c>
      <c r="BE78">
        <v>1.1599999999999999</v>
      </c>
      <c r="BF78">
        <v>2</v>
      </c>
      <c r="BG78">
        <v>0.69</v>
      </c>
      <c r="BH78">
        <v>2</v>
      </c>
      <c r="BI78">
        <v>0.71</v>
      </c>
      <c r="BJ78">
        <v>2</v>
      </c>
      <c r="BK78">
        <v>0.13</v>
      </c>
      <c r="BL78">
        <v>2</v>
      </c>
      <c r="BM78">
        <v>0.13</v>
      </c>
      <c r="BN78">
        <v>2</v>
      </c>
      <c r="BO78">
        <v>0.13300000000000001</v>
      </c>
      <c r="BP78">
        <v>2</v>
      </c>
      <c r="BQ78">
        <v>1.0349999999999999</v>
      </c>
      <c r="BR78">
        <v>2</v>
      </c>
      <c r="BS78">
        <v>0.152</v>
      </c>
      <c r="BT78">
        <v>2</v>
      </c>
      <c r="BU78">
        <v>-3.43</v>
      </c>
      <c r="BV78">
        <v>2</v>
      </c>
      <c r="BW78">
        <v>-999</v>
      </c>
      <c r="BX78">
        <v>9</v>
      </c>
      <c r="BY78">
        <v>-999</v>
      </c>
      <c r="BZ78">
        <v>9</v>
      </c>
    </row>
    <row r="79" spans="1:78">
      <c r="A79" t="s">
        <v>41</v>
      </c>
      <c r="B79">
        <v>58</v>
      </c>
      <c r="C79">
        <v>20</v>
      </c>
      <c r="E79">
        <v>2386</v>
      </c>
      <c r="F79" t="s">
        <v>17</v>
      </c>
      <c r="G79">
        <v>13</v>
      </c>
      <c r="H79" s="52">
        <v>359143.85941688449</v>
      </c>
      <c r="I79" s="52">
        <v>74843.599568372985</v>
      </c>
      <c r="J79" s="2">
        <v>3.356716235906092</v>
      </c>
      <c r="K79" s="2">
        <v>0.16841826776576418</v>
      </c>
      <c r="L79" s="2">
        <v>0.20120725378062906</v>
      </c>
      <c r="M79" s="2">
        <f t="shared" si="1"/>
        <v>0.36962552154639328</v>
      </c>
      <c r="N79" s="1">
        <v>93.464391716348587</v>
      </c>
      <c r="O79" s="1">
        <v>4.6894374872290046</v>
      </c>
      <c r="P79" s="1">
        <v>5.6024138657783125</v>
      </c>
      <c r="Q79" s="1">
        <v>103.7562430693559</v>
      </c>
      <c r="R79" t="s">
        <v>42</v>
      </c>
      <c r="S79" t="s">
        <v>46</v>
      </c>
      <c r="T79">
        <v>20</v>
      </c>
      <c r="U79">
        <v>4</v>
      </c>
      <c r="V79">
        <v>11</v>
      </c>
      <c r="W79">
        <v>11</v>
      </c>
      <c r="X79">
        <v>2</v>
      </c>
      <c r="Y79">
        <v>20040605</v>
      </c>
      <c r="Z79">
        <v>73.150999999999996</v>
      </c>
      <c r="AA79">
        <v>-157.804</v>
      </c>
      <c r="AB79">
        <v>2497</v>
      </c>
      <c r="AC79">
        <v>12.7</v>
      </c>
      <c r="AD79">
        <v>2</v>
      </c>
      <c r="AE79">
        <v>-1.5327999999999999</v>
      </c>
      <c r="AF79">
        <v>2</v>
      </c>
      <c r="AG79">
        <v>28.947900000000001</v>
      </c>
      <c r="AH79">
        <v>2</v>
      </c>
      <c r="AI79">
        <v>28.978300000000001</v>
      </c>
      <c r="AJ79">
        <v>2</v>
      </c>
      <c r="AK79">
        <v>416</v>
      </c>
      <c r="AL79">
        <v>2</v>
      </c>
      <c r="AM79">
        <v>400.6</v>
      </c>
      <c r="AN79">
        <v>2</v>
      </c>
      <c r="AO79">
        <v>9.1780000000000008</v>
      </c>
      <c r="AP79">
        <v>2</v>
      </c>
      <c r="AQ79">
        <v>2.91</v>
      </c>
      <c r="AR79">
        <v>2</v>
      </c>
      <c r="AS79">
        <v>2.97</v>
      </c>
      <c r="AT79">
        <v>2</v>
      </c>
      <c r="AU79">
        <v>0</v>
      </c>
      <c r="AV79">
        <v>2</v>
      </c>
      <c r="AW79">
        <v>0</v>
      </c>
      <c r="AX79">
        <v>2</v>
      </c>
      <c r="AY79">
        <v>0</v>
      </c>
      <c r="AZ79">
        <v>2</v>
      </c>
      <c r="BA79">
        <v>0</v>
      </c>
      <c r="BB79">
        <v>2</v>
      </c>
      <c r="BC79">
        <v>0.66</v>
      </c>
      <c r="BD79">
        <v>2</v>
      </c>
      <c r="BE79">
        <v>0.67</v>
      </c>
      <c r="BF79">
        <v>2</v>
      </c>
      <c r="BG79">
        <v>0.1</v>
      </c>
      <c r="BH79">
        <v>2</v>
      </c>
      <c r="BI79">
        <v>0.1</v>
      </c>
      <c r="BJ79">
        <v>2</v>
      </c>
      <c r="BK79">
        <v>0.09</v>
      </c>
      <c r="BL79">
        <v>2</v>
      </c>
      <c r="BM79">
        <v>0.09</v>
      </c>
      <c r="BN79">
        <v>2</v>
      </c>
      <c r="BO79">
        <v>0.104</v>
      </c>
      <c r="BP79">
        <v>2</v>
      </c>
      <c r="BQ79">
        <v>0.77100000000000002</v>
      </c>
      <c r="BR79">
        <v>2</v>
      </c>
      <c r="BS79">
        <v>2.7160000000000002</v>
      </c>
      <c r="BT79">
        <v>2</v>
      </c>
      <c r="BU79">
        <v>-6.65</v>
      </c>
      <c r="BV79">
        <v>2</v>
      </c>
      <c r="BW79">
        <v>0.1</v>
      </c>
      <c r="BX79">
        <v>2</v>
      </c>
      <c r="BY79">
        <v>0.08</v>
      </c>
      <c r="BZ79">
        <v>2</v>
      </c>
    </row>
    <row r="80" spans="1:78">
      <c r="A80" t="s">
        <v>52</v>
      </c>
      <c r="B80">
        <v>114</v>
      </c>
      <c r="C80">
        <v>37</v>
      </c>
      <c r="E80">
        <v>3804</v>
      </c>
      <c r="F80" t="s">
        <v>17</v>
      </c>
      <c r="G80">
        <v>150</v>
      </c>
      <c r="H80" s="52">
        <v>223705.34614437053</v>
      </c>
      <c r="I80" s="52"/>
      <c r="J80" s="2">
        <v>1.322237145815109</v>
      </c>
      <c r="K80" s="2">
        <v>0.36587661530844318</v>
      </c>
      <c r="L80" s="2">
        <v>1.6391463323528949E-2</v>
      </c>
      <c r="M80" s="2">
        <f t="shared" si="1"/>
        <v>0.3822680786319721</v>
      </c>
      <c r="N80" s="1">
        <v>59.106193419346788</v>
      </c>
      <c r="O80" s="1">
        <v>16.355291530329406</v>
      </c>
      <c r="P80" s="1">
        <v>0.73272559668513915</v>
      </c>
      <c r="Q80" s="1">
        <v>76.194210546361333</v>
      </c>
      <c r="R80" t="s">
        <v>53</v>
      </c>
      <c r="S80" t="s">
        <v>64</v>
      </c>
      <c r="T80">
        <v>37</v>
      </c>
      <c r="U80">
        <v>2</v>
      </c>
      <c r="V80">
        <v>201</v>
      </c>
      <c r="W80">
        <v>1</v>
      </c>
      <c r="X80">
        <v>2</v>
      </c>
      <c r="Y80">
        <v>20040809</v>
      </c>
      <c r="Z80">
        <v>72.716499999999996</v>
      </c>
      <c r="AA80">
        <v>-153.0446</v>
      </c>
      <c r="AB80">
        <v>3779</v>
      </c>
      <c r="AC80">
        <v>152.80000000000001</v>
      </c>
      <c r="AD80">
        <v>2</v>
      </c>
      <c r="AE80">
        <v>-1.534</v>
      </c>
      <c r="AF80">
        <v>2</v>
      </c>
      <c r="AG80">
        <v>32.973999999999997</v>
      </c>
      <c r="AH80">
        <v>2</v>
      </c>
      <c r="AI80">
        <v>32.963500000000003</v>
      </c>
      <c r="AJ80">
        <v>2</v>
      </c>
      <c r="AK80">
        <v>273.8</v>
      </c>
      <c r="AL80">
        <v>2</v>
      </c>
      <c r="AM80">
        <v>285.89999999999998</v>
      </c>
      <c r="AN80">
        <v>2</v>
      </c>
      <c r="AO80">
        <v>6.5709999999999997</v>
      </c>
      <c r="AP80">
        <v>2</v>
      </c>
      <c r="AQ80">
        <v>32.19</v>
      </c>
      <c r="AR80">
        <v>2</v>
      </c>
      <c r="AS80">
        <v>32.93</v>
      </c>
      <c r="AT80">
        <v>2</v>
      </c>
      <c r="AU80">
        <v>14.83</v>
      </c>
      <c r="AV80">
        <v>2</v>
      </c>
      <c r="AW80">
        <v>15.17</v>
      </c>
      <c r="AX80">
        <v>2</v>
      </c>
      <c r="AY80">
        <v>0</v>
      </c>
      <c r="AZ80">
        <v>2</v>
      </c>
      <c r="BA80">
        <v>0</v>
      </c>
      <c r="BB80">
        <v>2</v>
      </c>
      <c r="BC80">
        <v>1.82</v>
      </c>
      <c r="BD80">
        <v>2</v>
      </c>
      <c r="BE80">
        <v>1.86</v>
      </c>
      <c r="BF80">
        <v>2</v>
      </c>
      <c r="BG80">
        <v>0.01</v>
      </c>
      <c r="BH80">
        <v>2</v>
      </c>
      <c r="BI80">
        <v>0.01</v>
      </c>
      <c r="BJ80">
        <v>2</v>
      </c>
      <c r="BK80">
        <v>0.05</v>
      </c>
      <c r="BL80">
        <v>2</v>
      </c>
      <c r="BM80">
        <v>0.05</v>
      </c>
      <c r="BN80">
        <v>2</v>
      </c>
      <c r="BO80">
        <v>-999</v>
      </c>
      <c r="BP80">
        <v>9</v>
      </c>
      <c r="BS80">
        <v>0.154</v>
      </c>
      <c r="BT80">
        <v>2</v>
      </c>
      <c r="BU80">
        <v>-10.09</v>
      </c>
      <c r="BV80">
        <v>2</v>
      </c>
      <c r="BW80">
        <v>0</v>
      </c>
      <c r="BX80">
        <v>2</v>
      </c>
      <c r="BY80">
        <v>0.01</v>
      </c>
      <c r="BZ80">
        <v>2</v>
      </c>
    </row>
    <row r="81" spans="1:78">
      <c r="A81" t="s">
        <v>27</v>
      </c>
      <c r="B81">
        <v>70</v>
      </c>
      <c r="C81">
        <v>28</v>
      </c>
      <c r="E81">
        <v>455</v>
      </c>
      <c r="F81" t="s">
        <v>20</v>
      </c>
      <c r="G81">
        <v>35.200000000000003</v>
      </c>
      <c r="H81" s="52">
        <v>897695.03546099295</v>
      </c>
      <c r="I81" s="52">
        <v>218718.70392404965</v>
      </c>
      <c r="J81" s="2">
        <v>7.1025831521084504</v>
      </c>
      <c r="K81" s="2">
        <v>0.3725014462732249</v>
      </c>
      <c r="L81" s="2">
        <v>3.6788588560642869E-2</v>
      </c>
      <c r="M81" s="2">
        <f t="shared" si="1"/>
        <v>0.40929003483386778</v>
      </c>
      <c r="N81" s="1">
        <v>79.120223144166815</v>
      </c>
      <c r="O81" s="1">
        <v>4.1495322081394201</v>
      </c>
      <c r="P81" s="1">
        <v>0.40981165214699938</v>
      </c>
      <c r="Q81" s="1">
        <v>83.679567004453233</v>
      </c>
      <c r="R81" t="s">
        <v>29</v>
      </c>
      <c r="S81" t="s">
        <v>30</v>
      </c>
      <c r="T81">
        <v>28</v>
      </c>
      <c r="U81">
        <v>6</v>
      </c>
      <c r="V81">
        <v>6</v>
      </c>
      <c r="W81">
        <v>6</v>
      </c>
      <c r="X81">
        <v>2</v>
      </c>
      <c r="Y81">
        <v>20020808</v>
      </c>
      <c r="Z81">
        <v>72.831500000000005</v>
      </c>
      <c r="AA81">
        <v>-158.29560000000001</v>
      </c>
      <c r="AB81">
        <v>404</v>
      </c>
      <c r="AC81">
        <v>36.1</v>
      </c>
      <c r="AD81">
        <v>2</v>
      </c>
      <c r="AE81">
        <v>-1.2891999999999999</v>
      </c>
      <c r="AF81">
        <v>2</v>
      </c>
      <c r="AG81">
        <v>31.264399999999998</v>
      </c>
      <c r="AH81">
        <v>2</v>
      </c>
      <c r="AI81">
        <v>-999</v>
      </c>
      <c r="AJ81">
        <v>9</v>
      </c>
      <c r="AK81">
        <v>371.4</v>
      </c>
      <c r="AL81">
        <v>2</v>
      </c>
      <c r="AM81">
        <v>378.8</v>
      </c>
      <c r="AN81">
        <v>2</v>
      </c>
      <c r="AO81">
        <v>8.6940000000000008</v>
      </c>
      <c r="AP81">
        <v>2</v>
      </c>
      <c r="AQ81">
        <v>11.18</v>
      </c>
      <c r="AR81">
        <v>2</v>
      </c>
      <c r="AS81">
        <v>11.41</v>
      </c>
      <c r="AT81">
        <v>2</v>
      </c>
      <c r="AU81">
        <v>2.57</v>
      </c>
      <c r="AV81">
        <v>2</v>
      </c>
      <c r="AW81">
        <v>2.62</v>
      </c>
      <c r="AX81">
        <v>2</v>
      </c>
      <c r="AY81">
        <v>0.17</v>
      </c>
      <c r="AZ81">
        <v>2</v>
      </c>
      <c r="BA81">
        <v>0.17</v>
      </c>
      <c r="BB81">
        <v>2</v>
      </c>
      <c r="BC81">
        <v>1.03</v>
      </c>
      <c r="BD81">
        <v>2</v>
      </c>
      <c r="BE81">
        <v>1.05</v>
      </c>
      <c r="BF81">
        <v>2</v>
      </c>
      <c r="BG81">
        <v>0.19</v>
      </c>
      <c r="BH81">
        <v>2</v>
      </c>
      <c r="BI81">
        <v>0.19</v>
      </c>
      <c r="BJ81">
        <v>2</v>
      </c>
      <c r="BK81">
        <v>0</v>
      </c>
      <c r="BL81">
        <v>2</v>
      </c>
      <c r="BM81">
        <v>0</v>
      </c>
      <c r="BN81">
        <v>2</v>
      </c>
      <c r="BO81">
        <v>0.127</v>
      </c>
      <c r="BP81">
        <v>2</v>
      </c>
      <c r="BQ81">
        <v>1.627</v>
      </c>
      <c r="BR81">
        <v>2</v>
      </c>
      <c r="BS81">
        <v>1.0609999999999999</v>
      </c>
      <c r="BT81">
        <v>2</v>
      </c>
      <c r="BU81">
        <v>-9.43</v>
      </c>
      <c r="BV81">
        <v>2</v>
      </c>
      <c r="BW81">
        <v>1</v>
      </c>
      <c r="BX81">
        <v>2</v>
      </c>
      <c r="BY81">
        <v>0.7</v>
      </c>
      <c r="BZ81">
        <v>2</v>
      </c>
    </row>
    <row r="82" spans="1:78">
      <c r="A82" t="s">
        <v>27</v>
      </c>
      <c r="B82">
        <v>40</v>
      </c>
      <c r="C82">
        <v>17</v>
      </c>
      <c r="D82" t="s">
        <v>34</v>
      </c>
      <c r="E82">
        <v>3090</v>
      </c>
      <c r="F82" t="s">
        <v>17</v>
      </c>
      <c r="G82">
        <v>0</v>
      </c>
      <c r="H82" s="52">
        <v>286968.08510638296</v>
      </c>
      <c r="I82" s="52">
        <v>87269.922612089067</v>
      </c>
      <c r="J82" s="2">
        <v>2.3819883575177814</v>
      </c>
      <c r="K82" s="2">
        <v>0.3770071914712308</v>
      </c>
      <c r="L82" s="2">
        <v>3.4979922255122024E-2</v>
      </c>
      <c r="M82" s="2">
        <f t="shared" ref="M82:M113" si="2">K82+L82</f>
        <v>0.41198711372635283</v>
      </c>
      <c r="N82" s="1">
        <v>79.778521744907977</v>
      </c>
      <c r="O82" s="1">
        <v>13.137599999368193</v>
      </c>
      <c r="P82" s="1">
        <v>1.2189481712628252</v>
      </c>
      <c r="Q82" s="1">
        <v>94.135069915538992</v>
      </c>
      <c r="R82" t="s">
        <v>29</v>
      </c>
      <c r="S82" t="s">
        <v>30</v>
      </c>
      <c r="T82">
        <v>17</v>
      </c>
      <c r="U82">
        <v>2</v>
      </c>
      <c r="V82">
        <v>11</v>
      </c>
      <c r="W82">
        <v>11</v>
      </c>
      <c r="X82">
        <v>2</v>
      </c>
      <c r="Y82">
        <v>20020727</v>
      </c>
      <c r="Z82">
        <v>72.489099999999993</v>
      </c>
      <c r="AA82">
        <v>-153.32830000000001</v>
      </c>
      <c r="AB82">
        <v>3079</v>
      </c>
      <c r="AC82">
        <v>1.9</v>
      </c>
      <c r="AD82">
        <v>2</v>
      </c>
      <c r="AE82">
        <v>-1.0838000000000001</v>
      </c>
      <c r="AF82">
        <v>2</v>
      </c>
      <c r="AG82">
        <v>27.543099999999999</v>
      </c>
      <c r="AH82">
        <v>2</v>
      </c>
      <c r="AI82">
        <v>27.569400000000002</v>
      </c>
      <c r="AJ82">
        <v>2</v>
      </c>
      <c r="AK82">
        <v>376.1</v>
      </c>
      <c r="AL82">
        <v>2</v>
      </c>
      <c r="AM82">
        <v>385.7</v>
      </c>
      <c r="AN82">
        <v>2</v>
      </c>
      <c r="AO82">
        <v>8.827</v>
      </c>
      <c r="AP82">
        <v>2</v>
      </c>
      <c r="AQ82">
        <v>2.62</v>
      </c>
      <c r="AR82">
        <v>2</v>
      </c>
      <c r="AS82">
        <v>2.67</v>
      </c>
      <c r="AT82">
        <v>2</v>
      </c>
      <c r="AU82">
        <v>7.0000000000000007E-2</v>
      </c>
      <c r="AV82">
        <v>2</v>
      </c>
      <c r="AW82">
        <v>7.0000000000000007E-2</v>
      </c>
      <c r="AX82">
        <v>2</v>
      </c>
      <c r="AY82">
        <v>0</v>
      </c>
      <c r="AZ82">
        <v>2</v>
      </c>
      <c r="BA82">
        <v>0</v>
      </c>
      <c r="BB82">
        <v>2</v>
      </c>
      <c r="BC82">
        <v>0.64</v>
      </c>
      <c r="BD82">
        <v>2</v>
      </c>
      <c r="BE82">
        <v>0.65</v>
      </c>
      <c r="BF82">
        <v>2</v>
      </c>
      <c r="BG82">
        <v>0.04</v>
      </c>
      <c r="BH82">
        <v>2</v>
      </c>
      <c r="BI82">
        <v>0.04</v>
      </c>
      <c r="BJ82">
        <v>2</v>
      </c>
      <c r="BK82">
        <v>0.18</v>
      </c>
      <c r="BL82">
        <v>2</v>
      </c>
      <c r="BM82">
        <v>0.18</v>
      </c>
      <c r="BN82">
        <v>2</v>
      </c>
      <c r="BO82">
        <v>9.4E-2</v>
      </c>
      <c r="BP82">
        <v>2</v>
      </c>
      <c r="BQ82">
        <v>0.66</v>
      </c>
      <c r="BR82">
        <v>2</v>
      </c>
      <c r="BS82">
        <v>2.8980000000000001</v>
      </c>
      <c r="BT82">
        <v>2</v>
      </c>
      <c r="BU82">
        <v>-6.36</v>
      </c>
      <c r="BV82">
        <v>2</v>
      </c>
      <c r="BW82">
        <v>0.06</v>
      </c>
      <c r="BX82">
        <v>2</v>
      </c>
      <c r="BY82">
        <v>0.05</v>
      </c>
      <c r="BZ82">
        <v>2</v>
      </c>
    </row>
    <row r="83" spans="1:78">
      <c r="A83" t="s">
        <v>52</v>
      </c>
      <c r="B83">
        <v>112</v>
      </c>
      <c r="C83">
        <v>37</v>
      </c>
      <c r="E83">
        <v>3804</v>
      </c>
      <c r="F83" t="s">
        <v>17</v>
      </c>
      <c r="G83">
        <v>40.700000000000003</v>
      </c>
      <c r="H83" s="52">
        <v>459679.72406996792</v>
      </c>
      <c r="I83" s="52"/>
      <c r="J83" s="2">
        <v>3.8448428638948089</v>
      </c>
      <c r="K83" s="2">
        <v>0.35207441995804184</v>
      </c>
      <c r="L83" s="2">
        <v>6.1539666113393253E-2</v>
      </c>
      <c r="M83" s="2">
        <f t="shared" si="2"/>
        <v>0.41361408607143507</v>
      </c>
      <c r="N83" s="1">
        <v>83.641776275291718</v>
      </c>
      <c r="O83" s="1">
        <v>7.6591244190803707</v>
      </c>
      <c r="P83" s="1">
        <v>1.3387509365983323</v>
      </c>
      <c r="Q83" s="1">
        <v>92.63965163097042</v>
      </c>
      <c r="R83" t="s">
        <v>53</v>
      </c>
      <c r="S83" t="s">
        <v>64</v>
      </c>
      <c r="T83">
        <v>37</v>
      </c>
      <c r="U83">
        <v>5</v>
      </c>
      <c r="V83">
        <v>508</v>
      </c>
      <c r="W83">
        <v>8</v>
      </c>
      <c r="X83">
        <v>2</v>
      </c>
      <c r="Y83">
        <v>20040809</v>
      </c>
      <c r="Z83">
        <v>72.765600000000006</v>
      </c>
      <c r="AA83">
        <v>-152.88480000000001</v>
      </c>
      <c r="AB83">
        <v>3861</v>
      </c>
      <c r="AC83">
        <v>42.1</v>
      </c>
      <c r="AD83">
        <v>2</v>
      </c>
      <c r="AE83">
        <v>-1.079</v>
      </c>
      <c r="AF83">
        <v>2</v>
      </c>
      <c r="AG83">
        <v>29.951000000000001</v>
      </c>
      <c r="AH83">
        <v>2</v>
      </c>
      <c r="AI83">
        <v>-999</v>
      </c>
      <c r="AJ83">
        <v>9</v>
      </c>
      <c r="AK83">
        <v>382</v>
      </c>
      <c r="AL83">
        <v>2</v>
      </c>
      <c r="AM83">
        <v>383.5</v>
      </c>
      <c r="AN83">
        <v>2</v>
      </c>
      <c r="AO83">
        <v>8.7929999999999993</v>
      </c>
      <c r="AP83">
        <v>2</v>
      </c>
      <c r="AQ83">
        <v>5.33</v>
      </c>
      <c r="AR83">
        <v>2</v>
      </c>
      <c r="AS83">
        <v>5.44</v>
      </c>
      <c r="AT83">
        <v>2</v>
      </c>
      <c r="AU83">
        <v>1.1000000000000001</v>
      </c>
      <c r="AV83">
        <v>2</v>
      </c>
      <c r="AW83">
        <v>1.1200000000000001</v>
      </c>
      <c r="AX83">
        <v>2</v>
      </c>
      <c r="AY83">
        <v>0.05</v>
      </c>
      <c r="AZ83">
        <v>2</v>
      </c>
      <c r="BA83">
        <v>0.05</v>
      </c>
      <c r="BB83">
        <v>2</v>
      </c>
      <c r="BC83">
        <v>0.85</v>
      </c>
      <c r="BD83">
        <v>2</v>
      </c>
      <c r="BE83">
        <v>0.87</v>
      </c>
      <c r="BF83">
        <v>2</v>
      </c>
      <c r="BG83">
        <v>7.0000000000000007E-2</v>
      </c>
      <c r="BH83">
        <v>2</v>
      </c>
      <c r="BI83">
        <v>7.0000000000000007E-2</v>
      </c>
      <c r="BJ83">
        <v>2</v>
      </c>
      <c r="BK83">
        <v>0.05</v>
      </c>
      <c r="BL83">
        <v>2</v>
      </c>
      <c r="BM83">
        <v>0.05</v>
      </c>
      <c r="BN83">
        <v>2</v>
      </c>
      <c r="BO83">
        <v>-999</v>
      </c>
      <c r="BP83">
        <v>9</v>
      </c>
      <c r="BS83">
        <v>1.296</v>
      </c>
      <c r="BT83">
        <v>2</v>
      </c>
      <c r="BU83">
        <v>-8.44</v>
      </c>
      <c r="BV83">
        <v>2</v>
      </c>
      <c r="BW83">
        <v>0.23</v>
      </c>
      <c r="BX83">
        <v>2</v>
      </c>
      <c r="BY83">
        <v>0.21</v>
      </c>
      <c r="BZ83">
        <v>2</v>
      </c>
    </row>
    <row r="84" spans="1:78">
      <c r="A84" t="s">
        <v>52</v>
      </c>
      <c r="B84">
        <v>191</v>
      </c>
      <c r="C84">
        <v>54</v>
      </c>
      <c r="E84">
        <v>2158</v>
      </c>
      <c r="F84" t="s">
        <v>17</v>
      </c>
      <c r="G84">
        <v>24.8</v>
      </c>
      <c r="H84" s="52">
        <v>393017.98472530179</v>
      </c>
      <c r="I84" s="52"/>
      <c r="J84" s="2">
        <v>2.8584011898937063</v>
      </c>
      <c r="K84" s="2">
        <v>0.23222029904226016</v>
      </c>
      <c r="L84" s="2">
        <v>0.18266879880147535</v>
      </c>
      <c r="M84" s="2">
        <f t="shared" si="2"/>
        <v>0.41488909784373551</v>
      </c>
      <c r="N84" s="1">
        <v>72.729526408099957</v>
      </c>
      <c r="O84" s="1">
        <v>5.9086430664125853</v>
      </c>
      <c r="P84" s="1">
        <v>4.6478483403030761</v>
      </c>
      <c r="Q84" s="1">
        <v>83.286017814815608</v>
      </c>
      <c r="R84" t="s">
        <v>53</v>
      </c>
      <c r="S84" t="s">
        <v>69</v>
      </c>
      <c r="T84">
        <v>54</v>
      </c>
      <c r="U84">
        <v>1</v>
      </c>
      <c r="V84">
        <v>109</v>
      </c>
      <c r="W84">
        <v>9</v>
      </c>
      <c r="X84">
        <v>2</v>
      </c>
      <c r="Y84">
        <v>20040819</v>
      </c>
      <c r="Z84">
        <v>73.480999999999995</v>
      </c>
      <c r="AA84">
        <v>-159.60400000000001</v>
      </c>
      <c r="AB84">
        <v>2165</v>
      </c>
      <c r="AC84">
        <v>25.8</v>
      </c>
      <c r="AD84">
        <v>2</v>
      </c>
      <c r="AE84">
        <v>0.66600000000000004</v>
      </c>
      <c r="AF84">
        <v>2</v>
      </c>
      <c r="AG84">
        <v>30.85</v>
      </c>
      <c r="AH84">
        <v>2</v>
      </c>
      <c r="AI84">
        <v>-999</v>
      </c>
      <c r="AJ84">
        <v>9</v>
      </c>
      <c r="AK84">
        <v>408</v>
      </c>
      <c r="AL84">
        <v>2</v>
      </c>
      <c r="AM84">
        <v>422.8</v>
      </c>
      <c r="AN84">
        <v>2</v>
      </c>
      <c r="AO84">
        <v>9.702</v>
      </c>
      <c r="AP84">
        <v>2</v>
      </c>
      <c r="AQ84">
        <v>3.96</v>
      </c>
      <c r="AR84">
        <v>2</v>
      </c>
      <c r="AS84">
        <v>4.04</v>
      </c>
      <c r="AT84">
        <v>2</v>
      </c>
      <c r="AU84">
        <v>7.0000000000000007E-2</v>
      </c>
      <c r="AV84">
        <v>2</v>
      </c>
      <c r="AW84">
        <v>7.0000000000000007E-2</v>
      </c>
      <c r="AX84">
        <v>2</v>
      </c>
      <c r="AY84">
        <v>0.01</v>
      </c>
      <c r="AZ84">
        <v>2</v>
      </c>
      <c r="BA84">
        <v>0.01</v>
      </c>
      <c r="BB84">
        <v>2</v>
      </c>
      <c r="BC84">
        <v>0.72</v>
      </c>
      <c r="BD84">
        <v>2</v>
      </c>
      <c r="BE84">
        <v>0.74</v>
      </c>
      <c r="BF84">
        <v>2</v>
      </c>
      <c r="BG84">
        <v>0.14000000000000001</v>
      </c>
      <c r="BH84">
        <v>2</v>
      </c>
      <c r="BI84">
        <v>0.14000000000000001</v>
      </c>
      <c r="BJ84">
        <v>2</v>
      </c>
      <c r="BK84">
        <v>0.06</v>
      </c>
      <c r="BL84">
        <v>2</v>
      </c>
      <c r="BM84">
        <v>0.06</v>
      </c>
      <c r="BN84">
        <v>2</v>
      </c>
      <c r="BO84">
        <v>-999</v>
      </c>
      <c r="BP84">
        <v>9</v>
      </c>
      <c r="BS84">
        <v>0.86899999999999999</v>
      </c>
      <c r="BT84">
        <v>2</v>
      </c>
      <c r="BU84">
        <v>-7.52</v>
      </c>
      <c r="BV84">
        <v>2</v>
      </c>
      <c r="BW84">
        <v>0.25</v>
      </c>
      <c r="BX84">
        <v>2</v>
      </c>
      <c r="BY84">
        <v>0.06</v>
      </c>
      <c r="BZ84">
        <v>2</v>
      </c>
    </row>
    <row r="85" spans="1:78">
      <c r="A85" t="s">
        <v>27</v>
      </c>
      <c r="B85">
        <v>68</v>
      </c>
      <c r="C85">
        <v>28</v>
      </c>
      <c r="E85">
        <v>455</v>
      </c>
      <c r="F85" t="s">
        <v>20</v>
      </c>
      <c r="G85">
        <v>0</v>
      </c>
      <c r="H85" s="52">
        <v>694609.92907801422</v>
      </c>
      <c r="I85" s="52">
        <v>176295.71308080733</v>
      </c>
      <c r="J85" s="2">
        <v>5.6387526842449294</v>
      </c>
      <c r="K85" s="2">
        <v>0.38593617640883543</v>
      </c>
      <c r="L85" s="2">
        <v>3.9730363491021763E-2</v>
      </c>
      <c r="M85" s="2">
        <f t="shared" si="2"/>
        <v>0.4256665398998572</v>
      </c>
      <c r="N85" s="1">
        <v>81.178693943080958</v>
      </c>
      <c r="O85" s="1">
        <v>5.5561569199148249</v>
      </c>
      <c r="P85" s="1">
        <v>0.57198093243149561</v>
      </c>
      <c r="Q85" s="1">
        <v>87.306831795427286</v>
      </c>
      <c r="R85" t="s">
        <v>29</v>
      </c>
      <c r="S85" t="s">
        <v>30</v>
      </c>
      <c r="T85">
        <v>28</v>
      </c>
      <c r="U85">
        <v>2</v>
      </c>
      <c r="V85">
        <v>12</v>
      </c>
      <c r="W85">
        <v>12</v>
      </c>
      <c r="X85">
        <v>2</v>
      </c>
      <c r="Y85">
        <v>20020808</v>
      </c>
      <c r="Z85">
        <v>72.8309</v>
      </c>
      <c r="AA85">
        <v>-158.2876</v>
      </c>
      <c r="AB85">
        <v>453</v>
      </c>
      <c r="AC85">
        <v>2.1</v>
      </c>
      <c r="AD85">
        <v>2</v>
      </c>
      <c r="AE85">
        <v>-0.95679999999999998</v>
      </c>
      <c r="AF85">
        <v>2</v>
      </c>
      <c r="AG85">
        <v>27.178599999999999</v>
      </c>
      <c r="AH85">
        <v>2</v>
      </c>
      <c r="AI85">
        <v>27.200900000000001</v>
      </c>
      <c r="AJ85">
        <v>2</v>
      </c>
      <c r="AK85">
        <v>372.4</v>
      </c>
      <c r="AL85">
        <v>2</v>
      </c>
      <c r="AM85">
        <v>382.1</v>
      </c>
      <c r="AN85">
        <v>2</v>
      </c>
      <c r="AO85">
        <v>8.7430000000000003</v>
      </c>
      <c r="AP85">
        <v>2</v>
      </c>
      <c r="AQ85">
        <v>3.59</v>
      </c>
      <c r="AR85">
        <v>2</v>
      </c>
      <c r="AS85">
        <v>3.65</v>
      </c>
      <c r="AT85">
        <v>2</v>
      </c>
      <c r="AU85">
        <v>0</v>
      </c>
      <c r="AV85">
        <v>2</v>
      </c>
      <c r="AW85">
        <v>0</v>
      </c>
      <c r="AX85">
        <v>2</v>
      </c>
      <c r="AY85">
        <v>0</v>
      </c>
      <c r="AZ85">
        <v>2</v>
      </c>
      <c r="BA85">
        <v>0</v>
      </c>
      <c r="BB85">
        <v>2</v>
      </c>
      <c r="BC85">
        <v>0.64</v>
      </c>
      <c r="BD85">
        <v>2</v>
      </c>
      <c r="BE85">
        <v>0.65</v>
      </c>
      <c r="BF85">
        <v>2</v>
      </c>
      <c r="BG85">
        <v>0.01</v>
      </c>
      <c r="BH85">
        <v>2</v>
      </c>
      <c r="BI85">
        <v>0.01</v>
      </c>
      <c r="BJ85">
        <v>2</v>
      </c>
      <c r="BK85">
        <v>0</v>
      </c>
      <c r="BL85">
        <v>2</v>
      </c>
      <c r="BM85">
        <v>0</v>
      </c>
      <c r="BN85">
        <v>2</v>
      </c>
      <c r="BO85">
        <v>9.4E-2</v>
      </c>
      <c r="BP85">
        <v>2</v>
      </c>
      <c r="BQ85">
        <v>1.002</v>
      </c>
      <c r="BR85">
        <v>2</v>
      </c>
      <c r="BS85">
        <v>0.88400000000000001</v>
      </c>
      <c r="BT85">
        <v>2</v>
      </c>
      <c r="BU85">
        <v>-6.45</v>
      </c>
      <c r="BV85">
        <v>2</v>
      </c>
      <c r="BW85">
        <v>0.21</v>
      </c>
      <c r="BX85">
        <v>2</v>
      </c>
      <c r="BY85">
        <v>0.14000000000000001</v>
      </c>
      <c r="BZ85">
        <v>2</v>
      </c>
    </row>
    <row r="86" spans="1:78">
      <c r="A86" t="s">
        <v>27</v>
      </c>
      <c r="B86">
        <v>48</v>
      </c>
      <c r="C86">
        <v>18</v>
      </c>
      <c r="D86" t="s">
        <v>35</v>
      </c>
      <c r="E86">
        <v>2927</v>
      </c>
      <c r="F86" t="s">
        <v>17</v>
      </c>
      <c r="G86">
        <v>28.2</v>
      </c>
      <c r="H86" s="52">
        <v>881507.09219858155</v>
      </c>
      <c r="I86" s="52">
        <v>128378.21024594654</v>
      </c>
      <c r="J86" s="2">
        <v>7.4159438015726051</v>
      </c>
      <c r="K86" s="2">
        <v>0.32553337652287739</v>
      </c>
      <c r="L86" s="2">
        <v>0.10214169024942489</v>
      </c>
      <c r="M86" s="2">
        <f t="shared" si="2"/>
        <v>0.42767506677230227</v>
      </c>
      <c r="N86" s="1">
        <v>84.128010621858706</v>
      </c>
      <c r="O86" s="1">
        <v>3.6929184053523509</v>
      </c>
      <c r="P86" s="1">
        <v>1.1587166019807236</v>
      </c>
      <c r="Q86" s="1">
        <v>88.979645629191779</v>
      </c>
      <c r="R86" t="s">
        <v>29</v>
      </c>
      <c r="S86" t="s">
        <v>30</v>
      </c>
      <c r="T86">
        <v>18</v>
      </c>
      <c r="U86">
        <v>6</v>
      </c>
      <c r="V86">
        <v>6</v>
      </c>
      <c r="W86">
        <v>6</v>
      </c>
      <c r="X86">
        <v>2</v>
      </c>
      <c r="Y86">
        <v>20020729</v>
      </c>
      <c r="Z86">
        <v>72.27</v>
      </c>
      <c r="AA86">
        <v>-151.78530000000001</v>
      </c>
      <c r="AB86">
        <v>2935</v>
      </c>
      <c r="AC86">
        <v>29.4</v>
      </c>
      <c r="AD86">
        <v>2</v>
      </c>
      <c r="AE86">
        <v>-1.5732999999999999</v>
      </c>
      <c r="AF86">
        <v>2</v>
      </c>
      <c r="AG86">
        <v>30.660399999999999</v>
      </c>
      <c r="AH86">
        <v>2</v>
      </c>
      <c r="AI86">
        <v>-999</v>
      </c>
      <c r="AJ86">
        <v>9</v>
      </c>
      <c r="AK86">
        <v>377.7</v>
      </c>
      <c r="AL86">
        <v>2</v>
      </c>
      <c r="AM86">
        <v>390.6</v>
      </c>
      <c r="AN86">
        <v>2</v>
      </c>
      <c r="AO86">
        <v>8.9610000000000003</v>
      </c>
      <c r="AP86">
        <v>2</v>
      </c>
      <c r="AQ86">
        <v>9.61</v>
      </c>
      <c r="AR86">
        <v>2</v>
      </c>
      <c r="AS86">
        <v>9.8000000000000007</v>
      </c>
      <c r="AT86">
        <v>2</v>
      </c>
      <c r="AU86">
        <v>1.45</v>
      </c>
      <c r="AV86">
        <v>2</v>
      </c>
      <c r="AW86">
        <v>1.48</v>
      </c>
      <c r="AX86">
        <v>2</v>
      </c>
      <c r="AY86">
        <v>0.12</v>
      </c>
      <c r="AZ86">
        <v>2</v>
      </c>
      <c r="BA86">
        <v>0.12</v>
      </c>
      <c r="BB86">
        <v>2</v>
      </c>
      <c r="BC86">
        <v>0.94</v>
      </c>
      <c r="BD86">
        <v>2</v>
      </c>
      <c r="BE86">
        <v>0.96</v>
      </c>
      <c r="BF86">
        <v>2</v>
      </c>
      <c r="BG86">
        <v>0</v>
      </c>
      <c r="BH86">
        <v>2</v>
      </c>
      <c r="BI86">
        <v>0</v>
      </c>
      <c r="BJ86">
        <v>2</v>
      </c>
      <c r="BK86">
        <v>7.0000000000000007E-2</v>
      </c>
      <c r="BL86">
        <v>2</v>
      </c>
      <c r="BM86">
        <v>7.0000000000000007E-2</v>
      </c>
      <c r="BN86">
        <v>2</v>
      </c>
      <c r="BO86">
        <v>0.13400000000000001</v>
      </c>
      <c r="BP86">
        <v>2</v>
      </c>
      <c r="BQ86">
        <v>1.1379999999999999</v>
      </c>
      <c r="BR86">
        <v>2</v>
      </c>
      <c r="BS86">
        <v>1.5529999999999999</v>
      </c>
      <c r="BT86">
        <v>2</v>
      </c>
      <c r="BU86">
        <v>-9.3800000000000008</v>
      </c>
      <c r="BV86">
        <v>2</v>
      </c>
      <c r="BW86">
        <v>0.31</v>
      </c>
      <c r="BX86">
        <v>2</v>
      </c>
      <c r="BY86">
        <v>0.24</v>
      </c>
      <c r="BZ86">
        <v>2</v>
      </c>
    </row>
    <row r="87" spans="1:78">
      <c r="A87" t="s">
        <v>27</v>
      </c>
      <c r="B87">
        <v>64</v>
      </c>
      <c r="C87">
        <v>26</v>
      </c>
      <c r="D87" t="s">
        <v>37</v>
      </c>
      <c r="E87">
        <v>165</v>
      </c>
      <c r="F87" t="s">
        <v>15</v>
      </c>
      <c r="G87">
        <v>150</v>
      </c>
      <c r="H87" s="52">
        <v>186602.83687943261</v>
      </c>
      <c r="I87" s="52">
        <v>47987.113387514211</v>
      </c>
      <c r="J87" s="2">
        <v>0.83925311197997521</v>
      </c>
      <c r="K87" s="2">
        <v>0.42802596294198686</v>
      </c>
      <c r="L87" s="2">
        <v>1.826774984373997E-3</v>
      </c>
      <c r="M87" s="2">
        <f t="shared" si="2"/>
        <v>0.42985273792636086</v>
      </c>
      <c r="N87" s="1">
        <v>44.9753672567278</v>
      </c>
      <c r="O87" s="1">
        <v>22.937805775082722</v>
      </c>
      <c r="P87" s="1">
        <v>9.7896420811346432E-2</v>
      </c>
      <c r="Q87" s="1">
        <v>68.011069452621868</v>
      </c>
      <c r="R87" t="s">
        <v>29</v>
      </c>
      <c r="S87" t="s">
        <v>30</v>
      </c>
      <c r="T87">
        <v>26</v>
      </c>
      <c r="U87">
        <v>1</v>
      </c>
      <c r="V87">
        <v>1</v>
      </c>
      <c r="W87">
        <v>1</v>
      </c>
      <c r="X87">
        <v>2</v>
      </c>
      <c r="Y87">
        <v>20020806</v>
      </c>
      <c r="Z87">
        <v>72.644499999999994</v>
      </c>
      <c r="AA87">
        <v>-158.60910000000001</v>
      </c>
      <c r="AB87">
        <v>156</v>
      </c>
      <c r="AC87">
        <v>152.9</v>
      </c>
      <c r="AD87">
        <v>2</v>
      </c>
      <c r="AE87">
        <v>-0.94179999999999997</v>
      </c>
      <c r="AF87">
        <v>2</v>
      </c>
      <c r="AG87">
        <v>34.153300000000002</v>
      </c>
      <c r="AH87">
        <v>2</v>
      </c>
      <c r="AI87">
        <v>-999</v>
      </c>
      <c r="AJ87">
        <v>9</v>
      </c>
      <c r="AK87">
        <v>280.2</v>
      </c>
      <c r="AL87">
        <v>2</v>
      </c>
      <c r="AM87">
        <v>-999</v>
      </c>
      <c r="AN87">
        <v>9</v>
      </c>
      <c r="AO87">
        <v>-999</v>
      </c>
      <c r="AP87">
        <v>9</v>
      </c>
      <c r="AQ87">
        <v>-999</v>
      </c>
      <c r="AR87">
        <v>9</v>
      </c>
      <c r="AS87">
        <v>-999</v>
      </c>
      <c r="AT87">
        <v>9</v>
      </c>
      <c r="AU87">
        <v>-999</v>
      </c>
      <c r="AV87">
        <v>9</v>
      </c>
      <c r="AW87">
        <v>-999</v>
      </c>
      <c r="AX87">
        <v>9</v>
      </c>
      <c r="AY87">
        <v>-999</v>
      </c>
      <c r="AZ87">
        <v>9</v>
      </c>
      <c r="BA87">
        <v>-999</v>
      </c>
      <c r="BB87">
        <v>9</v>
      </c>
      <c r="BC87">
        <v>-999</v>
      </c>
      <c r="BD87">
        <v>9</v>
      </c>
      <c r="BE87">
        <v>-999</v>
      </c>
      <c r="BF87">
        <v>9</v>
      </c>
      <c r="BG87">
        <v>-999</v>
      </c>
      <c r="BH87">
        <v>9</v>
      </c>
      <c r="BI87">
        <v>-999</v>
      </c>
      <c r="BJ87">
        <v>9</v>
      </c>
      <c r="BK87">
        <v>-999</v>
      </c>
      <c r="BL87">
        <v>9</v>
      </c>
      <c r="BM87">
        <v>-999</v>
      </c>
      <c r="BN87">
        <v>9</v>
      </c>
      <c r="BO87">
        <v>0.13500000000000001</v>
      </c>
      <c r="BP87">
        <v>2</v>
      </c>
      <c r="BQ87">
        <v>0.76400000000000001</v>
      </c>
      <c r="BR87">
        <v>2</v>
      </c>
      <c r="BS87">
        <v>0.13700000000000001</v>
      </c>
      <c r="BT87">
        <v>2</v>
      </c>
      <c r="BU87">
        <v>-999</v>
      </c>
      <c r="BV87">
        <v>9</v>
      </c>
      <c r="BW87">
        <v>-999</v>
      </c>
      <c r="BX87">
        <v>9</v>
      </c>
      <c r="BY87">
        <v>-999</v>
      </c>
      <c r="BZ87">
        <v>9</v>
      </c>
    </row>
    <row r="88" spans="1:78">
      <c r="A88" t="s">
        <v>10</v>
      </c>
      <c r="B88">
        <v>88</v>
      </c>
      <c r="C88">
        <v>31</v>
      </c>
      <c r="D88" t="s">
        <v>22</v>
      </c>
      <c r="E88">
        <v>200</v>
      </c>
      <c r="F88" t="s">
        <v>15</v>
      </c>
      <c r="G88">
        <v>75</v>
      </c>
      <c r="H88" s="52">
        <v>261950.35460992911</v>
      </c>
      <c r="I88" s="52">
        <v>36577.593527931458</v>
      </c>
      <c r="J88" s="2">
        <v>1.4668078632936496</v>
      </c>
      <c r="K88" s="2">
        <v>0.41098800563486693</v>
      </c>
      <c r="L88" s="2">
        <v>2.5341699176496042E-2</v>
      </c>
      <c r="M88" s="2">
        <f t="shared" si="2"/>
        <v>0.43632970481136296</v>
      </c>
      <c r="N88" s="1">
        <v>55.995643353026821</v>
      </c>
      <c r="O88" s="1">
        <v>15.689538051852233</v>
      </c>
      <c r="P88" s="1">
        <v>0.96742374005305032</v>
      </c>
      <c r="Q88" s="1">
        <v>72.65260514493211</v>
      </c>
      <c r="R88" t="s">
        <v>12</v>
      </c>
      <c r="S88" t="s">
        <v>13</v>
      </c>
      <c r="T88">
        <v>31</v>
      </c>
      <c r="U88">
        <v>5</v>
      </c>
      <c r="V88">
        <v>3</v>
      </c>
      <c r="W88">
        <v>3</v>
      </c>
      <c r="X88">
        <v>2</v>
      </c>
      <c r="Y88">
        <v>20020605</v>
      </c>
      <c r="Z88">
        <v>71.948999999999998</v>
      </c>
      <c r="AA88">
        <v>-154.9333</v>
      </c>
      <c r="AB88">
        <v>342</v>
      </c>
      <c r="AC88">
        <v>75.900000000000006</v>
      </c>
      <c r="AD88">
        <v>2</v>
      </c>
      <c r="AE88">
        <v>-1.5159</v>
      </c>
      <c r="AF88">
        <v>2</v>
      </c>
      <c r="AG88">
        <v>32.628999999999998</v>
      </c>
      <c r="AH88">
        <v>2</v>
      </c>
      <c r="AI88">
        <v>-999</v>
      </c>
      <c r="AJ88">
        <v>9</v>
      </c>
      <c r="AK88">
        <v>297</v>
      </c>
      <c r="AL88">
        <v>2</v>
      </c>
      <c r="AM88">
        <v>-999</v>
      </c>
      <c r="AN88">
        <v>9</v>
      </c>
      <c r="AO88">
        <v>-999</v>
      </c>
      <c r="AP88">
        <v>9</v>
      </c>
      <c r="AQ88">
        <v>26.93</v>
      </c>
      <c r="AR88">
        <v>2</v>
      </c>
      <c r="AS88">
        <v>27.51</v>
      </c>
      <c r="AT88">
        <v>2</v>
      </c>
      <c r="AU88">
        <v>11.66</v>
      </c>
      <c r="AV88">
        <v>2</v>
      </c>
      <c r="AW88">
        <v>11.91</v>
      </c>
      <c r="AX88">
        <v>2</v>
      </c>
      <c r="AY88">
        <v>0.02</v>
      </c>
      <c r="AZ88">
        <v>2</v>
      </c>
      <c r="BA88">
        <v>0.02</v>
      </c>
      <c r="BB88">
        <v>2</v>
      </c>
      <c r="BC88">
        <v>1.62</v>
      </c>
      <c r="BD88">
        <v>2</v>
      </c>
      <c r="BE88">
        <v>1.66</v>
      </c>
      <c r="BF88">
        <v>2</v>
      </c>
      <c r="BG88">
        <v>0.25</v>
      </c>
      <c r="BH88">
        <v>2</v>
      </c>
      <c r="BI88">
        <v>0.26</v>
      </c>
      <c r="BJ88">
        <v>2</v>
      </c>
      <c r="BK88">
        <v>0.02</v>
      </c>
      <c r="BL88">
        <v>2</v>
      </c>
      <c r="BM88">
        <v>0.02</v>
      </c>
      <c r="BN88">
        <v>2</v>
      </c>
      <c r="BO88">
        <v>0.156</v>
      </c>
      <c r="BP88">
        <v>2</v>
      </c>
      <c r="BQ88">
        <v>0.74299999999999999</v>
      </c>
      <c r="BR88">
        <v>2</v>
      </c>
      <c r="BS88">
        <v>0.45300000000000001</v>
      </c>
      <c r="BT88">
        <v>2</v>
      </c>
      <c r="BU88">
        <v>-9.91</v>
      </c>
      <c r="BV88">
        <v>2</v>
      </c>
      <c r="BW88">
        <v>-999</v>
      </c>
      <c r="BX88">
        <v>9</v>
      </c>
      <c r="BY88">
        <v>-999</v>
      </c>
      <c r="BZ88">
        <v>9</v>
      </c>
    </row>
    <row r="89" spans="1:78">
      <c r="A89" t="s">
        <v>27</v>
      </c>
      <c r="B89">
        <v>33</v>
      </c>
      <c r="C89">
        <v>15</v>
      </c>
      <c r="D89" t="s">
        <v>33</v>
      </c>
      <c r="E89">
        <v>948</v>
      </c>
      <c r="F89" t="s">
        <v>20</v>
      </c>
      <c r="G89">
        <v>600</v>
      </c>
      <c r="H89" s="52">
        <v>134507.09219858158</v>
      </c>
      <c r="I89" s="52">
        <v>24351.927029716502</v>
      </c>
      <c r="J89" s="2">
        <v>0.96284309897025167</v>
      </c>
      <c r="K89" s="2">
        <v>0.43611696295995439</v>
      </c>
      <c r="L89" s="2">
        <v>5.4261048241635648E-3</v>
      </c>
      <c r="M89" s="2">
        <f t="shared" si="2"/>
        <v>0.44154306778411795</v>
      </c>
      <c r="N89" s="1">
        <v>71.583072924418261</v>
      </c>
      <c r="O89" s="1">
        <v>32.423343322007618</v>
      </c>
      <c r="P89" s="1">
        <v>0.40340659629699321</v>
      </c>
      <c r="Q89" s="1">
        <v>104.40982284272287</v>
      </c>
    </row>
    <row r="90" spans="1:78">
      <c r="A90" t="s">
        <v>27</v>
      </c>
      <c r="B90">
        <v>38</v>
      </c>
      <c r="C90">
        <v>16</v>
      </c>
      <c r="E90">
        <v>291</v>
      </c>
      <c r="F90" t="s">
        <v>20</v>
      </c>
      <c r="G90">
        <v>200</v>
      </c>
      <c r="H90" s="52">
        <v>178067.37588652482</v>
      </c>
      <c r="I90" s="52">
        <v>42010.838070742815</v>
      </c>
      <c r="J90" s="2">
        <v>1.0076064701129441</v>
      </c>
      <c r="K90" s="2">
        <v>0.39506580566015764</v>
      </c>
      <c r="L90" s="2">
        <v>4.8896107369881647E-2</v>
      </c>
      <c r="M90" s="2">
        <f t="shared" si="2"/>
        <v>0.44396191303003929</v>
      </c>
      <c r="N90" s="1">
        <v>56.585686462580952</v>
      </c>
      <c r="O90" s="1">
        <v>22.186310304921729</v>
      </c>
      <c r="P90" s="1">
        <v>2.7459329440021163</v>
      </c>
      <c r="Q90" s="1">
        <v>81.517929711504806</v>
      </c>
      <c r="R90" t="s">
        <v>29</v>
      </c>
      <c r="S90" t="s">
        <v>30</v>
      </c>
      <c r="T90">
        <v>16</v>
      </c>
      <c r="U90">
        <v>5</v>
      </c>
      <c r="V90">
        <v>3</v>
      </c>
      <c r="W90">
        <v>3</v>
      </c>
      <c r="X90">
        <v>2</v>
      </c>
      <c r="Y90">
        <v>20020726</v>
      </c>
      <c r="Z90">
        <v>72.218699999999998</v>
      </c>
      <c r="AA90">
        <v>-154.1343</v>
      </c>
      <c r="AB90">
        <v>2029</v>
      </c>
      <c r="AC90">
        <v>202.7</v>
      </c>
      <c r="AD90">
        <v>2</v>
      </c>
      <c r="AE90">
        <v>-1.1196999999999999</v>
      </c>
      <c r="AF90">
        <v>2</v>
      </c>
      <c r="AG90">
        <v>34.1935</v>
      </c>
      <c r="AH90">
        <v>2</v>
      </c>
      <c r="AI90">
        <v>34.195700000000002</v>
      </c>
      <c r="AJ90">
        <v>2</v>
      </c>
      <c r="AK90">
        <v>289.10000000000002</v>
      </c>
      <c r="AL90">
        <v>2</v>
      </c>
      <c r="AM90">
        <v>299.5</v>
      </c>
      <c r="AN90">
        <v>2</v>
      </c>
      <c r="AO90">
        <v>6.89</v>
      </c>
      <c r="AP90">
        <v>2</v>
      </c>
      <c r="AQ90">
        <v>27.29</v>
      </c>
      <c r="AR90">
        <v>2</v>
      </c>
      <c r="AS90">
        <v>27.91</v>
      </c>
      <c r="AT90">
        <v>2</v>
      </c>
      <c r="AU90">
        <v>13.73</v>
      </c>
      <c r="AV90">
        <v>2</v>
      </c>
      <c r="AW90">
        <v>14.04</v>
      </c>
      <c r="AX90">
        <v>2</v>
      </c>
      <c r="AY90">
        <v>0.15</v>
      </c>
      <c r="AZ90">
        <v>2</v>
      </c>
      <c r="BA90">
        <v>0.15</v>
      </c>
      <c r="BB90">
        <v>2</v>
      </c>
      <c r="BC90">
        <v>1.45</v>
      </c>
      <c r="BD90">
        <v>2</v>
      </c>
      <c r="BE90">
        <v>1.48</v>
      </c>
      <c r="BF90">
        <v>2</v>
      </c>
      <c r="BG90">
        <v>0.12</v>
      </c>
      <c r="BH90">
        <v>2</v>
      </c>
      <c r="BI90">
        <v>0.12</v>
      </c>
      <c r="BJ90">
        <v>2</v>
      </c>
      <c r="BK90">
        <v>0.02</v>
      </c>
      <c r="BL90">
        <v>2</v>
      </c>
      <c r="BM90">
        <v>0.02</v>
      </c>
      <c r="BN90">
        <v>2</v>
      </c>
      <c r="BO90">
        <v>0.14299999999999999</v>
      </c>
      <c r="BP90">
        <v>2</v>
      </c>
      <c r="BQ90">
        <v>0.78800000000000003</v>
      </c>
      <c r="BR90">
        <v>2</v>
      </c>
      <c r="BS90">
        <v>0</v>
      </c>
      <c r="BT90">
        <v>2</v>
      </c>
      <c r="BU90">
        <v>-5.56</v>
      </c>
      <c r="BV90">
        <v>2</v>
      </c>
      <c r="BW90">
        <v>0.1</v>
      </c>
      <c r="BX90">
        <v>2</v>
      </c>
      <c r="BY90">
        <v>0.15</v>
      </c>
      <c r="BZ90">
        <v>2</v>
      </c>
    </row>
    <row r="91" spans="1:78">
      <c r="A91" t="s">
        <v>27</v>
      </c>
      <c r="B91">
        <v>28</v>
      </c>
      <c r="C91">
        <v>14</v>
      </c>
      <c r="D91" t="s">
        <v>32</v>
      </c>
      <c r="E91">
        <v>291</v>
      </c>
      <c r="F91" t="s">
        <v>20</v>
      </c>
      <c r="G91">
        <v>21.7</v>
      </c>
      <c r="H91" s="52">
        <v>969804.96453900728</v>
      </c>
      <c r="I91" s="52">
        <v>117413.25954452442</v>
      </c>
      <c r="J91" s="2">
        <v>9.0886450584847438</v>
      </c>
      <c r="K91" s="2">
        <v>0.26168477242815702</v>
      </c>
      <c r="L91" s="2">
        <v>0.18565651115314591</v>
      </c>
      <c r="M91" s="2">
        <f t="shared" si="2"/>
        <v>0.44734128358130293</v>
      </c>
      <c r="N91" s="1">
        <v>93.716215020666468</v>
      </c>
      <c r="O91" s="1">
        <v>2.6983237042155972</v>
      </c>
      <c r="P91" s="1">
        <v>1.9143695685389377</v>
      </c>
      <c r="Q91" s="1">
        <v>98.328908293421009</v>
      </c>
      <c r="R91" t="s">
        <v>29</v>
      </c>
      <c r="S91" t="s">
        <v>30</v>
      </c>
      <c r="T91">
        <v>14</v>
      </c>
      <c r="U91">
        <v>2</v>
      </c>
      <c r="V91">
        <v>9</v>
      </c>
      <c r="W91">
        <v>9</v>
      </c>
      <c r="X91">
        <v>2</v>
      </c>
      <c r="Y91">
        <v>20020723</v>
      </c>
      <c r="Z91">
        <v>71.922600000000003</v>
      </c>
      <c r="AA91">
        <v>-154.8956</v>
      </c>
      <c r="AB91">
        <v>598</v>
      </c>
      <c r="AC91">
        <v>26.1</v>
      </c>
      <c r="AD91">
        <v>2</v>
      </c>
      <c r="AE91">
        <v>-1.3176000000000001</v>
      </c>
      <c r="AF91">
        <v>2</v>
      </c>
      <c r="AG91">
        <v>31.3645</v>
      </c>
      <c r="AH91">
        <v>2</v>
      </c>
      <c r="AI91">
        <v>31.3398</v>
      </c>
      <c r="AJ91">
        <v>2</v>
      </c>
      <c r="AK91">
        <v>415</v>
      </c>
      <c r="AL91">
        <v>2</v>
      </c>
      <c r="AM91">
        <v>436.2</v>
      </c>
      <c r="AN91">
        <v>2</v>
      </c>
      <c r="AO91">
        <v>10.013</v>
      </c>
      <c r="AP91">
        <v>2</v>
      </c>
      <c r="AQ91">
        <v>15.36</v>
      </c>
      <c r="AR91">
        <v>2</v>
      </c>
      <c r="AS91">
        <v>15.68</v>
      </c>
      <c r="AT91">
        <v>2</v>
      </c>
      <c r="AU91">
        <v>0.16</v>
      </c>
      <c r="AV91">
        <v>2</v>
      </c>
      <c r="AW91">
        <v>0.16</v>
      </c>
      <c r="AX91">
        <v>2</v>
      </c>
      <c r="AY91">
        <v>0.02</v>
      </c>
      <c r="AZ91">
        <v>2</v>
      </c>
      <c r="BA91">
        <v>0.02</v>
      </c>
      <c r="BB91">
        <v>2</v>
      </c>
      <c r="BC91">
        <v>0.84</v>
      </c>
      <c r="BD91">
        <v>2</v>
      </c>
      <c r="BE91">
        <v>0.86</v>
      </c>
      <c r="BF91">
        <v>2</v>
      </c>
      <c r="BG91">
        <v>0.18</v>
      </c>
      <c r="BH91">
        <v>2</v>
      </c>
      <c r="BI91">
        <v>0.18</v>
      </c>
      <c r="BJ91">
        <v>2</v>
      </c>
      <c r="BK91">
        <v>0.09</v>
      </c>
      <c r="BL91">
        <v>2</v>
      </c>
      <c r="BM91">
        <v>0.09</v>
      </c>
      <c r="BN91">
        <v>2</v>
      </c>
      <c r="BO91">
        <v>0.13500000000000001</v>
      </c>
      <c r="BP91">
        <v>2</v>
      </c>
      <c r="BQ91">
        <v>2.1179999999999999</v>
      </c>
      <c r="BR91">
        <v>2</v>
      </c>
      <c r="BS91">
        <v>1.331</v>
      </c>
      <c r="BT91">
        <v>2</v>
      </c>
      <c r="BU91">
        <v>-9.07</v>
      </c>
      <c r="BV91">
        <v>2</v>
      </c>
      <c r="BW91">
        <v>1.23</v>
      </c>
      <c r="BX91">
        <v>2</v>
      </c>
      <c r="BY91">
        <v>4.0999999999999996</v>
      </c>
      <c r="BZ91">
        <v>2</v>
      </c>
    </row>
    <row r="92" spans="1:78">
      <c r="A92" t="s">
        <v>52</v>
      </c>
      <c r="B92">
        <v>196</v>
      </c>
      <c r="C92">
        <v>54</v>
      </c>
      <c r="E92">
        <v>2158</v>
      </c>
      <c r="F92" t="s">
        <v>17</v>
      </c>
      <c r="G92">
        <v>500</v>
      </c>
      <c r="H92" s="52">
        <v>188820.39911308204</v>
      </c>
      <c r="I92" s="52">
        <v>14841.077588299309</v>
      </c>
      <c r="J92" s="2">
        <v>0.73227973596941243</v>
      </c>
      <c r="K92" s="2">
        <v>0.43927065187910874</v>
      </c>
      <c r="L92" s="2">
        <v>1.6133917162618295E-2</v>
      </c>
      <c r="M92" s="2">
        <f t="shared" si="2"/>
        <v>0.45540456904172705</v>
      </c>
      <c r="N92" s="1">
        <v>38.781812738932921</v>
      </c>
      <c r="O92" s="1">
        <v>23.263940439826918</v>
      </c>
      <c r="P92" s="1">
        <v>0.85445837623486354</v>
      </c>
      <c r="Q92" s="1">
        <v>62.900211554994705</v>
      </c>
      <c r="R92" t="s">
        <v>53</v>
      </c>
      <c r="S92" t="s">
        <v>69</v>
      </c>
      <c r="T92">
        <v>54</v>
      </c>
      <c r="U92">
        <v>3</v>
      </c>
      <c r="V92">
        <v>305</v>
      </c>
      <c r="W92">
        <v>5</v>
      </c>
      <c r="X92">
        <v>2</v>
      </c>
      <c r="Y92">
        <v>20040819</v>
      </c>
      <c r="Z92">
        <v>73.485100000000003</v>
      </c>
      <c r="AA92">
        <v>-159.59829999999999</v>
      </c>
      <c r="AB92">
        <v>2112</v>
      </c>
      <c r="AC92">
        <v>500.7</v>
      </c>
      <c r="AD92">
        <v>2</v>
      </c>
      <c r="AE92">
        <v>0.56399999999999995</v>
      </c>
      <c r="AF92">
        <v>2</v>
      </c>
      <c r="AG92">
        <v>34.85</v>
      </c>
      <c r="AH92">
        <v>2</v>
      </c>
      <c r="AI92">
        <v>-999</v>
      </c>
      <c r="AJ92">
        <v>9</v>
      </c>
      <c r="AK92">
        <v>281.60000000000002</v>
      </c>
      <c r="AL92">
        <v>2</v>
      </c>
      <c r="AM92">
        <v>296.39999999999998</v>
      </c>
      <c r="AN92">
        <v>2</v>
      </c>
      <c r="AO92">
        <v>6.8230000000000004</v>
      </c>
      <c r="AP92">
        <v>2</v>
      </c>
      <c r="AQ92">
        <v>6.8</v>
      </c>
      <c r="AR92">
        <v>2</v>
      </c>
      <c r="AS92">
        <v>6.96</v>
      </c>
      <c r="AT92">
        <v>2</v>
      </c>
      <c r="AU92">
        <v>12.5</v>
      </c>
      <c r="AV92">
        <v>2</v>
      </c>
      <c r="AW92">
        <v>12.8</v>
      </c>
      <c r="AX92">
        <v>2</v>
      </c>
      <c r="AY92">
        <v>0.01</v>
      </c>
      <c r="AZ92">
        <v>2</v>
      </c>
      <c r="BA92">
        <v>0.01</v>
      </c>
      <c r="BB92">
        <v>2</v>
      </c>
      <c r="BC92">
        <v>0.9</v>
      </c>
      <c r="BD92">
        <v>2</v>
      </c>
      <c r="BE92">
        <v>0.92</v>
      </c>
      <c r="BF92">
        <v>2</v>
      </c>
      <c r="BG92">
        <v>0.06</v>
      </c>
      <c r="BH92">
        <v>2</v>
      </c>
      <c r="BI92">
        <v>0.06</v>
      </c>
      <c r="BJ92">
        <v>2</v>
      </c>
      <c r="BK92">
        <v>0.08</v>
      </c>
      <c r="BL92">
        <v>2</v>
      </c>
      <c r="BM92">
        <v>0.08</v>
      </c>
      <c r="BN92">
        <v>2</v>
      </c>
      <c r="BO92">
        <v>-999</v>
      </c>
      <c r="BP92">
        <v>9</v>
      </c>
      <c r="BS92">
        <v>0.153</v>
      </c>
      <c r="BT92">
        <v>2</v>
      </c>
      <c r="BU92">
        <v>0.98</v>
      </c>
      <c r="BV92">
        <v>2</v>
      </c>
      <c r="BW92">
        <v>-999</v>
      </c>
      <c r="BX92">
        <v>9</v>
      </c>
      <c r="BY92">
        <v>-999</v>
      </c>
      <c r="BZ92">
        <v>9</v>
      </c>
    </row>
    <row r="93" spans="1:78">
      <c r="A93" t="s">
        <v>41</v>
      </c>
      <c r="B93">
        <v>74</v>
      </c>
      <c r="C93">
        <v>21</v>
      </c>
      <c r="E93">
        <v>398</v>
      </c>
      <c r="F93" t="s">
        <v>20</v>
      </c>
      <c r="G93">
        <v>50</v>
      </c>
      <c r="H93" s="52">
        <v>407212.82721646753</v>
      </c>
      <c r="I93" s="52">
        <v>59496.34984684697</v>
      </c>
      <c r="J93" s="2">
        <v>2.3903651598475104</v>
      </c>
      <c r="K93" s="2">
        <v>0.17304168951732396</v>
      </c>
      <c r="L93" s="2">
        <v>0.29118874185886656</v>
      </c>
      <c r="M93" s="2">
        <f t="shared" si="2"/>
        <v>0.46423043137619052</v>
      </c>
      <c r="N93" s="1">
        <v>58.700635149119016</v>
      </c>
      <c r="O93" s="1">
        <v>4.2494164709928919</v>
      </c>
      <c r="P93" s="1">
        <v>7.1507752800742574</v>
      </c>
      <c r="Q93" s="1">
        <v>70.100826900186163</v>
      </c>
      <c r="R93" t="s">
        <v>42</v>
      </c>
      <c r="S93" t="s">
        <v>47</v>
      </c>
      <c r="T93">
        <v>21</v>
      </c>
      <c r="U93">
        <v>1</v>
      </c>
      <c r="V93">
        <v>9</v>
      </c>
      <c r="W93">
        <v>9</v>
      </c>
      <c r="X93">
        <v>2</v>
      </c>
      <c r="Y93">
        <v>20040606</v>
      </c>
      <c r="Z93">
        <v>72.629000000000005</v>
      </c>
      <c r="AA93">
        <v>-157.392</v>
      </c>
      <c r="AB93">
        <v>384</v>
      </c>
      <c r="AC93">
        <v>52.1</v>
      </c>
      <c r="AD93">
        <v>2</v>
      </c>
      <c r="AE93">
        <v>-1.4370000000000001</v>
      </c>
      <c r="AF93">
        <v>2</v>
      </c>
      <c r="AG93">
        <v>31.400600000000001</v>
      </c>
      <c r="AH93">
        <v>2</v>
      </c>
      <c r="AI93">
        <v>31.407399999999999</v>
      </c>
      <c r="AJ93">
        <v>2</v>
      </c>
      <c r="AK93">
        <v>356.8</v>
      </c>
      <c r="AL93">
        <v>2</v>
      </c>
      <c r="AM93">
        <v>341</v>
      </c>
      <c r="AN93">
        <v>2</v>
      </c>
      <c r="AO93">
        <v>7.8289999999999997</v>
      </c>
      <c r="AP93">
        <v>2</v>
      </c>
      <c r="AQ93">
        <v>17.57</v>
      </c>
      <c r="AR93">
        <v>2</v>
      </c>
      <c r="AS93">
        <v>17.940000000000001</v>
      </c>
      <c r="AT93">
        <v>2</v>
      </c>
      <c r="AU93">
        <v>5.43</v>
      </c>
      <c r="AV93">
        <v>2</v>
      </c>
      <c r="AW93">
        <v>5.55</v>
      </c>
      <c r="AX93">
        <v>2</v>
      </c>
      <c r="AY93">
        <v>0.02</v>
      </c>
      <c r="AZ93">
        <v>2</v>
      </c>
      <c r="BA93">
        <v>0.02</v>
      </c>
      <c r="BB93">
        <v>2</v>
      </c>
      <c r="BC93">
        <v>1.23</v>
      </c>
      <c r="BD93">
        <v>2</v>
      </c>
      <c r="BE93">
        <v>1.26</v>
      </c>
      <c r="BF93">
        <v>2</v>
      </c>
      <c r="BG93">
        <v>0.13</v>
      </c>
      <c r="BH93">
        <v>2</v>
      </c>
      <c r="BI93">
        <v>0.13</v>
      </c>
      <c r="BJ93">
        <v>2</v>
      </c>
      <c r="BK93">
        <v>0.17</v>
      </c>
      <c r="BL93">
        <v>2</v>
      </c>
      <c r="BM93">
        <v>0.17</v>
      </c>
      <c r="BN93">
        <v>2</v>
      </c>
      <c r="BO93">
        <v>0.14599999999999999</v>
      </c>
      <c r="BP93">
        <v>2</v>
      </c>
      <c r="BQ93">
        <v>1.079</v>
      </c>
      <c r="BR93">
        <v>2</v>
      </c>
      <c r="BS93">
        <v>0.56699999999999995</v>
      </c>
      <c r="BT93">
        <v>2</v>
      </c>
      <c r="BU93">
        <v>-9.99</v>
      </c>
      <c r="BV93">
        <v>2</v>
      </c>
      <c r="BW93">
        <v>0.22</v>
      </c>
      <c r="BX93">
        <v>2</v>
      </c>
      <c r="BY93">
        <v>0.1</v>
      </c>
      <c r="BZ93">
        <v>2</v>
      </c>
    </row>
    <row r="94" spans="1:78">
      <c r="A94" t="s">
        <v>41</v>
      </c>
      <c r="B94">
        <v>71</v>
      </c>
      <c r="C94">
        <v>21</v>
      </c>
      <c r="E94">
        <v>398</v>
      </c>
      <c r="F94" t="s">
        <v>20</v>
      </c>
      <c r="G94">
        <v>250</v>
      </c>
      <c r="H94" s="52">
        <v>241303.81320958168</v>
      </c>
      <c r="I94" s="52">
        <v>25775.847592926708</v>
      </c>
      <c r="J94" s="2">
        <v>1.2405535752574857</v>
      </c>
      <c r="K94" s="2">
        <v>0.2934261932591129</v>
      </c>
      <c r="L94" s="2">
        <v>0.17815894257891762</v>
      </c>
      <c r="M94" s="2">
        <f t="shared" si="2"/>
        <v>0.47158513583803052</v>
      </c>
      <c r="N94" s="1">
        <v>51.410442245270985</v>
      </c>
      <c r="O94" s="1">
        <v>12.16003134622083</v>
      </c>
      <c r="P94" s="1">
        <v>7.3831797437937592</v>
      </c>
      <c r="Q94" s="1">
        <v>70.95365333528558</v>
      </c>
      <c r="R94" t="s">
        <v>42</v>
      </c>
      <c r="S94" t="s">
        <v>47</v>
      </c>
      <c r="T94">
        <v>21</v>
      </c>
      <c r="U94">
        <v>1</v>
      </c>
      <c r="V94">
        <v>3</v>
      </c>
      <c r="W94">
        <v>3</v>
      </c>
      <c r="X94">
        <v>2</v>
      </c>
      <c r="Y94">
        <v>20040606</v>
      </c>
      <c r="Z94">
        <v>72.629000000000005</v>
      </c>
      <c r="AA94">
        <v>-157.392</v>
      </c>
      <c r="AB94">
        <v>384</v>
      </c>
      <c r="AC94">
        <v>254.8</v>
      </c>
      <c r="AD94">
        <v>2</v>
      </c>
      <c r="AE94">
        <v>0.69199999999999995</v>
      </c>
      <c r="AF94">
        <v>2</v>
      </c>
      <c r="AG94">
        <v>34.792400000000001</v>
      </c>
      <c r="AH94">
        <v>2</v>
      </c>
      <c r="AI94">
        <v>34.786900000000003</v>
      </c>
      <c r="AJ94">
        <v>2</v>
      </c>
      <c r="AK94">
        <v>306.7</v>
      </c>
      <c r="AL94">
        <v>2</v>
      </c>
      <c r="AM94">
        <v>285.60000000000002</v>
      </c>
      <c r="AN94">
        <v>2</v>
      </c>
      <c r="AO94">
        <v>6.5739999999999998</v>
      </c>
      <c r="AP94">
        <v>2</v>
      </c>
      <c r="AQ94">
        <v>9.77</v>
      </c>
      <c r="AR94">
        <v>2</v>
      </c>
      <c r="AS94">
        <v>10</v>
      </c>
      <c r="AT94">
        <v>2</v>
      </c>
      <c r="AU94">
        <v>12.76</v>
      </c>
      <c r="AV94">
        <v>2</v>
      </c>
      <c r="AW94">
        <v>13.06</v>
      </c>
      <c r="AX94">
        <v>2</v>
      </c>
      <c r="AY94">
        <v>0.01</v>
      </c>
      <c r="AZ94">
        <v>2</v>
      </c>
      <c r="BA94">
        <v>0.01</v>
      </c>
      <c r="BB94">
        <v>2</v>
      </c>
      <c r="BC94">
        <v>0.93</v>
      </c>
      <c r="BD94">
        <v>2</v>
      </c>
      <c r="BE94">
        <v>0.95</v>
      </c>
      <c r="BF94">
        <v>2</v>
      </c>
      <c r="BG94">
        <v>0.15</v>
      </c>
      <c r="BH94">
        <v>2</v>
      </c>
      <c r="BI94">
        <v>0.15</v>
      </c>
      <c r="BJ94">
        <v>2</v>
      </c>
      <c r="BK94">
        <v>0.19</v>
      </c>
      <c r="BL94">
        <v>2</v>
      </c>
      <c r="BM94">
        <v>0.19</v>
      </c>
      <c r="BN94">
        <v>2</v>
      </c>
      <c r="BO94">
        <v>0.11600000000000001</v>
      </c>
      <c r="BP94">
        <v>2</v>
      </c>
      <c r="BQ94">
        <v>0.624</v>
      </c>
      <c r="BR94">
        <v>2</v>
      </c>
      <c r="BS94">
        <v>0.152</v>
      </c>
      <c r="BT94">
        <v>2</v>
      </c>
      <c r="BU94">
        <v>0.87</v>
      </c>
      <c r="BV94">
        <v>2</v>
      </c>
      <c r="BW94">
        <v>-999</v>
      </c>
      <c r="BX94">
        <v>9</v>
      </c>
      <c r="BY94">
        <v>-999</v>
      </c>
      <c r="BZ94">
        <v>9</v>
      </c>
    </row>
    <row r="95" spans="1:78">
      <c r="A95" t="s">
        <v>27</v>
      </c>
      <c r="B95">
        <v>37</v>
      </c>
      <c r="C95">
        <v>16</v>
      </c>
      <c r="E95">
        <v>291</v>
      </c>
      <c r="F95" t="s">
        <v>20</v>
      </c>
      <c r="G95">
        <v>75</v>
      </c>
      <c r="H95" s="52">
        <v>544503.54609929072</v>
      </c>
      <c r="I95" s="52">
        <v>162546.97950825226</v>
      </c>
      <c r="J95" s="2">
        <v>4.6497228747239827</v>
      </c>
      <c r="K95" s="2">
        <v>0.46178938351868204</v>
      </c>
      <c r="L95" s="2">
        <v>9.8996953422150272E-3</v>
      </c>
      <c r="M95" s="2">
        <f t="shared" si="2"/>
        <v>0.47168907886089706</v>
      </c>
      <c r="N95" s="1">
        <v>85.39380336516858</v>
      </c>
      <c r="O95" s="1">
        <v>8.480925180870619</v>
      </c>
      <c r="P95" s="1">
        <v>0.18181140257275402</v>
      </c>
      <c r="Q95" s="1">
        <v>94.056539948611942</v>
      </c>
      <c r="R95" t="s">
        <v>29</v>
      </c>
      <c r="S95" t="s">
        <v>30</v>
      </c>
      <c r="T95">
        <v>16</v>
      </c>
      <c r="U95">
        <v>5</v>
      </c>
      <c r="V95">
        <v>6</v>
      </c>
      <c r="W95">
        <v>6</v>
      </c>
      <c r="X95">
        <v>2</v>
      </c>
      <c r="Y95">
        <v>20020726</v>
      </c>
      <c r="Z95">
        <v>72.218699999999998</v>
      </c>
      <c r="AA95">
        <v>-154.1343</v>
      </c>
      <c r="AB95">
        <v>2029</v>
      </c>
      <c r="AC95">
        <v>81.400000000000006</v>
      </c>
      <c r="AD95">
        <v>2</v>
      </c>
      <c r="AE95">
        <v>-1.4685999999999999</v>
      </c>
      <c r="AF95">
        <v>2</v>
      </c>
      <c r="AG95">
        <v>32.635599999999997</v>
      </c>
      <c r="AH95">
        <v>2</v>
      </c>
      <c r="AI95">
        <v>32.645299999999999</v>
      </c>
      <c r="AJ95">
        <v>2</v>
      </c>
      <c r="AK95">
        <v>288.89999999999998</v>
      </c>
      <c r="AL95">
        <v>2</v>
      </c>
      <c r="AM95">
        <v>299</v>
      </c>
      <c r="AN95">
        <v>2</v>
      </c>
      <c r="AO95">
        <v>6.8710000000000004</v>
      </c>
      <c r="AP95">
        <v>2</v>
      </c>
      <c r="AQ95">
        <v>28.52</v>
      </c>
      <c r="AR95">
        <v>2</v>
      </c>
      <c r="AS95">
        <v>29.13</v>
      </c>
      <c r="AT95">
        <v>2</v>
      </c>
      <c r="AU95">
        <v>12.74</v>
      </c>
      <c r="AV95">
        <v>2</v>
      </c>
      <c r="AW95">
        <v>13.01</v>
      </c>
      <c r="AX95">
        <v>2</v>
      </c>
      <c r="AY95">
        <v>0.01</v>
      </c>
      <c r="AZ95">
        <v>2</v>
      </c>
      <c r="BA95">
        <v>0.01</v>
      </c>
      <c r="BB95">
        <v>2</v>
      </c>
      <c r="BC95">
        <v>1.67</v>
      </c>
      <c r="BD95">
        <v>2</v>
      </c>
      <c r="BE95">
        <v>1.71</v>
      </c>
      <c r="BF95">
        <v>2</v>
      </c>
      <c r="BG95">
        <v>0.21</v>
      </c>
      <c r="BH95">
        <v>2</v>
      </c>
      <c r="BI95">
        <v>0.21</v>
      </c>
      <c r="BJ95">
        <v>2</v>
      </c>
      <c r="BK95">
        <v>0.03</v>
      </c>
      <c r="BL95">
        <v>2</v>
      </c>
      <c r="BM95">
        <v>0.03</v>
      </c>
      <c r="BN95">
        <v>2</v>
      </c>
      <c r="BO95">
        <v>0.153</v>
      </c>
      <c r="BP95">
        <v>2</v>
      </c>
      <c r="BQ95">
        <v>0.75</v>
      </c>
      <c r="BR95">
        <v>2</v>
      </c>
      <c r="BS95">
        <v>0</v>
      </c>
      <c r="BT95">
        <v>2</v>
      </c>
      <c r="BU95">
        <v>-9.6999999999999993</v>
      </c>
      <c r="BV95">
        <v>2</v>
      </c>
      <c r="BW95">
        <v>0.19</v>
      </c>
      <c r="BX95">
        <v>2</v>
      </c>
      <c r="BY95">
        <v>0.15</v>
      </c>
      <c r="BZ95">
        <v>2</v>
      </c>
    </row>
    <row r="96" spans="1:78">
      <c r="A96" t="s">
        <v>52</v>
      </c>
      <c r="B96">
        <v>195</v>
      </c>
      <c r="C96">
        <v>54</v>
      </c>
      <c r="E96">
        <v>2158</v>
      </c>
      <c r="F96" t="s">
        <v>17</v>
      </c>
      <c r="G96">
        <v>200</v>
      </c>
      <c r="H96" s="52">
        <v>248038.92584380388</v>
      </c>
      <c r="I96" s="52"/>
      <c r="J96" s="2">
        <v>1.0783789305195211</v>
      </c>
      <c r="K96" s="2">
        <v>0.44013344756323147</v>
      </c>
      <c r="L96" s="2">
        <v>4.3229446576607218E-2</v>
      </c>
      <c r="M96" s="2">
        <f t="shared" si="2"/>
        <v>0.48336289413983868</v>
      </c>
      <c r="N96" s="1">
        <v>43.47619740937769</v>
      </c>
      <c r="O96" s="1">
        <v>17.744531269273203</v>
      </c>
      <c r="P96" s="1">
        <v>1.7428492898662951</v>
      </c>
      <c r="Q96" s="1">
        <v>62.963577968517185</v>
      </c>
      <c r="R96" t="s">
        <v>53</v>
      </c>
      <c r="S96" t="s">
        <v>69</v>
      </c>
      <c r="T96">
        <v>54</v>
      </c>
      <c r="U96">
        <v>3</v>
      </c>
      <c r="V96">
        <v>311</v>
      </c>
      <c r="W96">
        <v>11</v>
      </c>
      <c r="X96">
        <v>2</v>
      </c>
      <c r="Y96">
        <v>20040819</v>
      </c>
      <c r="Z96">
        <v>73.485100000000003</v>
      </c>
      <c r="AA96">
        <v>-159.59829999999999</v>
      </c>
      <c r="AB96">
        <v>2112</v>
      </c>
      <c r="AC96">
        <v>200.8</v>
      </c>
      <c r="AD96">
        <v>2</v>
      </c>
      <c r="AE96">
        <v>-0.57999999999999996</v>
      </c>
      <c r="AF96">
        <v>2</v>
      </c>
      <c r="AG96">
        <v>34.331000000000003</v>
      </c>
      <c r="AH96">
        <v>2</v>
      </c>
      <c r="AI96">
        <v>34.3232</v>
      </c>
      <c r="AJ96">
        <v>2</v>
      </c>
      <c r="AK96">
        <v>261</v>
      </c>
      <c r="AL96">
        <v>2</v>
      </c>
      <c r="AM96">
        <v>274.5</v>
      </c>
      <c r="AN96">
        <v>2</v>
      </c>
      <c r="AO96">
        <v>6.3150000000000004</v>
      </c>
      <c r="AP96">
        <v>2</v>
      </c>
      <c r="AQ96">
        <v>19.12</v>
      </c>
      <c r="AR96">
        <v>2</v>
      </c>
      <c r="AS96">
        <v>19.57</v>
      </c>
      <c r="AT96">
        <v>2</v>
      </c>
      <c r="AU96">
        <v>13.53</v>
      </c>
      <c r="AV96">
        <v>2</v>
      </c>
      <c r="AW96">
        <v>13.85</v>
      </c>
      <c r="AX96">
        <v>2</v>
      </c>
      <c r="AY96">
        <v>0.01</v>
      </c>
      <c r="AZ96">
        <v>2</v>
      </c>
      <c r="BA96">
        <v>0.01</v>
      </c>
      <c r="BB96">
        <v>2</v>
      </c>
      <c r="BC96">
        <v>1.28</v>
      </c>
      <c r="BD96">
        <v>2</v>
      </c>
      <c r="BE96">
        <v>1.31</v>
      </c>
      <c r="BF96">
        <v>2</v>
      </c>
      <c r="BG96">
        <v>0.08</v>
      </c>
      <c r="BH96">
        <v>2</v>
      </c>
      <c r="BI96">
        <v>0.08</v>
      </c>
      <c r="BJ96">
        <v>2</v>
      </c>
      <c r="BK96">
        <v>0.08</v>
      </c>
      <c r="BL96">
        <v>2</v>
      </c>
      <c r="BM96">
        <v>0.08</v>
      </c>
      <c r="BN96">
        <v>2</v>
      </c>
      <c r="BO96">
        <v>-999</v>
      </c>
      <c r="BP96">
        <v>9</v>
      </c>
      <c r="BS96">
        <v>0.154</v>
      </c>
      <c r="BT96">
        <v>2</v>
      </c>
      <c r="BU96">
        <v>-3.51</v>
      </c>
      <c r="BV96">
        <v>2</v>
      </c>
      <c r="BW96">
        <v>-999</v>
      </c>
      <c r="BX96">
        <v>9</v>
      </c>
      <c r="BY96">
        <v>-999</v>
      </c>
      <c r="BZ96">
        <v>9</v>
      </c>
    </row>
    <row r="97" spans="1:78">
      <c r="A97" t="s">
        <v>10</v>
      </c>
      <c r="B97">
        <v>19</v>
      </c>
      <c r="C97">
        <v>7</v>
      </c>
      <c r="E97">
        <v>164</v>
      </c>
      <c r="F97" t="s">
        <v>15</v>
      </c>
      <c r="G97">
        <v>70</v>
      </c>
      <c r="H97" s="52">
        <v>288439.71631205676</v>
      </c>
      <c r="I97" s="52">
        <v>46121.547030925889</v>
      </c>
      <c r="J97" s="2">
        <v>2.1383519373181223</v>
      </c>
      <c r="K97" s="2">
        <v>0.4856979408458813</v>
      </c>
      <c r="L97" s="2">
        <v>5.4784816247582203E-3</v>
      </c>
      <c r="M97" s="2">
        <f t="shared" si="2"/>
        <v>0.49117642247063953</v>
      </c>
      <c r="N97" s="1">
        <v>74.135142159295611</v>
      </c>
      <c r="O97" s="1">
        <v>16.838802473388064</v>
      </c>
      <c r="P97" s="1">
        <v>0.18993506493506493</v>
      </c>
      <c r="Q97" s="1">
        <v>91.163879697618739</v>
      </c>
      <c r="R97" t="s">
        <v>12</v>
      </c>
      <c r="S97" t="s">
        <v>13</v>
      </c>
      <c r="T97">
        <v>7</v>
      </c>
      <c r="U97">
        <v>4</v>
      </c>
      <c r="V97">
        <v>5</v>
      </c>
      <c r="W97">
        <v>5</v>
      </c>
      <c r="X97">
        <v>2</v>
      </c>
      <c r="Y97">
        <v>20020518</v>
      </c>
      <c r="Z97">
        <v>73.0334</v>
      </c>
      <c r="AA97">
        <v>-160.482</v>
      </c>
      <c r="AB97">
        <v>148</v>
      </c>
      <c r="AC97">
        <v>71.3</v>
      </c>
      <c r="AD97">
        <v>2</v>
      </c>
      <c r="AE97">
        <v>-1.6771</v>
      </c>
      <c r="AF97">
        <v>2</v>
      </c>
      <c r="AG97">
        <v>32.513199999999998</v>
      </c>
      <c r="AH97">
        <v>2</v>
      </c>
      <c r="AI97">
        <v>-999</v>
      </c>
      <c r="AJ97">
        <v>9</v>
      </c>
      <c r="AK97">
        <v>297.7</v>
      </c>
      <c r="AL97">
        <v>2</v>
      </c>
      <c r="AM97">
        <v>-999</v>
      </c>
      <c r="AN97">
        <v>9</v>
      </c>
      <c r="AO97">
        <v>-999</v>
      </c>
      <c r="AP97">
        <v>9</v>
      </c>
      <c r="AQ97">
        <v>34.32</v>
      </c>
      <c r="AR97">
        <v>2</v>
      </c>
      <c r="AS97">
        <v>35.06</v>
      </c>
      <c r="AT97">
        <v>2</v>
      </c>
      <c r="AU97">
        <v>9.08</v>
      </c>
      <c r="AV97">
        <v>2</v>
      </c>
      <c r="AW97">
        <v>9.2799999999999994</v>
      </c>
      <c r="AX97">
        <v>2</v>
      </c>
      <c r="AY97">
        <v>0.11</v>
      </c>
      <c r="AZ97">
        <v>2</v>
      </c>
      <c r="BA97">
        <v>0.11</v>
      </c>
      <c r="BB97">
        <v>2</v>
      </c>
      <c r="BC97">
        <v>1.66</v>
      </c>
      <c r="BD97">
        <v>2</v>
      </c>
      <c r="BE97">
        <v>1.7</v>
      </c>
      <c r="BF97">
        <v>2</v>
      </c>
      <c r="BG97">
        <v>2.19</v>
      </c>
      <c r="BH97">
        <v>2</v>
      </c>
      <c r="BI97">
        <v>2.2400000000000002</v>
      </c>
      <c r="BJ97">
        <v>2</v>
      </c>
      <c r="BK97">
        <v>0</v>
      </c>
      <c r="BL97">
        <v>2</v>
      </c>
      <c r="BM97">
        <v>0</v>
      </c>
      <c r="BN97">
        <v>2</v>
      </c>
      <c r="BO97">
        <v>0.159</v>
      </c>
      <c r="BP97">
        <v>2</v>
      </c>
      <c r="BQ97">
        <v>0.81</v>
      </c>
      <c r="BR97">
        <v>2</v>
      </c>
      <c r="BS97">
        <v>0.32600000000000001</v>
      </c>
      <c r="BT97">
        <v>2</v>
      </c>
      <c r="BU97">
        <v>-10.95</v>
      </c>
      <c r="BV97">
        <v>2</v>
      </c>
      <c r="BW97">
        <v>0.1</v>
      </c>
      <c r="BX97">
        <v>2</v>
      </c>
      <c r="BY97">
        <v>0.15</v>
      </c>
      <c r="BZ97">
        <v>2</v>
      </c>
    </row>
    <row r="98" spans="1:78">
      <c r="A98" t="s">
        <v>52</v>
      </c>
      <c r="B98">
        <v>192</v>
      </c>
      <c r="C98">
        <v>54</v>
      </c>
      <c r="E98">
        <v>2158</v>
      </c>
      <c r="F98" t="s">
        <v>17</v>
      </c>
      <c r="G98">
        <v>60.1</v>
      </c>
      <c r="H98" s="52">
        <v>219206.70115792067</v>
      </c>
      <c r="I98" s="52"/>
      <c r="J98" s="2">
        <v>1.6834122658130797</v>
      </c>
      <c r="K98" s="2">
        <v>0.45568511266751272</v>
      </c>
      <c r="L98" s="2">
        <v>3.7196892835219333E-2</v>
      </c>
      <c r="M98" s="2">
        <f t="shared" si="2"/>
        <v>0.49288200550273203</v>
      </c>
      <c r="N98" s="1">
        <v>76.795657109055142</v>
      </c>
      <c r="O98" s="1">
        <v>20.787918903046148</v>
      </c>
      <c r="P98" s="1">
        <v>1.6968866662713009</v>
      </c>
      <c r="Q98" s="1">
        <v>99.280462678372587</v>
      </c>
      <c r="R98" t="s">
        <v>53</v>
      </c>
      <c r="S98" t="s">
        <v>69</v>
      </c>
      <c r="T98">
        <v>54</v>
      </c>
      <c r="U98">
        <v>2</v>
      </c>
      <c r="V98">
        <v>205</v>
      </c>
      <c r="W98">
        <v>5</v>
      </c>
      <c r="X98">
        <v>2</v>
      </c>
      <c r="Y98">
        <v>20040819</v>
      </c>
      <c r="Z98">
        <v>73.498000000000005</v>
      </c>
      <c r="AA98">
        <v>-159.554</v>
      </c>
      <c r="AB98">
        <v>2215</v>
      </c>
      <c r="AC98">
        <v>61.8</v>
      </c>
      <c r="AD98">
        <v>2</v>
      </c>
      <c r="AE98">
        <v>-1.0089999999999999</v>
      </c>
      <c r="AF98">
        <v>2</v>
      </c>
      <c r="AG98">
        <v>32.313000000000002</v>
      </c>
      <c r="AH98">
        <v>2</v>
      </c>
      <c r="AI98">
        <v>-999</v>
      </c>
      <c r="AJ98">
        <v>9</v>
      </c>
      <c r="AK98">
        <v>322.8</v>
      </c>
      <c r="AL98">
        <v>2</v>
      </c>
      <c r="AM98">
        <v>333.7</v>
      </c>
      <c r="AN98">
        <v>2</v>
      </c>
      <c r="AO98">
        <v>7.6669999999999998</v>
      </c>
      <c r="AP98">
        <v>2</v>
      </c>
      <c r="AQ98">
        <v>19</v>
      </c>
      <c r="AR98">
        <v>2</v>
      </c>
      <c r="AS98">
        <v>19.420000000000002</v>
      </c>
      <c r="AT98">
        <v>2</v>
      </c>
      <c r="AU98">
        <v>8.26</v>
      </c>
      <c r="AV98">
        <v>2</v>
      </c>
      <c r="AW98">
        <v>8.44</v>
      </c>
      <c r="AX98">
        <v>2</v>
      </c>
      <c r="AY98">
        <v>0.08</v>
      </c>
      <c r="AZ98">
        <v>2</v>
      </c>
      <c r="BA98">
        <v>0.08</v>
      </c>
      <c r="BB98">
        <v>2</v>
      </c>
      <c r="BC98">
        <v>1.48</v>
      </c>
      <c r="BD98">
        <v>2</v>
      </c>
      <c r="BE98">
        <v>1.51</v>
      </c>
      <c r="BF98">
        <v>2</v>
      </c>
      <c r="BG98">
        <v>0.53</v>
      </c>
      <c r="BH98">
        <v>2</v>
      </c>
      <c r="BI98">
        <v>0.54</v>
      </c>
      <c r="BJ98">
        <v>2</v>
      </c>
      <c r="BK98">
        <v>0.09</v>
      </c>
      <c r="BL98">
        <v>2</v>
      </c>
      <c r="BM98">
        <v>0.09</v>
      </c>
      <c r="BN98">
        <v>2</v>
      </c>
      <c r="BO98">
        <v>-999</v>
      </c>
      <c r="BP98">
        <v>9</v>
      </c>
      <c r="BS98">
        <v>0.35</v>
      </c>
      <c r="BT98">
        <v>2</v>
      </c>
      <c r="BU98">
        <v>-10.54</v>
      </c>
      <c r="BV98">
        <v>2</v>
      </c>
      <c r="BW98">
        <v>0.15</v>
      </c>
      <c r="BX98">
        <v>2</v>
      </c>
      <c r="BY98">
        <v>0.08</v>
      </c>
      <c r="BZ98">
        <v>2</v>
      </c>
    </row>
    <row r="99" spans="1:78">
      <c r="A99" t="s">
        <v>27</v>
      </c>
      <c r="B99">
        <v>43</v>
      </c>
      <c r="C99">
        <v>17</v>
      </c>
      <c r="E99">
        <v>3090</v>
      </c>
      <c r="F99" t="s">
        <v>17</v>
      </c>
      <c r="G99">
        <v>100</v>
      </c>
      <c r="H99" s="52">
        <v>756418.43971631199</v>
      </c>
      <c r="I99" s="52">
        <v>148619.37089312726</v>
      </c>
      <c r="J99" s="2">
        <v>6.7233742623499415</v>
      </c>
      <c r="K99" s="2">
        <v>0.4743868544332337</v>
      </c>
      <c r="L99" s="2">
        <v>2.1740702547995584E-2</v>
      </c>
      <c r="M99" s="2">
        <f t="shared" si="2"/>
        <v>0.49612755698122929</v>
      </c>
      <c r="N99" s="1">
        <v>88.884325253512898</v>
      </c>
      <c r="O99" s="1">
        <v>6.2714871759491784</v>
      </c>
      <c r="P99" s="1">
        <v>0.28741634796937576</v>
      </c>
      <c r="Q99" s="1">
        <v>95.443228777431443</v>
      </c>
      <c r="R99" t="s">
        <v>29</v>
      </c>
      <c r="S99" t="s">
        <v>30</v>
      </c>
      <c r="T99">
        <v>17</v>
      </c>
      <c r="U99">
        <v>8</v>
      </c>
      <c r="V99">
        <v>6</v>
      </c>
      <c r="W99">
        <v>6</v>
      </c>
      <c r="X99">
        <v>2</v>
      </c>
      <c r="Y99">
        <v>20020728</v>
      </c>
      <c r="Z99">
        <v>72.485500000000002</v>
      </c>
      <c r="AA99">
        <v>-153.5566</v>
      </c>
      <c r="AB99">
        <v>3149</v>
      </c>
      <c r="AC99">
        <v>101.3</v>
      </c>
      <c r="AD99">
        <v>2</v>
      </c>
      <c r="AE99">
        <v>-1.5711999999999999</v>
      </c>
      <c r="AF99">
        <v>2</v>
      </c>
      <c r="AG99">
        <v>32.666600000000003</v>
      </c>
      <c r="AH99">
        <v>2</v>
      </c>
      <c r="AI99">
        <v>32.6554</v>
      </c>
      <c r="AJ99">
        <v>2</v>
      </c>
      <c r="AK99">
        <v>300.7</v>
      </c>
      <c r="AL99">
        <v>2</v>
      </c>
      <c r="AM99">
        <v>311.39999999999998</v>
      </c>
      <c r="AN99">
        <v>2</v>
      </c>
      <c r="AO99">
        <v>7.1550000000000002</v>
      </c>
      <c r="AP99">
        <v>2</v>
      </c>
      <c r="AQ99">
        <v>30.26</v>
      </c>
      <c r="AR99">
        <v>2</v>
      </c>
      <c r="AS99">
        <v>30.91</v>
      </c>
      <c r="AT99">
        <v>2</v>
      </c>
      <c r="AU99">
        <v>11.5</v>
      </c>
      <c r="AV99">
        <v>2</v>
      </c>
      <c r="AW99">
        <v>11.75</v>
      </c>
      <c r="AX99">
        <v>2</v>
      </c>
      <c r="AY99">
        <v>0.09</v>
      </c>
      <c r="AZ99">
        <v>2</v>
      </c>
      <c r="BA99">
        <v>0.09</v>
      </c>
      <c r="BB99">
        <v>2</v>
      </c>
      <c r="BC99">
        <v>1.63</v>
      </c>
      <c r="BD99">
        <v>2</v>
      </c>
      <c r="BE99">
        <v>1.67</v>
      </c>
      <c r="BF99">
        <v>2</v>
      </c>
      <c r="BG99">
        <v>0.71</v>
      </c>
      <c r="BH99">
        <v>2</v>
      </c>
      <c r="BI99">
        <v>0.73</v>
      </c>
      <c r="BJ99">
        <v>2</v>
      </c>
      <c r="BK99">
        <v>0.02</v>
      </c>
      <c r="BL99">
        <v>2</v>
      </c>
      <c r="BM99">
        <v>0.02</v>
      </c>
      <c r="BN99">
        <v>2</v>
      </c>
      <c r="BO99">
        <v>0.15</v>
      </c>
      <c r="BP99">
        <v>2</v>
      </c>
      <c r="BQ99">
        <v>1.17</v>
      </c>
      <c r="BR99">
        <v>2</v>
      </c>
      <c r="BS99">
        <v>0</v>
      </c>
      <c r="BT99">
        <v>2</v>
      </c>
      <c r="BU99">
        <v>-9.7200000000000006</v>
      </c>
      <c r="BV99">
        <v>2</v>
      </c>
      <c r="BW99">
        <v>0.93</v>
      </c>
      <c r="BX99">
        <v>2</v>
      </c>
      <c r="BY99">
        <v>0.71</v>
      </c>
      <c r="BZ99">
        <v>2</v>
      </c>
    </row>
    <row r="100" spans="1:78">
      <c r="A100" t="s">
        <v>10</v>
      </c>
      <c r="B100">
        <v>93</v>
      </c>
      <c r="C100">
        <v>32</v>
      </c>
      <c r="E100">
        <v>1690</v>
      </c>
      <c r="F100" t="s">
        <v>20</v>
      </c>
      <c r="G100">
        <v>110</v>
      </c>
      <c r="H100" s="52">
        <v>279609.92907801399</v>
      </c>
      <c r="I100" s="52">
        <v>33450.62295655514</v>
      </c>
      <c r="J100" s="2">
        <v>1.2925442431583849</v>
      </c>
      <c r="K100" s="2">
        <v>0.47936824773181108</v>
      </c>
      <c r="L100" s="2">
        <v>1.7898874407009564E-2</v>
      </c>
      <c r="M100" s="2">
        <f t="shared" si="2"/>
        <v>0.49726712213882063</v>
      </c>
      <c r="N100" s="1">
        <v>46.226693287338591</v>
      </c>
      <c r="O100" s="1">
        <v>17.144178295544808</v>
      </c>
      <c r="P100" s="1">
        <v>0.64013729648404571</v>
      </c>
      <c r="Q100" s="1">
        <v>64.011008879367438</v>
      </c>
      <c r="R100" t="s">
        <v>12</v>
      </c>
      <c r="S100" t="s">
        <v>13</v>
      </c>
      <c r="T100">
        <v>32</v>
      </c>
      <c r="U100">
        <v>7</v>
      </c>
      <c r="V100">
        <v>2</v>
      </c>
      <c r="W100">
        <v>2</v>
      </c>
      <c r="X100">
        <v>2</v>
      </c>
      <c r="Y100">
        <v>20020606</v>
      </c>
      <c r="Z100">
        <v>72.126499999999993</v>
      </c>
      <c r="AA100">
        <v>-154.488</v>
      </c>
      <c r="AB100">
        <v>1674</v>
      </c>
      <c r="AC100">
        <v>110.9</v>
      </c>
      <c r="AD100">
        <v>2</v>
      </c>
      <c r="AE100">
        <v>-1.5487</v>
      </c>
      <c r="AF100">
        <v>2</v>
      </c>
      <c r="AG100">
        <v>33.064</v>
      </c>
      <c r="AH100">
        <v>2</v>
      </c>
      <c r="AI100">
        <v>-999</v>
      </c>
      <c r="AJ100">
        <v>9</v>
      </c>
      <c r="AK100">
        <v>282.60000000000002</v>
      </c>
      <c r="AL100">
        <v>2</v>
      </c>
      <c r="AM100">
        <v>293.5</v>
      </c>
      <c r="AN100">
        <v>2</v>
      </c>
      <c r="AO100">
        <v>6.7460000000000004</v>
      </c>
      <c r="AP100">
        <v>2</v>
      </c>
      <c r="AQ100">
        <v>32.39</v>
      </c>
      <c r="AR100">
        <v>2</v>
      </c>
      <c r="AS100">
        <v>33.1</v>
      </c>
      <c r="AT100">
        <v>2</v>
      </c>
      <c r="AU100">
        <v>13.69</v>
      </c>
      <c r="AV100">
        <v>2</v>
      </c>
      <c r="AW100">
        <v>13.99</v>
      </c>
      <c r="AX100">
        <v>2</v>
      </c>
      <c r="AY100">
        <v>0.01</v>
      </c>
      <c r="AZ100">
        <v>2</v>
      </c>
      <c r="BA100">
        <v>0.01</v>
      </c>
      <c r="BB100">
        <v>2</v>
      </c>
      <c r="BC100">
        <v>1.76</v>
      </c>
      <c r="BD100">
        <v>2</v>
      </c>
      <c r="BE100">
        <v>1.8</v>
      </c>
      <c r="BF100">
        <v>2</v>
      </c>
      <c r="BG100">
        <v>0.21</v>
      </c>
      <c r="BH100">
        <v>2</v>
      </c>
      <c r="BI100">
        <v>0.21</v>
      </c>
      <c r="BJ100">
        <v>2</v>
      </c>
      <c r="BK100">
        <v>0</v>
      </c>
      <c r="BL100">
        <v>2</v>
      </c>
      <c r="BM100">
        <v>0</v>
      </c>
      <c r="BN100">
        <v>2</v>
      </c>
      <c r="BO100">
        <v>0.16400000000000001</v>
      </c>
      <c r="BP100">
        <v>2</v>
      </c>
      <c r="BQ100">
        <v>0.70099999999999996</v>
      </c>
      <c r="BR100">
        <v>2</v>
      </c>
      <c r="BS100">
        <v>0.14099999999999999</v>
      </c>
      <c r="BT100">
        <v>2</v>
      </c>
      <c r="BU100">
        <v>-10.1</v>
      </c>
      <c r="BV100">
        <v>2</v>
      </c>
      <c r="BW100">
        <v>-999</v>
      </c>
      <c r="BX100">
        <v>9</v>
      </c>
      <c r="BY100">
        <v>-999</v>
      </c>
      <c r="BZ100">
        <v>9</v>
      </c>
    </row>
    <row r="101" spans="1:78">
      <c r="A101" t="s">
        <v>27</v>
      </c>
      <c r="B101">
        <v>35</v>
      </c>
      <c r="C101">
        <v>16</v>
      </c>
      <c r="E101">
        <v>291</v>
      </c>
      <c r="F101" t="s">
        <v>20</v>
      </c>
      <c r="G101">
        <v>3.9</v>
      </c>
      <c r="H101" s="52">
        <v>1084592.1985815605</v>
      </c>
      <c r="I101" s="52">
        <v>184857.55193507861</v>
      </c>
      <c r="J101" s="2">
        <v>7.2867653930774123</v>
      </c>
      <c r="K101" s="2">
        <v>0.43789661589211759</v>
      </c>
      <c r="L101" s="2">
        <v>7.6017946654238375E-2</v>
      </c>
      <c r="M101" s="2">
        <f t="shared" si="2"/>
        <v>0.51391456254635592</v>
      </c>
      <c r="N101" s="1">
        <v>77.432782472216459</v>
      </c>
      <c r="O101" s="1">
        <v>4.0374309944770275</v>
      </c>
      <c r="P101" s="1">
        <v>0.70088966851923995</v>
      </c>
      <c r="Q101" s="1">
        <v>82.171103135212718</v>
      </c>
      <c r="R101" t="s">
        <v>29</v>
      </c>
      <c r="S101" t="s">
        <v>30</v>
      </c>
      <c r="T101">
        <v>16</v>
      </c>
      <c r="U101">
        <v>2</v>
      </c>
      <c r="V101">
        <v>10</v>
      </c>
      <c r="W101">
        <v>10</v>
      </c>
      <c r="X101">
        <v>2</v>
      </c>
      <c r="Y101">
        <v>20020725</v>
      </c>
      <c r="Z101">
        <v>72.141400000000004</v>
      </c>
      <c r="AA101">
        <v>-154.2687</v>
      </c>
      <c r="AB101">
        <v>1347</v>
      </c>
      <c r="AC101">
        <v>5.0999999999999996</v>
      </c>
      <c r="AD101">
        <v>2</v>
      </c>
      <c r="AE101">
        <v>-1.4875</v>
      </c>
      <c r="AF101">
        <v>2</v>
      </c>
      <c r="AG101">
        <v>29.139299999999999</v>
      </c>
      <c r="AH101">
        <v>2</v>
      </c>
      <c r="AI101">
        <v>-999</v>
      </c>
      <c r="AJ101">
        <v>9</v>
      </c>
      <c r="AK101">
        <v>392.2</v>
      </c>
      <c r="AL101">
        <v>2</v>
      </c>
      <c r="AM101">
        <v>404.5</v>
      </c>
      <c r="AN101">
        <v>2</v>
      </c>
      <c r="AO101">
        <v>9.2690000000000001</v>
      </c>
      <c r="AP101">
        <v>2</v>
      </c>
      <c r="AQ101">
        <v>4.96</v>
      </c>
      <c r="AR101">
        <v>2</v>
      </c>
      <c r="AS101">
        <v>5.05</v>
      </c>
      <c r="AT101">
        <v>2</v>
      </c>
      <c r="AU101">
        <v>0.12</v>
      </c>
      <c r="AV101">
        <v>2</v>
      </c>
      <c r="AW101">
        <v>0.12</v>
      </c>
      <c r="AX101">
        <v>2</v>
      </c>
      <c r="AY101">
        <v>0</v>
      </c>
      <c r="AZ101">
        <v>2</v>
      </c>
      <c r="BA101">
        <v>0</v>
      </c>
      <c r="BB101">
        <v>2</v>
      </c>
      <c r="BC101">
        <v>0.72</v>
      </c>
      <c r="BD101">
        <v>2</v>
      </c>
      <c r="BE101">
        <v>0.73</v>
      </c>
      <c r="BF101">
        <v>2</v>
      </c>
      <c r="BG101">
        <v>0.16</v>
      </c>
      <c r="BH101">
        <v>2</v>
      </c>
      <c r="BI101">
        <v>0.16</v>
      </c>
      <c r="BJ101">
        <v>2</v>
      </c>
      <c r="BK101">
        <v>0.04</v>
      </c>
      <c r="BL101">
        <v>2</v>
      </c>
      <c r="BM101">
        <v>0.04</v>
      </c>
      <c r="BN101">
        <v>2</v>
      </c>
      <c r="BO101">
        <v>0.114</v>
      </c>
      <c r="BP101">
        <v>2</v>
      </c>
      <c r="BQ101">
        <v>1.3320000000000001</v>
      </c>
      <c r="BR101">
        <v>2</v>
      </c>
      <c r="BS101">
        <v>2.327</v>
      </c>
      <c r="BT101">
        <v>2</v>
      </c>
      <c r="BU101">
        <v>-7.33</v>
      </c>
      <c r="BV101">
        <v>2</v>
      </c>
      <c r="BW101">
        <v>0.56000000000000005</v>
      </c>
      <c r="BX101">
        <v>2</v>
      </c>
      <c r="BY101">
        <v>0.54</v>
      </c>
      <c r="BZ101">
        <v>2</v>
      </c>
    </row>
    <row r="102" spans="1:78">
      <c r="A102" t="s">
        <v>52</v>
      </c>
      <c r="B102">
        <v>172</v>
      </c>
      <c r="C102">
        <v>50</v>
      </c>
      <c r="E102">
        <v>3320</v>
      </c>
      <c r="F102" t="s">
        <v>17</v>
      </c>
      <c r="G102">
        <v>100</v>
      </c>
      <c r="H102" s="52">
        <v>395267.30721852672</v>
      </c>
      <c r="I102" s="52"/>
      <c r="J102" s="2">
        <v>3.1328065227073161</v>
      </c>
      <c r="K102" s="2">
        <v>0.47848324338263248</v>
      </c>
      <c r="L102" s="2">
        <v>4.9004309935671043E-2</v>
      </c>
      <c r="M102" s="2">
        <f t="shared" si="2"/>
        <v>0.52748755331830355</v>
      </c>
      <c r="N102" s="1">
        <v>79.257921550676556</v>
      </c>
      <c r="O102" s="1">
        <v>12.1053078421712</v>
      </c>
      <c r="P102" s="1">
        <v>1.2397764510430054</v>
      </c>
      <c r="Q102" s="1">
        <v>92.603005843890756</v>
      </c>
      <c r="R102" t="s">
        <v>53</v>
      </c>
      <c r="S102" t="s">
        <v>67</v>
      </c>
      <c r="T102">
        <v>50</v>
      </c>
      <c r="U102">
        <v>1</v>
      </c>
      <c r="V102">
        <v>103</v>
      </c>
      <c r="W102">
        <v>3</v>
      </c>
      <c r="X102">
        <v>2</v>
      </c>
      <c r="Y102">
        <v>20040816</v>
      </c>
      <c r="Z102">
        <v>73.388000000000005</v>
      </c>
      <c r="AA102">
        <v>-157.41200000000001</v>
      </c>
      <c r="AB102">
        <v>3157</v>
      </c>
      <c r="AC102">
        <v>101.3</v>
      </c>
      <c r="AD102">
        <v>2</v>
      </c>
      <c r="AE102">
        <v>-1.3260000000000001</v>
      </c>
      <c r="AF102">
        <v>2</v>
      </c>
      <c r="AG102">
        <v>32.520000000000003</v>
      </c>
      <c r="AH102">
        <v>2</v>
      </c>
      <c r="AI102">
        <v>32.517699999999998</v>
      </c>
      <c r="AJ102">
        <v>2</v>
      </c>
      <c r="AK102">
        <v>315.89999999999998</v>
      </c>
      <c r="AL102">
        <v>2</v>
      </c>
      <c r="AM102">
        <v>337.5</v>
      </c>
      <c r="AN102">
        <v>2</v>
      </c>
      <c r="AO102">
        <v>7.7549999999999999</v>
      </c>
      <c r="AP102">
        <v>2</v>
      </c>
      <c r="AQ102">
        <v>24.1</v>
      </c>
      <c r="AR102">
        <v>2</v>
      </c>
      <c r="AS102">
        <v>24.63</v>
      </c>
      <c r="AT102">
        <v>2</v>
      </c>
      <c r="AU102">
        <v>9.4</v>
      </c>
      <c r="AV102">
        <v>2</v>
      </c>
      <c r="AW102">
        <v>9.61</v>
      </c>
      <c r="AX102">
        <v>2</v>
      </c>
      <c r="AY102">
        <v>0.14000000000000001</v>
      </c>
      <c r="AZ102">
        <v>2</v>
      </c>
      <c r="BA102">
        <v>0.14000000000000001</v>
      </c>
      <c r="BB102">
        <v>2</v>
      </c>
      <c r="BC102">
        <v>1.58</v>
      </c>
      <c r="BD102">
        <v>2</v>
      </c>
      <c r="BE102">
        <v>1.61</v>
      </c>
      <c r="BF102">
        <v>2</v>
      </c>
      <c r="BG102">
        <v>1.05</v>
      </c>
      <c r="BH102">
        <v>2</v>
      </c>
      <c r="BI102">
        <v>1.07</v>
      </c>
      <c r="BJ102">
        <v>2</v>
      </c>
      <c r="BK102">
        <v>0.1</v>
      </c>
      <c r="BL102">
        <v>2</v>
      </c>
      <c r="BM102">
        <v>0.1</v>
      </c>
      <c r="BN102">
        <v>2</v>
      </c>
      <c r="BO102">
        <v>-999</v>
      </c>
      <c r="BP102">
        <v>9</v>
      </c>
      <c r="BS102">
        <v>0.16300000000000001</v>
      </c>
      <c r="BT102">
        <v>2</v>
      </c>
      <c r="BU102">
        <v>-10.41</v>
      </c>
      <c r="BV102">
        <v>2</v>
      </c>
      <c r="BW102">
        <v>0.05</v>
      </c>
      <c r="BX102">
        <v>2</v>
      </c>
      <c r="BY102">
        <v>0.08</v>
      </c>
      <c r="BZ102">
        <v>2</v>
      </c>
    </row>
    <row r="103" spans="1:78">
      <c r="A103" t="s">
        <v>52</v>
      </c>
      <c r="B103">
        <v>115</v>
      </c>
      <c r="C103">
        <v>37</v>
      </c>
      <c r="E103">
        <v>3804</v>
      </c>
      <c r="F103" t="s">
        <v>17</v>
      </c>
      <c r="G103">
        <v>200</v>
      </c>
      <c r="H103" s="52">
        <v>332490.76127124904</v>
      </c>
      <c r="I103" s="52"/>
      <c r="J103" s="2">
        <v>2.0216059186305926</v>
      </c>
      <c r="K103" s="2">
        <v>0.49618634476173618</v>
      </c>
      <c r="L103" s="2">
        <v>3.6654175711892258E-2</v>
      </c>
      <c r="M103" s="2">
        <f t="shared" si="2"/>
        <v>0.5328405204736284</v>
      </c>
      <c r="N103" s="1">
        <v>60.801867423358203</v>
      </c>
      <c r="O103" s="1">
        <v>14.923312240755548</v>
      </c>
      <c r="P103" s="1">
        <v>1.1024118556482068</v>
      </c>
      <c r="Q103" s="1">
        <v>76.827591519761967</v>
      </c>
      <c r="R103" t="s">
        <v>53</v>
      </c>
      <c r="S103" t="s">
        <v>64</v>
      </c>
      <c r="T103">
        <v>37</v>
      </c>
      <c r="U103">
        <v>1</v>
      </c>
      <c r="V103">
        <v>111</v>
      </c>
      <c r="W103">
        <v>11</v>
      </c>
      <c r="X103">
        <v>2</v>
      </c>
      <c r="Y103">
        <v>20040809</v>
      </c>
      <c r="Z103">
        <v>72.694000000000003</v>
      </c>
      <c r="AA103">
        <v>-152.95699999999999</v>
      </c>
      <c r="AB103">
        <v>3769</v>
      </c>
      <c r="AC103">
        <v>201.7</v>
      </c>
      <c r="AD103">
        <v>2</v>
      </c>
      <c r="AE103">
        <v>-1.2370000000000001</v>
      </c>
      <c r="AF103">
        <v>2</v>
      </c>
      <c r="AG103">
        <v>33.802</v>
      </c>
      <c r="AH103">
        <v>2</v>
      </c>
      <c r="AI103">
        <v>33.7971</v>
      </c>
      <c r="AJ103">
        <v>2</v>
      </c>
      <c r="AK103">
        <v>266.7</v>
      </c>
      <c r="AL103">
        <v>2</v>
      </c>
      <c r="AM103">
        <v>275.5</v>
      </c>
      <c r="AN103">
        <v>2</v>
      </c>
      <c r="AO103">
        <v>6.3369999999999997</v>
      </c>
      <c r="AP103">
        <v>2</v>
      </c>
      <c r="AQ103">
        <v>28.56</v>
      </c>
      <c r="AR103">
        <v>2</v>
      </c>
      <c r="AS103">
        <v>29.24</v>
      </c>
      <c r="AT103">
        <v>2</v>
      </c>
      <c r="AU103">
        <v>14.51</v>
      </c>
      <c r="AV103">
        <v>2</v>
      </c>
      <c r="AW103">
        <v>14.85</v>
      </c>
      <c r="AX103">
        <v>2</v>
      </c>
      <c r="AY103">
        <v>0.01</v>
      </c>
      <c r="AZ103">
        <v>2</v>
      </c>
      <c r="BA103">
        <v>0.01</v>
      </c>
      <c r="BB103">
        <v>2</v>
      </c>
      <c r="BC103">
        <v>1.58</v>
      </c>
      <c r="BD103">
        <v>2</v>
      </c>
      <c r="BE103">
        <v>1.62</v>
      </c>
      <c r="BF103">
        <v>2</v>
      </c>
      <c r="BG103">
        <v>0.01</v>
      </c>
      <c r="BH103">
        <v>2</v>
      </c>
      <c r="BI103">
        <v>0.01</v>
      </c>
      <c r="BJ103">
        <v>2</v>
      </c>
      <c r="BK103">
        <v>7.0000000000000007E-2</v>
      </c>
      <c r="BL103">
        <v>2</v>
      </c>
      <c r="BM103">
        <v>7.0000000000000007E-2</v>
      </c>
      <c r="BN103">
        <v>2</v>
      </c>
      <c r="BO103">
        <v>-999</v>
      </c>
      <c r="BP103">
        <v>9</v>
      </c>
      <c r="BS103">
        <v>0.153</v>
      </c>
      <c r="BT103">
        <v>2</v>
      </c>
      <c r="BU103">
        <v>-7.02</v>
      </c>
      <c r="BV103">
        <v>2</v>
      </c>
      <c r="BW103">
        <v>-999</v>
      </c>
      <c r="BX103">
        <v>9</v>
      </c>
      <c r="BY103">
        <v>-999</v>
      </c>
      <c r="BZ103">
        <v>9</v>
      </c>
    </row>
    <row r="104" spans="1:78">
      <c r="A104" t="s">
        <v>52</v>
      </c>
      <c r="B104">
        <v>113</v>
      </c>
      <c r="C104">
        <v>37</v>
      </c>
      <c r="E104">
        <v>3804</v>
      </c>
      <c r="F104" t="s">
        <v>17</v>
      </c>
      <c r="G104">
        <v>98.9</v>
      </c>
      <c r="H104" s="52">
        <v>173402.31584134023</v>
      </c>
      <c r="I104" s="52"/>
      <c r="J104" s="2">
        <v>1.1341118564795087</v>
      </c>
      <c r="K104" s="2">
        <v>0.17054353443436163</v>
      </c>
      <c r="L104" s="2">
        <v>0.37769457696867148</v>
      </c>
      <c r="M104" s="2">
        <f t="shared" si="2"/>
        <v>0.54823811140303313</v>
      </c>
      <c r="N104" s="1">
        <v>65.403501157227865</v>
      </c>
      <c r="O104" s="1">
        <v>9.835135915393753</v>
      </c>
      <c r="P104" s="1">
        <v>21.781403272275483</v>
      </c>
      <c r="Q104" s="1">
        <v>97.020040344897097</v>
      </c>
      <c r="R104" t="s">
        <v>53</v>
      </c>
      <c r="S104" t="s">
        <v>64</v>
      </c>
      <c r="T104">
        <v>37</v>
      </c>
      <c r="U104">
        <v>5</v>
      </c>
      <c r="V104">
        <v>504</v>
      </c>
      <c r="W104">
        <v>4</v>
      </c>
      <c r="X104">
        <v>2</v>
      </c>
      <c r="Y104">
        <v>20040809</v>
      </c>
      <c r="Z104">
        <v>72.765600000000006</v>
      </c>
      <c r="AA104">
        <v>-152.88480000000001</v>
      </c>
      <c r="AB104">
        <v>3861</v>
      </c>
      <c r="AC104">
        <v>101.1</v>
      </c>
      <c r="AD104">
        <v>2</v>
      </c>
      <c r="AE104">
        <v>-1.3680000000000001</v>
      </c>
      <c r="AF104">
        <v>2</v>
      </c>
      <c r="AG104">
        <v>32.448</v>
      </c>
      <c r="AH104">
        <v>2</v>
      </c>
      <c r="AI104">
        <v>-999</v>
      </c>
      <c r="AJ104">
        <v>9</v>
      </c>
      <c r="AK104">
        <v>289.2</v>
      </c>
      <c r="AL104">
        <v>2</v>
      </c>
      <c r="AM104">
        <v>301.8</v>
      </c>
      <c r="AN104">
        <v>2</v>
      </c>
      <c r="AO104">
        <v>6.9349999999999996</v>
      </c>
      <c r="AP104">
        <v>2</v>
      </c>
      <c r="AQ104">
        <v>24.24</v>
      </c>
      <c r="AR104">
        <v>2</v>
      </c>
      <c r="AS104">
        <v>24.79</v>
      </c>
      <c r="AT104">
        <v>2</v>
      </c>
      <c r="AU104">
        <v>11.63</v>
      </c>
      <c r="AV104">
        <v>2</v>
      </c>
      <c r="AW104">
        <v>11.89</v>
      </c>
      <c r="AX104">
        <v>2</v>
      </c>
      <c r="AY104">
        <v>0.01</v>
      </c>
      <c r="AZ104">
        <v>2</v>
      </c>
      <c r="BA104">
        <v>0.01</v>
      </c>
      <c r="BB104">
        <v>2</v>
      </c>
      <c r="BC104">
        <v>1.64</v>
      </c>
      <c r="BD104">
        <v>2</v>
      </c>
      <c r="BE104">
        <v>1.68</v>
      </c>
      <c r="BF104">
        <v>2</v>
      </c>
      <c r="BG104">
        <v>0.05</v>
      </c>
      <c r="BH104">
        <v>2</v>
      </c>
      <c r="BI104">
        <v>0.05</v>
      </c>
      <c r="BJ104">
        <v>2</v>
      </c>
      <c r="BK104">
        <v>0.06</v>
      </c>
      <c r="BL104">
        <v>2</v>
      </c>
      <c r="BM104">
        <v>0.06</v>
      </c>
      <c r="BN104">
        <v>2</v>
      </c>
      <c r="BO104">
        <v>-999</v>
      </c>
      <c r="BP104">
        <v>9</v>
      </c>
      <c r="BS104">
        <v>0.23699999999999999</v>
      </c>
      <c r="BT104">
        <v>2</v>
      </c>
      <c r="BU104">
        <v>-10.4</v>
      </c>
      <c r="BV104">
        <v>2</v>
      </c>
      <c r="BW104">
        <v>0.04</v>
      </c>
      <c r="BX104">
        <v>2</v>
      </c>
      <c r="BY104">
        <v>0.05</v>
      </c>
      <c r="BZ104">
        <v>2</v>
      </c>
    </row>
    <row r="105" spans="1:78">
      <c r="A105" t="s">
        <v>52</v>
      </c>
      <c r="B105">
        <v>171</v>
      </c>
      <c r="C105">
        <v>50</v>
      </c>
      <c r="E105">
        <v>3320</v>
      </c>
      <c r="F105" t="s">
        <v>17</v>
      </c>
      <c r="G105">
        <v>51.2</v>
      </c>
      <c r="H105" s="52">
        <v>363163.34072431631</v>
      </c>
      <c r="I105" s="52"/>
      <c r="J105" s="2">
        <v>2.6856676885994926</v>
      </c>
      <c r="K105" s="2">
        <v>0.1612996744320323</v>
      </c>
      <c r="L105" s="2">
        <v>0.3957851762162703</v>
      </c>
      <c r="M105" s="2">
        <f t="shared" si="2"/>
        <v>0.5570848506483026</v>
      </c>
      <c r="N105" s="1">
        <v>73.952059237119698</v>
      </c>
      <c r="O105" s="1">
        <v>4.4415186320933682</v>
      </c>
      <c r="P105" s="1">
        <v>10.898268955971462</v>
      </c>
      <c r="Q105" s="1">
        <v>89.291846825184521</v>
      </c>
      <c r="R105" t="s">
        <v>53</v>
      </c>
      <c r="S105" t="s">
        <v>67</v>
      </c>
      <c r="T105">
        <v>50</v>
      </c>
      <c r="U105">
        <v>5</v>
      </c>
      <c r="V105">
        <v>505</v>
      </c>
      <c r="W105">
        <v>5</v>
      </c>
      <c r="X105">
        <v>2</v>
      </c>
      <c r="Y105">
        <v>20040816</v>
      </c>
      <c r="Z105">
        <v>73.429000000000002</v>
      </c>
      <c r="AA105">
        <v>-157.16</v>
      </c>
      <c r="AB105">
        <v>3373</v>
      </c>
      <c r="AC105">
        <v>52.8</v>
      </c>
      <c r="AD105">
        <v>2</v>
      </c>
      <c r="AE105">
        <v>-0.39400000000000002</v>
      </c>
      <c r="AF105">
        <v>2</v>
      </c>
      <c r="AG105">
        <v>31.657</v>
      </c>
      <c r="AH105">
        <v>2</v>
      </c>
      <c r="AI105">
        <v>-999</v>
      </c>
      <c r="AJ105">
        <v>9</v>
      </c>
      <c r="AK105">
        <v>383</v>
      </c>
      <c r="AL105">
        <v>2</v>
      </c>
      <c r="AM105">
        <v>412.3</v>
      </c>
      <c r="AN105">
        <v>2</v>
      </c>
      <c r="AO105">
        <v>9.4670000000000005</v>
      </c>
      <c r="AP105">
        <v>2</v>
      </c>
      <c r="AQ105">
        <v>4.22</v>
      </c>
      <c r="AR105">
        <v>2</v>
      </c>
      <c r="AS105">
        <v>4.3099999999999996</v>
      </c>
      <c r="AT105">
        <v>2</v>
      </c>
      <c r="AU105">
        <v>0.23</v>
      </c>
      <c r="AV105">
        <v>2</v>
      </c>
      <c r="AW105">
        <v>0.24</v>
      </c>
      <c r="AX105">
        <v>2</v>
      </c>
      <c r="AY105">
        <v>0.03</v>
      </c>
      <c r="AZ105">
        <v>2</v>
      </c>
      <c r="BA105">
        <v>0.03</v>
      </c>
      <c r="BB105">
        <v>2</v>
      </c>
      <c r="BC105">
        <v>0.86</v>
      </c>
      <c r="BD105">
        <v>2</v>
      </c>
      <c r="BE105">
        <v>0.88</v>
      </c>
      <c r="BF105">
        <v>2</v>
      </c>
      <c r="BG105">
        <v>0.37</v>
      </c>
      <c r="BH105">
        <v>2</v>
      </c>
      <c r="BI105">
        <v>0.38</v>
      </c>
      <c r="BJ105">
        <v>2</v>
      </c>
      <c r="BK105">
        <v>0.11</v>
      </c>
      <c r="BL105">
        <v>2</v>
      </c>
      <c r="BM105">
        <v>0.11</v>
      </c>
      <c r="BN105">
        <v>2</v>
      </c>
      <c r="BO105">
        <v>-999</v>
      </c>
      <c r="BP105">
        <v>9</v>
      </c>
      <c r="BS105">
        <v>0.28799999999999998</v>
      </c>
      <c r="BT105">
        <v>2</v>
      </c>
      <c r="BU105">
        <v>-9.09</v>
      </c>
      <c r="BV105">
        <v>2</v>
      </c>
      <c r="BW105">
        <v>0.15</v>
      </c>
      <c r="BX105">
        <v>2</v>
      </c>
      <c r="BY105">
        <v>0.02</v>
      </c>
      <c r="BZ105">
        <v>2</v>
      </c>
    </row>
    <row r="106" spans="1:78">
      <c r="A106" t="s">
        <v>10</v>
      </c>
      <c r="B106">
        <v>20</v>
      </c>
      <c r="C106">
        <v>7</v>
      </c>
      <c r="E106">
        <v>164</v>
      </c>
      <c r="F106" t="s">
        <v>15</v>
      </c>
      <c r="G106">
        <v>140</v>
      </c>
      <c r="H106" s="52">
        <v>226631.20567375887</v>
      </c>
      <c r="I106" s="52">
        <v>40570.072568208838</v>
      </c>
      <c r="J106" s="2">
        <v>1.5415515979359993</v>
      </c>
      <c r="K106" s="2">
        <v>0.53013743981320194</v>
      </c>
      <c r="L106" s="2">
        <v>2.8499351591319586E-2</v>
      </c>
      <c r="M106" s="2">
        <f t="shared" si="2"/>
        <v>0.55863679140452149</v>
      </c>
      <c r="N106" s="1">
        <v>68.0202707898532</v>
      </c>
      <c r="O106" s="1">
        <v>23.392076048712713</v>
      </c>
      <c r="P106" s="1">
        <v>1.2575210684950906</v>
      </c>
      <c r="Q106" s="1">
        <v>92.669867907061004</v>
      </c>
      <c r="R106" t="s">
        <v>12</v>
      </c>
      <c r="S106" t="s">
        <v>13</v>
      </c>
      <c r="T106">
        <v>7</v>
      </c>
      <c r="U106">
        <v>4</v>
      </c>
      <c r="V106">
        <v>2</v>
      </c>
      <c r="W106">
        <v>2</v>
      </c>
      <c r="X106">
        <v>2</v>
      </c>
      <c r="Y106">
        <v>20020518</v>
      </c>
      <c r="Z106">
        <v>73.0334</v>
      </c>
      <c r="AA106">
        <v>-160.482</v>
      </c>
      <c r="AB106">
        <v>148</v>
      </c>
      <c r="AC106">
        <v>141</v>
      </c>
      <c r="AD106">
        <v>2</v>
      </c>
      <c r="AE106">
        <v>0.1017</v>
      </c>
      <c r="AF106">
        <v>2</v>
      </c>
      <c r="AG106">
        <v>34.511200000000002</v>
      </c>
      <c r="AH106">
        <v>2</v>
      </c>
      <c r="AI106">
        <v>-999</v>
      </c>
      <c r="AJ106">
        <v>9</v>
      </c>
      <c r="AK106">
        <v>272.2</v>
      </c>
      <c r="AL106">
        <v>2</v>
      </c>
      <c r="AM106">
        <v>-999</v>
      </c>
      <c r="AN106">
        <v>9</v>
      </c>
      <c r="AO106">
        <v>-999</v>
      </c>
      <c r="AP106">
        <v>9</v>
      </c>
      <c r="AQ106">
        <v>17</v>
      </c>
      <c r="AR106">
        <v>2</v>
      </c>
      <c r="AS106">
        <v>17.39</v>
      </c>
      <c r="AT106">
        <v>2</v>
      </c>
      <c r="AU106">
        <v>12.71</v>
      </c>
      <c r="AV106">
        <v>2</v>
      </c>
      <c r="AW106">
        <v>13</v>
      </c>
      <c r="AX106">
        <v>2</v>
      </c>
      <c r="AY106">
        <v>0.08</v>
      </c>
      <c r="AZ106">
        <v>2</v>
      </c>
      <c r="BA106">
        <v>0.08</v>
      </c>
      <c r="BB106">
        <v>2</v>
      </c>
      <c r="BC106">
        <v>1.18</v>
      </c>
      <c r="BD106">
        <v>2</v>
      </c>
      <c r="BE106">
        <v>1.21</v>
      </c>
      <c r="BF106">
        <v>2</v>
      </c>
      <c r="BG106">
        <v>0.32</v>
      </c>
      <c r="BH106">
        <v>2</v>
      </c>
      <c r="BI106">
        <v>0.33</v>
      </c>
      <c r="BJ106">
        <v>2</v>
      </c>
      <c r="BK106">
        <v>0.01</v>
      </c>
      <c r="BL106">
        <v>2</v>
      </c>
      <c r="BM106">
        <v>0.01</v>
      </c>
      <c r="BN106">
        <v>2</v>
      </c>
      <c r="BO106">
        <v>0.13100000000000001</v>
      </c>
      <c r="BP106">
        <v>2</v>
      </c>
      <c r="BQ106">
        <v>0.72299999999999998</v>
      </c>
      <c r="BR106">
        <v>2</v>
      </c>
      <c r="BS106">
        <v>0.13700000000000001</v>
      </c>
      <c r="BT106">
        <v>2</v>
      </c>
      <c r="BU106">
        <v>-2.58</v>
      </c>
      <c r="BV106">
        <v>2</v>
      </c>
      <c r="BW106">
        <v>-999</v>
      </c>
      <c r="BX106">
        <v>9</v>
      </c>
      <c r="BY106">
        <v>-999</v>
      </c>
      <c r="BZ106">
        <v>9</v>
      </c>
    </row>
    <row r="107" spans="1:78">
      <c r="A107" t="s">
        <v>41</v>
      </c>
      <c r="B107">
        <v>76</v>
      </c>
      <c r="C107">
        <v>21</v>
      </c>
      <c r="E107">
        <v>398</v>
      </c>
      <c r="F107" t="s">
        <v>20</v>
      </c>
      <c r="G107">
        <v>0</v>
      </c>
      <c r="H107" s="52">
        <v>727214.81285369163</v>
      </c>
      <c r="I107" s="52">
        <v>309090.23595966416</v>
      </c>
      <c r="J107" s="2">
        <v>6.2170881132852047</v>
      </c>
      <c r="K107" s="2">
        <v>0.33654087156727558</v>
      </c>
      <c r="L107" s="2">
        <v>0.23596186340853087</v>
      </c>
      <c r="M107" s="2">
        <f t="shared" si="2"/>
        <v>0.5725027349758065</v>
      </c>
      <c r="N107" s="1">
        <v>85.491769466142884</v>
      </c>
      <c r="O107" s="1">
        <v>4.6278055069676389</v>
      </c>
      <c r="P107" s="1">
        <v>3.2447340075841393</v>
      </c>
      <c r="Q107" s="1">
        <v>93.364308980694659</v>
      </c>
      <c r="R107" t="s">
        <v>42</v>
      </c>
      <c r="S107" t="s">
        <v>47</v>
      </c>
      <c r="T107">
        <v>21</v>
      </c>
      <c r="U107">
        <v>1</v>
      </c>
      <c r="V107">
        <v>12</v>
      </c>
      <c r="W107">
        <v>12</v>
      </c>
      <c r="X107">
        <v>2</v>
      </c>
      <c r="Y107">
        <v>20040606</v>
      </c>
      <c r="Z107">
        <v>72.629000000000005</v>
      </c>
      <c r="AA107">
        <v>-157.392</v>
      </c>
      <c r="AB107">
        <v>384</v>
      </c>
      <c r="AC107">
        <v>2.1</v>
      </c>
      <c r="AD107">
        <v>2</v>
      </c>
      <c r="AE107">
        <v>-1.4991000000000001</v>
      </c>
      <c r="AF107">
        <v>2</v>
      </c>
      <c r="AG107">
        <v>29.656099999999999</v>
      </c>
      <c r="AH107">
        <v>2</v>
      </c>
      <c r="AI107">
        <v>29.654599999999999</v>
      </c>
      <c r="AJ107">
        <v>2</v>
      </c>
      <c r="AK107">
        <v>414.9</v>
      </c>
      <c r="AL107">
        <v>2</v>
      </c>
      <c r="AM107">
        <v>399.1</v>
      </c>
      <c r="AN107">
        <v>2</v>
      </c>
      <c r="AO107">
        <v>9.1489999999999991</v>
      </c>
      <c r="AP107">
        <v>2</v>
      </c>
      <c r="AQ107">
        <v>4.0599999999999996</v>
      </c>
      <c r="AR107">
        <v>2</v>
      </c>
      <c r="AS107">
        <v>4.1399999999999997</v>
      </c>
      <c r="AT107">
        <v>2</v>
      </c>
      <c r="AU107">
        <v>0.18</v>
      </c>
      <c r="AV107">
        <v>2</v>
      </c>
      <c r="AW107">
        <v>0.18</v>
      </c>
      <c r="AX107">
        <v>2</v>
      </c>
      <c r="AY107">
        <v>0.02</v>
      </c>
      <c r="AZ107">
        <v>2</v>
      </c>
      <c r="BA107">
        <v>0.02</v>
      </c>
      <c r="BB107">
        <v>2</v>
      </c>
      <c r="BC107">
        <v>0.7</v>
      </c>
      <c r="BD107">
        <v>2</v>
      </c>
      <c r="BE107">
        <v>0.71</v>
      </c>
      <c r="BF107">
        <v>2</v>
      </c>
      <c r="BG107">
        <v>0.16</v>
      </c>
      <c r="BH107">
        <v>2</v>
      </c>
      <c r="BI107">
        <v>0.16</v>
      </c>
      <c r="BJ107">
        <v>2</v>
      </c>
      <c r="BK107">
        <v>0.16</v>
      </c>
      <c r="BL107">
        <v>2</v>
      </c>
      <c r="BM107">
        <v>0.16</v>
      </c>
      <c r="BN107">
        <v>2</v>
      </c>
      <c r="BO107">
        <v>0.111</v>
      </c>
      <c r="BP107">
        <v>2</v>
      </c>
      <c r="BQ107">
        <v>1.331</v>
      </c>
      <c r="BR107">
        <v>2</v>
      </c>
      <c r="BS107">
        <v>2.56</v>
      </c>
      <c r="BT107">
        <v>2</v>
      </c>
      <c r="BU107">
        <v>-6.98</v>
      </c>
      <c r="BV107">
        <v>2</v>
      </c>
      <c r="BW107">
        <v>0.44</v>
      </c>
      <c r="BX107">
        <v>2</v>
      </c>
      <c r="BY107">
        <v>0.25</v>
      </c>
      <c r="BZ107">
        <v>2</v>
      </c>
    </row>
    <row r="108" spans="1:78">
      <c r="A108" t="s">
        <v>52</v>
      </c>
      <c r="B108">
        <v>193</v>
      </c>
      <c r="C108">
        <v>54</v>
      </c>
      <c r="E108">
        <v>2158</v>
      </c>
      <c r="F108" t="s">
        <v>17</v>
      </c>
      <c r="G108">
        <v>100</v>
      </c>
      <c r="H108" s="52">
        <v>272168.02168021677</v>
      </c>
      <c r="I108" s="52"/>
      <c r="J108" s="2">
        <v>2.0450937386181618</v>
      </c>
      <c r="K108" s="2">
        <v>0.34328570496718475</v>
      </c>
      <c r="L108" s="2">
        <v>0.25025621588524377</v>
      </c>
      <c r="M108" s="2">
        <f t="shared" si="2"/>
        <v>0.59354192085242852</v>
      </c>
      <c r="N108" s="1">
        <v>75.14085328588088</v>
      </c>
      <c r="O108" s="1">
        <v>12.613006584973732</v>
      </c>
      <c r="P108" s="1">
        <v>9.1949162263920101</v>
      </c>
      <c r="Q108" s="1">
        <v>96.948776097246622</v>
      </c>
      <c r="R108" t="s">
        <v>53</v>
      </c>
      <c r="S108" t="s">
        <v>69</v>
      </c>
      <c r="T108">
        <v>54</v>
      </c>
      <c r="U108">
        <v>1</v>
      </c>
      <c r="V108">
        <v>103</v>
      </c>
      <c r="W108">
        <v>3</v>
      </c>
      <c r="X108">
        <v>2</v>
      </c>
      <c r="Y108">
        <v>20040819</v>
      </c>
      <c r="Z108">
        <v>73.480999999999995</v>
      </c>
      <c r="AA108">
        <v>-159.60400000000001</v>
      </c>
      <c r="AB108">
        <v>2165</v>
      </c>
      <c r="AC108">
        <v>102.3</v>
      </c>
      <c r="AD108">
        <v>2</v>
      </c>
      <c r="AE108">
        <v>-1.5289999999999999</v>
      </c>
      <c r="AF108">
        <v>2</v>
      </c>
      <c r="AG108">
        <v>32.844999999999999</v>
      </c>
      <c r="AH108">
        <v>2</v>
      </c>
      <c r="AI108">
        <v>-999</v>
      </c>
      <c r="AJ108">
        <v>9</v>
      </c>
      <c r="AK108">
        <v>276.7</v>
      </c>
      <c r="AL108">
        <v>2</v>
      </c>
      <c r="AM108">
        <v>290.89999999999998</v>
      </c>
      <c r="AN108">
        <v>2</v>
      </c>
      <c r="AO108">
        <v>6.6859999999999999</v>
      </c>
      <c r="AP108">
        <v>2</v>
      </c>
      <c r="AQ108">
        <v>31.02</v>
      </c>
      <c r="AR108">
        <v>2</v>
      </c>
      <c r="AS108">
        <v>31.72</v>
      </c>
      <c r="AT108">
        <v>2</v>
      </c>
      <c r="AU108">
        <v>13.87</v>
      </c>
      <c r="AV108">
        <v>2</v>
      </c>
      <c r="AW108">
        <v>14.18</v>
      </c>
      <c r="AX108">
        <v>2</v>
      </c>
      <c r="AY108">
        <v>0.03</v>
      </c>
      <c r="AZ108">
        <v>2</v>
      </c>
      <c r="BA108">
        <v>0.03</v>
      </c>
      <c r="BB108">
        <v>2</v>
      </c>
      <c r="BC108">
        <v>1.8</v>
      </c>
      <c r="BD108">
        <v>2</v>
      </c>
      <c r="BE108">
        <v>1.84</v>
      </c>
      <c r="BF108">
        <v>2</v>
      </c>
      <c r="BG108">
        <v>0.11</v>
      </c>
      <c r="BH108">
        <v>2</v>
      </c>
      <c r="BI108">
        <v>0.11</v>
      </c>
      <c r="BJ108">
        <v>2</v>
      </c>
      <c r="BK108">
        <v>7.0000000000000007E-2</v>
      </c>
      <c r="BL108">
        <v>2</v>
      </c>
      <c r="BM108">
        <v>7.0000000000000007E-2</v>
      </c>
      <c r="BN108">
        <v>2</v>
      </c>
      <c r="BO108">
        <v>-999</v>
      </c>
      <c r="BP108">
        <v>9</v>
      </c>
      <c r="BS108">
        <v>0.158</v>
      </c>
      <c r="BT108">
        <v>2</v>
      </c>
      <c r="BU108">
        <v>-10.56</v>
      </c>
      <c r="BV108">
        <v>2</v>
      </c>
      <c r="BW108">
        <v>0.02</v>
      </c>
      <c r="BX108">
        <v>2</v>
      </c>
      <c r="BY108">
        <v>0.05</v>
      </c>
      <c r="BZ108">
        <v>2</v>
      </c>
    </row>
    <row r="109" spans="1:78">
      <c r="A109" t="s">
        <v>27</v>
      </c>
      <c r="B109">
        <v>30</v>
      </c>
      <c r="C109">
        <v>14</v>
      </c>
      <c r="D109" t="s">
        <v>32</v>
      </c>
      <c r="E109">
        <v>291</v>
      </c>
      <c r="F109" t="s">
        <v>20</v>
      </c>
      <c r="G109">
        <v>200</v>
      </c>
      <c r="H109" s="52">
        <v>191312.05673758901</v>
      </c>
      <c r="I109" s="52">
        <v>48063.273912766854</v>
      </c>
      <c r="J109" s="2">
        <v>1.2777720487317092</v>
      </c>
      <c r="K109" s="2">
        <v>0.64134197313547503</v>
      </c>
      <c r="L109" s="2">
        <v>1.7081433637284734E-3</v>
      </c>
      <c r="M109" s="2">
        <f t="shared" si="2"/>
        <v>0.64305011649920352</v>
      </c>
      <c r="N109" s="1">
        <v>66.789938413779666</v>
      </c>
      <c r="O109" s="1">
        <v>33.523343174087785</v>
      </c>
      <c r="P109" s="1">
        <v>8.9285714285714288E-2</v>
      </c>
      <c r="Q109" s="1">
        <v>100.40256730215316</v>
      </c>
      <c r="R109" t="s">
        <v>29</v>
      </c>
      <c r="S109" t="s">
        <v>30</v>
      </c>
      <c r="T109">
        <v>14</v>
      </c>
      <c r="U109">
        <v>1</v>
      </c>
      <c r="V109">
        <v>1</v>
      </c>
      <c r="W109">
        <v>1</v>
      </c>
      <c r="X109">
        <v>2</v>
      </c>
      <c r="Y109">
        <v>20020723</v>
      </c>
      <c r="Z109">
        <v>71.829099999999997</v>
      </c>
      <c r="AA109">
        <v>-155.01580000000001</v>
      </c>
      <c r="AB109">
        <v>281</v>
      </c>
      <c r="AC109">
        <v>201.3</v>
      </c>
      <c r="AD109">
        <v>2</v>
      </c>
      <c r="AE109">
        <v>0.62480000000000002</v>
      </c>
      <c r="AF109">
        <v>2</v>
      </c>
      <c r="AG109">
        <v>34.777500000000003</v>
      </c>
      <c r="AH109">
        <v>2</v>
      </c>
      <c r="AI109">
        <v>-999</v>
      </c>
      <c r="AJ109">
        <v>9</v>
      </c>
      <c r="AK109">
        <v>284.10000000000002</v>
      </c>
      <c r="AL109">
        <v>2</v>
      </c>
      <c r="AM109">
        <v>-999</v>
      </c>
      <c r="AN109">
        <v>9</v>
      </c>
      <c r="AO109">
        <v>-999</v>
      </c>
      <c r="AP109">
        <v>9</v>
      </c>
      <c r="AQ109">
        <v>8.84</v>
      </c>
      <c r="AR109">
        <v>2</v>
      </c>
      <c r="AS109">
        <v>9.0399999999999991</v>
      </c>
      <c r="AT109">
        <v>2</v>
      </c>
      <c r="AU109">
        <v>12.48</v>
      </c>
      <c r="AV109">
        <v>2</v>
      </c>
      <c r="AW109">
        <v>12.77</v>
      </c>
      <c r="AX109">
        <v>2</v>
      </c>
      <c r="AY109">
        <v>0.01</v>
      </c>
      <c r="AZ109">
        <v>2</v>
      </c>
      <c r="BA109">
        <v>0.01</v>
      </c>
      <c r="BB109">
        <v>2</v>
      </c>
      <c r="BC109">
        <v>0.9</v>
      </c>
      <c r="BD109">
        <v>2</v>
      </c>
      <c r="BE109">
        <v>0.92</v>
      </c>
      <c r="BF109">
        <v>2</v>
      </c>
      <c r="BG109">
        <v>0.01</v>
      </c>
      <c r="BH109">
        <v>2</v>
      </c>
      <c r="BI109">
        <v>0.01</v>
      </c>
      <c r="BJ109">
        <v>2</v>
      </c>
      <c r="BK109">
        <v>0.03</v>
      </c>
      <c r="BL109">
        <v>2</v>
      </c>
      <c r="BM109">
        <v>0.03</v>
      </c>
      <c r="BN109">
        <v>2</v>
      </c>
      <c r="BO109">
        <v>0.108</v>
      </c>
      <c r="BP109">
        <v>2</v>
      </c>
      <c r="BQ109">
        <v>0.71899999999999997</v>
      </c>
      <c r="BR109">
        <v>2</v>
      </c>
      <c r="BS109">
        <v>0.13700000000000001</v>
      </c>
      <c r="BT109">
        <v>2</v>
      </c>
      <c r="BU109">
        <v>0.91</v>
      </c>
      <c r="BV109">
        <v>2</v>
      </c>
      <c r="BW109">
        <v>-999</v>
      </c>
      <c r="BX109">
        <v>9</v>
      </c>
      <c r="BY109">
        <v>-999</v>
      </c>
      <c r="BZ109">
        <v>9</v>
      </c>
    </row>
    <row r="110" spans="1:78">
      <c r="A110" t="s">
        <v>27</v>
      </c>
      <c r="B110">
        <v>7</v>
      </c>
      <c r="C110">
        <v>7</v>
      </c>
      <c r="D110" t="s">
        <v>28</v>
      </c>
      <c r="E110">
        <v>50</v>
      </c>
      <c r="F110" t="s">
        <v>11</v>
      </c>
      <c r="G110">
        <v>17</v>
      </c>
      <c r="H110" s="52">
        <v>1275904.255319149</v>
      </c>
      <c r="I110" s="52">
        <v>233310.15035095144</v>
      </c>
      <c r="J110" s="2">
        <v>6.3566196475245738</v>
      </c>
      <c r="K110" s="2">
        <v>0.56531877768209904</v>
      </c>
      <c r="L110" s="2">
        <v>8.2438344683746209E-2</v>
      </c>
      <c r="M110" s="2">
        <f t="shared" si="2"/>
        <v>0.64775712236584526</v>
      </c>
      <c r="N110" s="1">
        <v>49.820506680060859</v>
      </c>
      <c r="O110" s="1">
        <v>4.4307304041453541</v>
      </c>
      <c r="P110" s="1">
        <v>0.64611701340493966</v>
      </c>
      <c r="Q110" s="1">
        <v>54.897354097611149</v>
      </c>
      <c r="R110" t="s">
        <v>29</v>
      </c>
      <c r="S110" t="s">
        <v>30</v>
      </c>
      <c r="T110">
        <v>7</v>
      </c>
      <c r="U110">
        <v>1</v>
      </c>
      <c r="V110">
        <v>8</v>
      </c>
      <c r="W110">
        <v>8</v>
      </c>
      <c r="X110">
        <v>2</v>
      </c>
      <c r="Y110">
        <v>20020719</v>
      </c>
      <c r="Z110">
        <v>68.510400000000004</v>
      </c>
      <c r="AA110">
        <v>-167.3914</v>
      </c>
      <c r="AB110">
        <v>45</v>
      </c>
      <c r="AC110">
        <v>16.600000000000001</v>
      </c>
      <c r="AD110">
        <v>2</v>
      </c>
      <c r="AE110">
        <v>6.5270000000000001</v>
      </c>
      <c r="AF110">
        <v>2</v>
      </c>
      <c r="AG110">
        <v>31.557600000000001</v>
      </c>
      <c r="AH110">
        <v>2</v>
      </c>
      <c r="AI110">
        <v>31.614799999999999</v>
      </c>
      <c r="AJ110">
        <v>2</v>
      </c>
      <c r="AK110">
        <v>335.3</v>
      </c>
      <c r="AL110">
        <v>2</v>
      </c>
      <c r="AM110">
        <v>337.2</v>
      </c>
      <c r="AN110">
        <v>2</v>
      </c>
      <c r="AO110">
        <v>7.7359999999999998</v>
      </c>
      <c r="AP110">
        <v>2</v>
      </c>
      <c r="AQ110">
        <v>2.84</v>
      </c>
      <c r="AR110">
        <v>2</v>
      </c>
      <c r="AS110">
        <v>2.9</v>
      </c>
      <c r="AT110">
        <v>2</v>
      </c>
      <c r="AU110">
        <v>0</v>
      </c>
      <c r="AV110">
        <v>2</v>
      </c>
      <c r="AW110">
        <v>0</v>
      </c>
      <c r="AX110">
        <v>2</v>
      </c>
      <c r="AY110">
        <v>0</v>
      </c>
      <c r="AZ110">
        <v>2</v>
      </c>
      <c r="BA110">
        <v>0</v>
      </c>
      <c r="BB110">
        <v>2</v>
      </c>
      <c r="BC110">
        <v>0.55000000000000004</v>
      </c>
      <c r="BD110">
        <v>2</v>
      </c>
      <c r="BE110">
        <v>0.56000000000000005</v>
      </c>
      <c r="BF110">
        <v>2</v>
      </c>
      <c r="BG110">
        <v>0.08</v>
      </c>
      <c r="BH110">
        <v>2</v>
      </c>
      <c r="BI110">
        <v>0.08</v>
      </c>
      <c r="BJ110">
        <v>2</v>
      </c>
      <c r="BK110">
        <v>0.09</v>
      </c>
      <c r="BL110">
        <v>2</v>
      </c>
      <c r="BM110">
        <v>0.09</v>
      </c>
      <c r="BN110">
        <v>2</v>
      </c>
      <c r="BO110">
        <v>9.2999999999999999E-2</v>
      </c>
      <c r="BP110">
        <v>2</v>
      </c>
      <c r="BQ110">
        <v>0.95699999999999996</v>
      </c>
      <c r="BR110">
        <v>2</v>
      </c>
      <c r="BS110">
        <v>1.5720000000000001</v>
      </c>
      <c r="BT110">
        <v>2</v>
      </c>
      <c r="BU110">
        <v>-5.13</v>
      </c>
      <c r="BV110">
        <v>2</v>
      </c>
      <c r="BW110">
        <v>0.18</v>
      </c>
      <c r="BX110">
        <v>2</v>
      </c>
      <c r="BY110">
        <v>0.16</v>
      </c>
      <c r="BZ110">
        <v>2</v>
      </c>
    </row>
    <row r="111" spans="1:78">
      <c r="A111" t="s">
        <v>10</v>
      </c>
      <c r="B111">
        <v>14</v>
      </c>
      <c r="C111">
        <v>6</v>
      </c>
      <c r="D111" t="s">
        <v>14</v>
      </c>
      <c r="E111">
        <v>50</v>
      </c>
      <c r="F111" t="s">
        <v>11</v>
      </c>
      <c r="G111">
        <v>17</v>
      </c>
      <c r="H111" s="52">
        <v>510656.02836879442</v>
      </c>
      <c r="I111" s="52">
        <v>104762.96221865126</v>
      </c>
      <c r="J111" s="2">
        <v>1.7971213408014481</v>
      </c>
      <c r="K111" s="2">
        <v>0.60924258179448354</v>
      </c>
      <c r="L111" s="2">
        <v>4.2263960390777768E-2</v>
      </c>
      <c r="M111" s="2">
        <f t="shared" si="2"/>
        <v>0.65150654218526127</v>
      </c>
      <c r="N111" s="1">
        <v>35.192404298879083</v>
      </c>
      <c r="O111" s="1">
        <v>11.930586303673088</v>
      </c>
      <c r="P111" s="1">
        <v>0.82764048680249502</v>
      </c>
      <c r="Q111" s="1">
        <v>47.950631089354665</v>
      </c>
      <c r="R111" t="s">
        <v>12</v>
      </c>
      <c r="S111" t="s">
        <v>13</v>
      </c>
      <c r="T111">
        <v>6</v>
      </c>
      <c r="U111">
        <v>2</v>
      </c>
      <c r="V111">
        <v>9</v>
      </c>
      <c r="W111">
        <v>9</v>
      </c>
      <c r="X111">
        <v>2</v>
      </c>
      <c r="Y111">
        <v>20020517</v>
      </c>
      <c r="Z111">
        <v>72.921199999999999</v>
      </c>
      <c r="AA111">
        <v>-160.51050000000001</v>
      </c>
      <c r="AB111">
        <v>73</v>
      </c>
      <c r="AC111">
        <v>16.5</v>
      </c>
      <c r="AD111">
        <v>2</v>
      </c>
      <c r="AE111">
        <v>-1.6964999999999999</v>
      </c>
      <c r="AF111">
        <v>2</v>
      </c>
      <c r="AG111">
        <v>31.218800000000002</v>
      </c>
      <c r="AH111">
        <v>2</v>
      </c>
      <c r="AI111">
        <v>31.216000000000001</v>
      </c>
      <c r="AJ111">
        <v>2</v>
      </c>
      <c r="AK111">
        <v>347.4</v>
      </c>
      <c r="AL111">
        <v>2</v>
      </c>
      <c r="AM111">
        <v>355.7</v>
      </c>
      <c r="AN111">
        <v>2</v>
      </c>
      <c r="AO111">
        <v>8.1649999999999991</v>
      </c>
      <c r="AP111">
        <v>2</v>
      </c>
      <c r="AQ111">
        <v>15.28</v>
      </c>
      <c r="AR111">
        <v>2</v>
      </c>
      <c r="AS111">
        <v>15.59</v>
      </c>
      <c r="AT111">
        <v>2</v>
      </c>
      <c r="AU111">
        <v>3.76</v>
      </c>
      <c r="AV111">
        <v>2</v>
      </c>
      <c r="AW111">
        <v>3.84</v>
      </c>
      <c r="AX111">
        <v>2</v>
      </c>
      <c r="AY111">
        <v>0.05</v>
      </c>
      <c r="AZ111">
        <v>2</v>
      </c>
      <c r="BA111">
        <v>0.05</v>
      </c>
      <c r="BB111">
        <v>2</v>
      </c>
      <c r="BC111">
        <v>1.1200000000000001</v>
      </c>
      <c r="BD111">
        <v>2</v>
      </c>
      <c r="BE111">
        <v>1.1399999999999999</v>
      </c>
      <c r="BF111">
        <v>2</v>
      </c>
      <c r="BG111">
        <v>0.06</v>
      </c>
      <c r="BH111">
        <v>2</v>
      </c>
      <c r="BI111">
        <v>0.06</v>
      </c>
      <c r="BJ111">
        <v>2</v>
      </c>
      <c r="BK111">
        <v>0.06</v>
      </c>
      <c r="BL111">
        <v>2</v>
      </c>
      <c r="BM111">
        <v>0.06</v>
      </c>
      <c r="BN111">
        <v>2</v>
      </c>
      <c r="BO111">
        <v>0.14699999999999999</v>
      </c>
      <c r="BP111">
        <v>2</v>
      </c>
      <c r="BQ111">
        <v>1.153</v>
      </c>
      <c r="BR111">
        <v>2</v>
      </c>
      <c r="BS111">
        <v>2.0070000000000001</v>
      </c>
      <c r="BT111">
        <v>2</v>
      </c>
      <c r="BU111">
        <v>-9.84</v>
      </c>
      <c r="BV111">
        <v>2</v>
      </c>
      <c r="BW111">
        <v>0.74</v>
      </c>
      <c r="BX111">
        <v>2</v>
      </c>
      <c r="BY111">
        <v>0.53</v>
      </c>
      <c r="BZ111">
        <v>2</v>
      </c>
    </row>
    <row r="112" spans="1:78">
      <c r="A112" t="s">
        <v>27</v>
      </c>
      <c r="B112">
        <v>63</v>
      </c>
      <c r="C112">
        <v>26</v>
      </c>
      <c r="D112" t="s">
        <v>37</v>
      </c>
      <c r="E112">
        <v>165</v>
      </c>
      <c r="F112" t="s">
        <v>15</v>
      </c>
      <c r="G112">
        <v>100</v>
      </c>
      <c r="H112" s="52">
        <v>418679.07801418437</v>
      </c>
      <c r="I112" s="52">
        <v>144417.02540898253</v>
      </c>
      <c r="J112" s="2">
        <v>1.9211785818667924</v>
      </c>
      <c r="K112" s="2">
        <v>0.64005974342725469</v>
      </c>
      <c r="L112" s="2">
        <v>1.6469157241033386E-2</v>
      </c>
      <c r="M112" s="2">
        <f t="shared" si="2"/>
        <v>0.65652890066828806</v>
      </c>
      <c r="N112" s="1">
        <v>45.886663144932811</v>
      </c>
      <c r="O112" s="1">
        <v>15.287597996610907</v>
      </c>
      <c r="P112" s="1">
        <v>0.39335992902123068</v>
      </c>
      <c r="Q112" s="1">
        <v>61.567621070564947</v>
      </c>
      <c r="R112" t="s">
        <v>29</v>
      </c>
      <c r="S112" t="s">
        <v>30</v>
      </c>
      <c r="T112">
        <v>26</v>
      </c>
      <c r="U112">
        <v>4</v>
      </c>
      <c r="V112">
        <v>1</v>
      </c>
      <c r="W112">
        <v>1</v>
      </c>
      <c r="X112">
        <v>2</v>
      </c>
      <c r="Y112">
        <v>20020806</v>
      </c>
      <c r="Z112">
        <v>72.609200000000001</v>
      </c>
      <c r="AA112">
        <v>-158.7167</v>
      </c>
      <c r="AB112">
        <v>86</v>
      </c>
      <c r="AC112">
        <v>81.5</v>
      </c>
      <c r="AD112">
        <v>2</v>
      </c>
      <c r="AE112">
        <v>-1.6503000000000001</v>
      </c>
      <c r="AF112">
        <v>2</v>
      </c>
      <c r="AG112">
        <v>33.0471</v>
      </c>
      <c r="AH112">
        <v>2</v>
      </c>
      <c r="AI112">
        <v>33.034199999999998</v>
      </c>
      <c r="AJ112">
        <v>3</v>
      </c>
      <c r="AK112">
        <v>272.8</v>
      </c>
      <c r="AL112">
        <v>2</v>
      </c>
      <c r="AM112">
        <v>280.3</v>
      </c>
      <c r="AN112">
        <v>2</v>
      </c>
      <c r="AO112">
        <v>6.4429999999999996</v>
      </c>
      <c r="AP112">
        <v>2</v>
      </c>
      <c r="AQ112">
        <v>45.68</v>
      </c>
      <c r="AR112">
        <v>2</v>
      </c>
      <c r="AS112">
        <v>46.68</v>
      </c>
      <c r="AT112">
        <v>2</v>
      </c>
      <c r="AU112">
        <v>15.57</v>
      </c>
      <c r="AV112">
        <v>2</v>
      </c>
      <c r="AW112">
        <v>15.91</v>
      </c>
      <c r="AX112">
        <v>2</v>
      </c>
      <c r="AY112">
        <v>0.28999999999999998</v>
      </c>
      <c r="AZ112">
        <v>2</v>
      </c>
      <c r="BA112">
        <v>0.3</v>
      </c>
      <c r="BB112">
        <v>2</v>
      </c>
      <c r="BC112">
        <v>2.27</v>
      </c>
      <c r="BD112">
        <v>2</v>
      </c>
      <c r="BE112">
        <v>2.3199999999999998</v>
      </c>
      <c r="BF112">
        <v>2</v>
      </c>
      <c r="BG112">
        <v>4.01</v>
      </c>
      <c r="BH112">
        <v>2</v>
      </c>
      <c r="BI112">
        <v>4.0999999999999996</v>
      </c>
      <c r="BJ112">
        <v>2</v>
      </c>
      <c r="BK112">
        <v>0.13</v>
      </c>
      <c r="BL112">
        <v>2</v>
      </c>
      <c r="BM112">
        <v>0.13</v>
      </c>
      <c r="BN112">
        <v>2</v>
      </c>
      <c r="BO112">
        <v>0.123</v>
      </c>
      <c r="BP112">
        <v>2</v>
      </c>
      <c r="BQ112">
        <v>1.34</v>
      </c>
      <c r="BR112">
        <v>2</v>
      </c>
      <c r="BS112">
        <v>0.14199999999999999</v>
      </c>
      <c r="BT112">
        <v>2</v>
      </c>
      <c r="BU112">
        <v>-12.03</v>
      </c>
      <c r="BV112">
        <v>2</v>
      </c>
      <c r="BW112">
        <v>1.49</v>
      </c>
      <c r="BX112">
        <v>2</v>
      </c>
      <c r="BY112">
        <v>1.01</v>
      </c>
      <c r="BZ112">
        <v>2</v>
      </c>
    </row>
    <row r="113" spans="1:78">
      <c r="A113" t="s">
        <v>52</v>
      </c>
      <c r="B113">
        <v>194</v>
      </c>
      <c r="C113">
        <v>54</v>
      </c>
      <c r="E113">
        <v>2158</v>
      </c>
      <c r="F113" t="s">
        <v>17</v>
      </c>
      <c r="G113">
        <v>150</v>
      </c>
      <c r="H113" s="52">
        <v>269509.73146095098</v>
      </c>
      <c r="I113" s="52"/>
      <c r="J113" s="2">
        <v>1.6553928609247026</v>
      </c>
      <c r="K113" s="2">
        <v>0.64625386138547969</v>
      </c>
      <c r="L113" s="2">
        <v>3.1479883942697934E-2</v>
      </c>
      <c r="M113" s="2">
        <f t="shared" si="2"/>
        <v>0.67773374532817765</v>
      </c>
      <c r="N113" s="1">
        <v>61.422378032555422</v>
      </c>
      <c r="O113" s="1">
        <v>23.978869255751338</v>
      </c>
      <c r="P113" s="1">
        <v>1.1680425701904209</v>
      </c>
      <c r="Q113" s="1">
        <v>86.569289858497186</v>
      </c>
      <c r="R113" t="s">
        <v>53</v>
      </c>
      <c r="S113" t="s">
        <v>69</v>
      </c>
      <c r="T113">
        <v>54</v>
      </c>
      <c r="U113">
        <v>2</v>
      </c>
      <c r="V113">
        <v>202</v>
      </c>
      <c r="W113">
        <v>2</v>
      </c>
      <c r="X113">
        <v>2</v>
      </c>
      <c r="Y113">
        <v>20040819</v>
      </c>
      <c r="Z113">
        <v>73.498000000000005</v>
      </c>
      <c r="AA113">
        <v>-159.554</v>
      </c>
      <c r="AB113">
        <v>2215</v>
      </c>
      <c r="AC113">
        <v>153.4</v>
      </c>
      <c r="AD113">
        <v>2</v>
      </c>
      <c r="AE113">
        <v>-1.45</v>
      </c>
      <c r="AF113">
        <v>2</v>
      </c>
      <c r="AG113">
        <v>33.439</v>
      </c>
      <c r="AH113">
        <v>2</v>
      </c>
      <c r="AI113">
        <v>-999</v>
      </c>
      <c r="AJ113">
        <v>9</v>
      </c>
      <c r="AK113">
        <v>310.89999999999998</v>
      </c>
      <c r="AL113">
        <v>2</v>
      </c>
      <c r="AM113">
        <v>-999</v>
      </c>
      <c r="AN113">
        <v>9</v>
      </c>
      <c r="AO113">
        <v>-999</v>
      </c>
      <c r="AP113">
        <v>9</v>
      </c>
      <c r="AQ113">
        <v>25.65</v>
      </c>
      <c r="AR113">
        <v>2</v>
      </c>
      <c r="AS113">
        <v>26.24</v>
      </c>
      <c r="AT113">
        <v>2</v>
      </c>
      <c r="AU113">
        <v>9.82</v>
      </c>
      <c r="AV113">
        <v>2</v>
      </c>
      <c r="AW113">
        <v>10.050000000000001</v>
      </c>
      <c r="AX113">
        <v>2</v>
      </c>
      <c r="AY113">
        <v>0.12</v>
      </c>
      <c r="AZ113">
        <v>2</v>
      </c>
      <c r="BA113">
        <v>0.12</v>
      </c>
      <c r="BB113">
        <v>2</v>
      </c>
      <c r="BC113">
        <v>1.53</v>
      </c>
      <c r="BD113">
        <v>2</v>
      </c>
      <c r="BE113">
        <v>1.57</v>
      </c>
      <c r="BF113">
        <v>2</v>
      </c>
      <c r="BG113">
        <v>0.59</v>
      </c>
      <c r="BH113">
        <v>2</v>
      </c>
      <c r="BI113">
        <v>0.6</v>
      </c>
      <c r="BJ113">
        <v>2</v>
      </c>
      <c r="BK113">
        <v>0.08</v>
      </c>
      <c r="BL113">
        <v>2</v>
      </c>
      <c r="BM113">
        <v>0.08</v>
      </c>
      <c r="BN113">
        <v>2</v>
      </c>
      <c r="BO113">
        <v>-999</v>
      </c>
      <c r="BP113">
        <v>9</v>
      </c>
      <c r="BS113">
        <v>0.154</v>
      </c>
      <c r="BT113">
        <v>2</v>
      </c>
      <c r="BU113">
        <v>-9.89</v>
      </c>
      <c r="BV113">
        <v>2</v>
      </c>
      <c r="BW113">
        <v>-999</v>
      </c>
      <c r="BX113">
        <v>9</v>
      </c>
      <c r="BY113">
        <v>-999</v>
      </c>
      <c r="BZ113">
        <v>9</v>
      </c>
    </row>
    <row r="114" spans="1:78">
      <c r="A114" t="s">
        <v>41</v>
      </c>
      <c r="B114">
        <v>62</v>
      </c>
      <c r="C114">
        <v>20</v>
      </c>
      <c r="E114">
        <v>2386</v>
      </c>
      <c r="F114" t="s">
        <v>17</v>
      </c>
      <c r="G114">
        <v>86.7</v>
      </c>
      <c r="H114" s="52">
        <v>192799.07084785131</v>
      </c>
      <c r="I114" s="52">
        <v>26725.756908664971</v>
      </c>
      <c r="J114" s="2">
        <v>1.1718249350921903</v>
      </c>
      <c r="K114" s="2">
        <v>3.6833456734704367E-2</v>
      </c>
      <c r="L114" s="2">
        <v>0.65709999748167847</v>
      </c>
      <c r="M114" s="2">
        <f t="shared" ref="M114:M145" si="3">K114+L114</f>
        <v>0.69393345421638286</v>
      </c>
      <c r="N114" s="1">
        <v>60.779594524962413</v>
      </c>
      <c r="O114" s="1">
        <v>1.9104582077458112</v>
      </c>
      <c r="P114" s="1">
        <v>34.082114327212366</v>
      </c>
      <c r="Q114" s="1">
        <v>96.772167059920591</v>
      </c>
      <c r="R114" t="s">
        <v>42</v>
      </c>
      <c r="S114" t="s">
        <v>46</v>
      </c>
      <c r="T114">
        <v>20</v>
      </c>
      <c r="U114">
        <v>1</v>
      </c>
      <c r="V114">
        <v>2</v>
      </c>
      <c r="W114">
        <v>2</v>
      </c>
      <c r="X114">
        <v>2</v>
      </c>
      <c r="Y114">
        <v>20040604</v>
      </c>
      <c r="Z114">
        <v>73.134</v>
      </c>
      <c r="AA114">
        <v>-157.792</v>
      </c>
      <c r="AB114">
        <v>2401</v>
      </c>
      <c r="AC114">
        <v>88.6</v>
      </c>
      <c r="AD114">
        <v>2</v>
      </c>
      <c r="AE114">
        <v>-1.4483999999999999</v>
      </c>
      <c r="AF114">
        <v>2</v>
      </c>
      <c r="AG114">
        <v>32.435499999999998</v>
      </c>
      <c r="AH114">
        <v>2</v>
      </c>
      <c r="AI114">
        <v>-999</v>
      </c>
      <c r="AJ114">
        <v>9</v>
      </c>
      <c r="AK114">
        <v>330.4</v>
      </c>
      <c r="AL114">
        <v>2</v>
      </c>
      <c r="AM114">
        <v>309.5</v>
      </c>
      <c r="AN114">
        <v>2</v>
      </c>
      <c r="AO114">
        <v>7.1109999999999998</v>
      </c>
      <c r="AP114">
        <v>2</v>
      </c>
      <c r="AQ114">
        <v>23.76</v>
      </c>
      <c r="AR114">
        <v>2</v>
      </c>
      <c r="AS114">
        <v>24.29</v>
      </c>
      <c r="AT114">
        <v>2</v>
      </c>
      <c r="AU114">
        <v>10.93</v>
      </c>
      <c r="AV114">
        <v>2</v>
      </c>
      <c r="AW114">
        <v>11.17</v>
      </c>
      <c r="AX114">
        <v>2</v>
      </c>
      <c r="AY114">
        <v>0.01</v>
      </c>
      <c r="AZ114">
        <v>2</v>
      </c>
      <c r="BA114">
        <v>0.01</v>
      </c>
      <c r="BB114">
        <v>2</v>
      </c>
      <c r="BC114">
        <v>1.56</v>
      </c>
      <c r="BD114">
        <v>2</v>
      </c>
      <c r="BE114">
        <v>1.6</v>
      </c>
      <c r="BF114">
        <v>2</v>
      </c>
      <c r="BG114">
        <v>0.19</v>
      </c>
      <c r="BH114">
        <v>2</v>
      </c>
      <c r="BI114">
        <v>0.19</v>
      </c>
      <c r="BJ114">
        <v>2</v>
      </c>
      <c r="BK114">
        <v>0.2</v>
      </c>
      <c r="BL114">
        <v>2</v>
      </c>
      <c r="BM114">
        <v>0.2</v>
      </c>
      <c r="BN114">
        <v>2</v>
      </c>
      <c r="BO114">
        <v>0.161</v>
      </c>
      <c r="BP114">
        <v>2</v>
      </c>
      <c r="BQ114">
        <v>0.70599999999999996</v>
      </c>
      <c r="BR114">
        <v>2</v>
      </c>
      <c r="BS114">
        <v>0.28199999999999997</v>
      </c>
      <c r="BT114">
        <v>2</v>
      </c>
      <c r="BU114">
        <v>-9.7899999999999991</v>
      </c>
      <c r="BV114">
        <v>2</v>
      </c>
      <c r="BW114">
        <v>0</v>
      </c>
      <c r="BX114">
        <v>2</v>
      </c>
      <c r="BY114">
        <v>0.02</v>
      </c>
      <c r="BZ114">
        <v>2</v>
      </c>
    </row>
    <row r="115" spans="1:78">
      <c r="A115" t="s">
        <v>27</v>
      </c>
      <c r="B115">
        <v>5</v>
      </c>
      <c r="C115">
        <v>7</v>
      </c>
      <c r="D115" t="s">
        <v>28</v>
      </c>
      <c r="E115">
        <v>50</v>
      </c>
      <c r="F115" t="s">
        <v>11</v>
      </c>
      <c r="G115">
        <v>38</v>
      </c>
      <c r="H115" s="52">
        <v>1621737.5886524823</v>
      </c>
      <c r="I115" s="52">
        <v>146966.77208691702</v>
      </c>
      <c r="J115" s="2">
        <v>8.7964457991345224</v>
      </c>
      <c r="K115" s="2">
        <v>0.63545917342673852</v>
      </c>
      <c r="L115" s="2">
        <v>6.2745628134336859E-2</v>
      </c>
      <c r="M115" s="2">
        <f t="shared" si="3"/>
        <v>0.69820480156107534</v>
      </c>
      <c r="N115" s="1">
        <v>54.240870167186394</v>
      </c>
      <c r="O115" s="1">
        <v>3.9183846873448114</v>
      </c>
      <c r="P115" s="1">
        <v>0.38690370484951764</v>
      </c>
      <c r="Q115" s="1">
        <v>58.546158559380721</v>
      </c>
      <c r="R115" t="s">
        <v>29</v>
      </c>
      <c r="S115" t="s">
        <v>30</v>
      </c>
      <c r="T115">
        <v>7</v>
      </c>
      <c r="U115">
        <v>2</v>
      </c>
      <c r="V115">
        <v>6</v>
      </c>
      <c r="W115">
        <v>6</v>
      </c>
      <c r="X115">
        <v>2</v>
      </c>
      <c r="Y115">
        <v>20020719</v>
      </c>
      <c r="Z115">
        <v>68.521000000000001</v>
      </c>
      <c r="AA115">
        <v>-167.38650000000001</v>
      </c>
      <c r="AB115">
        <v>45</v>
      </c>
      <c r="AC115">
        <v>28.1</v>
      </c>
      <c r="AD115">
        <v>2</v>
      </c>
      <c r="AE115">
        <v>4.0776000000000003</v>
      </c>
      <c r="AF115">
        <v>2</v>
      </c>
      <c r="AG115">
        <v>31.6784</v>
      </c>
      <c r="AH115">
        <v>2</v>
      </c>
      <c r="AI115">
        <v>-999</v>
      </c>
      <c r="AJ115">
        <v>9</v>
      </c>
      <c r="AK115">
        <v>353.8</v>
      </c>
      <c r="AL115">
        <v>2</v>
      </c>
      <c r="AM115">
        <v>354.4</v>
      </c>
      <c r="AN115">
        <v>2</v>
      </c>
      <c r="AO115">
        <v>8.1340000000000003</v>
      </c>
      <c r="AP115">
        <v>2</v>
      </c>
      <c r="AQ115">
        <v>4.03</v>
      </c>
      <c r="AR115">
        <v>2</v>
      </c>
      <c r="AS115">
        <v>4.1100000000000003</v>
      </c>
      <c r="AT115">
        <v>2</v>
      </c>
      <c r="AU115">
        <v>0.04</v>
      </c>
      <c r="AV115">
        <v>2</v>
      </c>
      <c r="AW115">
        <v>0.04</v>
      </c>
      <c r="AX115">
        <v>2</v>
      </c>
      <c r="AY115">
        <v>0.01</v>
      </c>
      <c r="AZ115">
        <v>2</v>
      </c>
      <c r="BA115">
        <v>0.01</v>
      </c>
      <c r="BB115">
        <v>2</v>
      </c>
      <c r="BC115">
        <v>0.61</v>
      </c>
      <c r="BD115">
        <v>2</v>
      </c>
      <c r="BE115">
        <v>0.62</v>
      </c>
      <c r="BF115">
        <v>2</v>
      </c>
      <c r="BG115">
        <v>0.12</v>
      </c>
      <c r="BH115">
        <v>2</v>
      </c>
      <c r="BI115">
        <v>0.12</v>
      </c>
      <c r="BJ115">
        <v>2</v>
      </c>
      <c r="BK115">
        <v>7.0000000000000007E-2</v>
      </c>
      <c r="BL115">
        <v>2</v>
      </c>
      <c r="BM115">
        <v>7.0000000000000007E-2</v>
      </c>
      <c r="BN115">
        <v>2</v>
      </c>
      <c r="BO115">
        <v>0.105</v>
      </c>
      <c r="BP115">
        <v>2</v>
      </c>
      <c r="BQ115">
        <v>1.2050000000000001</v>
      </c>
      <c r="BR115">
        <v>2</v>
      </c>
      <c r="BS115">
        <v>1.419</v>
      </c>
      <c r="BT115">
        <v>2</v>
      </c>
      <c r="BU115">
        <v>-5.89</v>
      </c>
      <c r="BV115">
        <v>2</v>
      </c>
      <c r="BW115">
        <v>0.24</v>
      </c>
      <c r="BX115">
        <v>2</v>
      </c>
      <c r="BY115">
        <v>0.25</v>
      </c>
      <c r="BZ115">
        <v>2</v>
      </c>
    </row>
    <row r="116" spans="1:78">
      <c r="A116" t="s">
        <v>27</v>
      </c>
      <c r="B116">
        <v>27</v>
      </c>
      <c r="C116">
        <v>14</v>
      </c>
      <c r="D116" t="s">
        <v>32</v>
      </c>
      <c r="E116">
        <v>291</v>
      </c>
      <c r="F116" t="s">
        <v>20</v>
      </c>
      <c r="G116">
        <v>5.7</v>
      </c>
      <c r="H116" s="52">
        <v>1102251.7730496454</v>
      </c>
      <c r="I116" s="52">
        <v>192684.43026143676</v>
      </c>
      <c r="J116" s="2">
        <v>9.7325979589351128</v>
      </c>
      <c r="K116" s="2">
        <v>0.67568732147210719</v>
      </c>
      <c r="L116" s="2">
        <v>3.4106590491934735E-2</v>
      </c>
      <c r="M116" s="2">
        <f t="shared" si="3"/>
        <v>0.70979391196404196</v>
      </c>
      <c r="N116" s="1">
        <v>90.239752062235027</v>
      </c>
      <c r="O116" s="1">
        <v>6.1300633665814415</v>
      </c>
      <c r="P116" s="1">
        <v>0.30942649697510244</v>
      </c>
      <c r="Q116" s="1">
        <v>96.679241925791572</v>
      </c>
      <c r="R116" t="s">
        <v>29</v>
      </c>
      <c r="S116" t="s">
        <v>30</v>
      </c>
      <c r="T116">
        <v>14</v>
      </c>
      <c r="U116">
        <v>1</v>
      </c>
      <c r="V116">
        <v>10</v>
      </c>
      <c r="W116">
        <v>10</v>
      </c>
      <c r="X116">
        <v>2</v>
      </c>
      <c r="Y116">
        <v>20020723</v>
      </c>
      <c r="Z116">
        <v>71.829099999999997</v>
      </c>
      <c r="AA116">
        <v>-155.01580000000001</v>
      </c>
      <c r="AB116">
        <v>281</v>
      </c>
      <c r="AC116">
        <v>6.8</v>
      </c>
      <c r="AD116">
        <v>2</v>
      </c>
      <c r="AE116">
        <v>-1.3197000000000001</v>
      </c>
      <c r="AF116">
        <v>2</v>
      </c>
      <c r="AG116">
        <v>29.489599999999999</v>
      </c>
      <c r="AH116">
        <v>2</v>
      </c>
      <c r="AI116">
        <v>-999</v>
      </c>
      <c r="AJ116">
        <v>9</v>
      </c>
      <c r="AK116">
        <v>409.5</v>
      </c>
      <c r="AL116">
        <v>2</v>
      </c>
      <c r="AM116">
        <v>-999</v>
      </c>
      <c r="AN116">
        <v>9</v>
      </c>
      <c r="AO116">
        <v>-999</v>
      </c>
      <c r="AP116">
        <v>9</v>
      </c>
      <c r="AQ116">
        <v>7.36</v>
      </c>
      <c r="AR116">
        <v>2</v>
      </c>
      <c r="AS116">
        <v>7.5</v>
      </c>
      <c r="AT116">
        <v>2</v>
      </c>
      <c r="AU116">
        <v>0.02</v>
      </c>
      <c r="AV116">
        <v>2</v>
      </c>
      <c r="AW116">
        <v>0.02</v>
      </c>
      <c r="AX116">
        <v>2</v>
      </c>
      <c r="AY116">
        <v>0</v>
      </c>
      <c r="AZ116">
        <v>2</v>
      </c>
      <c r="BA116">
        <v>0</v>
      </c>
      <c r="BB116">
        <v>2</v>
      </c>
      <c r="BC116">
        <v>0.66</v>
      </c>
      <c r="BD116">
        <v>2</v>
      </c>
      <c r="BE116">
        <v>0.67</v>
      </c>
      <c r="BF116">
        <v>2</v>
      </c>
      <c r="BG116">
        <v>0.04</v>
      </c>
      <c r="BH116">
        <v>2</v>
      </c>
      <c r="BI116">
        <v>0.04</v>
      </c>
      <c r="BJ116">
        <v>2</v>
      </c>
      <c r="BK116">
        <v>0.04</v>
      </c>
      <c r="BL116">
        <v>2</v>
      </c>
      <c r="BM116">
        <v>0.04</v>
      </c>
      <c r="BN116">
        <v>2</v>
      </c>
      <c r="BO116">
        <v>0.123</v>
      </c>
      <c r="BP116">
        <v>2</v>
      </c>
      <c r="BQ116">
        <v>1.528</v>
      </c>
      <c r="BR116">
        <v>2</v>
      </c>
      <c r="BS116">
        <v>2.3559999999999999</v>
      </c>
      <c r="BT116">
        <v>2</v>
      </c>
      <c r="BU116">
        <v>-6.68</v>
      </c>
      <c r="BV116">
        <v>2</v>
      </c>
      <c r="BW116">
        <v>0.73</v>
      </c>
      <c r="BX116">
        <v>2</v>
      </c>
      <c r="BY116">
        <v>0.49</v>
      </c>
      <c r="BZ116">
        <v>2</v>
      </c>
    </row>
    <row r="117" spans="1:78">
      <c r="A117" t="s">
        <v>27</v>
      </c>
      <c r="B117">
        <v>56</v>
      </c>
      <c r="C117">
        <v>20</v>
      </c>
      <c r="E117">
        <v>1000</v>
      </c>
      <c r="F117" t="s">
        <v>20</v>
      </c>
      <c r="G117">
        <v>100</v>
      </c>
      <c r="H117" s="52">
        <v>329645.39007092197</v>
      </c>
      <c r="I117" s="52">
        <v>73810.125698616219</v>
      </c>
      <c r="J117" s="2">
        <v>1.3136394922923096</v>
      </c>
      <c r="K117" s="2">
        <v>0.65880121350512111</v>
      </c>
      <c r="L117" s="2">
        <v>5.9241868214541277E-2</v>
      </c>
      <c r="M117" s="2">
        <f t="shared" si="3"/>
        <v>0.71804308171966236</v>
      </c>
      <c r="N117" s="1">
        <v>39.850079262740032</v>
      </c>
      <c r="O117" s="1">
        <v>19.985148688515938</v>
      </c>
      <c r="P117" s="1">
        <v>1.7971392896407745</v>
      </c>
      <c r="Q117" s="1">
        <v>61.632367240896748</v>
      </c>
      <c r="R117" t="s">
        <v>29</v>
      </c>
      <c r="S117" t="s">
        <v>30</v>
      </c>
      <c r="T117">
        <v>20</v>
      </c>
      <c r="U117">
        <v>2</v>
      </c>
      <c r="V117">
        <v>5</v>
      </c>
      <c r="W117">
        <v>5</v>
      </c>
      <c r="X117">
        <v>2</v>
      </c>
      <c r="Y117">
        <v>20020801</v>
      </c>
      <c r="Z117">
        <v>71.688100000000006</v>
      </c>
      <c r="AA117">
        <v>-152.4222</v>
      </c>
      <c r="AB117">
        <v>834</v>
      </c>
      <c r="AC117">
        <v>101.3</v>
      </c>
      <c r="AD117">
        <v>2</v>
      </c>
      <c r="AE117">
        <v>-1.5385</v>
      </c>
      <c r="AF117">
        <v>2</v>
      </c>
      <c r="AG117">
        <v>33.021599999999999</v>
      </c>
      <c r="AH117">
        <v>2</v>
      </c>
      <c r="AI117">
        <v>33.0565</v>
      </c>
      <c r="AJ117">
        <v>2</v>
      </c>
      <c r="AK117">
        <v>301.60000000000002</v>
      </c>
      <c r="AL117">
        <v>2</v>
      </c>
      <c r="AM117">
        <v>306.5</v>
      </c>
      <c r="AN117">
        <v>2</v>
      </c>
      <c r="AO117">
        <v>7.0449999999999999</v>
      </c>
      <c r="AP117">
        <v>2</v>
      </c>
      <c r="AQ117">
        <v>37.71</v>
      </c>
      <c r="AR117">
        <v>2</v>
      </c>
      <c r="AS117">
        <v>38.54</v>
      </c>
      <c r="AT117">
        <v>2</v>
      </c>
      <c r="AU117">
        <v>13.12</v>
      </c>
      <c r="AV117">
        <v>2</v>
      </c>
      <c r="AW117">
        <v>13.41</v>
      </c>
      <c r="AX117">
        <v>2</v>
      </c>
      <c r="AY117">
        <v>0.12</v>
      </c>
      <c r="AZ117">
        <v>2</v>
      </c>
      <c r="BA117">
        <v>0.12</v>
      </c>
      <c r="BB117">
        <v>2</v>
      </c>
      <c r="BC117">
        <v>1.77</v>
      </c>
      <c r="BD117">
        <v>2</v>
      </c>
      <c r="BE117">
        <v>1.81</v>
      </c>
      <c r="BF117">
        <v>2</v>
      </c>
      <c r="BG117">
        <v>1.5</v>
      </c>
      <c r="BH117">
        <v>2</v>
      </c>
      <c r="BI117">
        <v>1.53</v>
      </c>
      <c r="BJ117">
        <v>2</v>
      </c>
      <c r="BK117">
        <v>0.05</v>
      </c>
      <c r="BL117">
        <v>2</v>
      </c>
      <c r="BM117">
        <v>0.05</v>
      </c>
      <c r="BN117">
        <v>2</v>
      </c>
      <c r="BO117">
        <v>0.14599999999999999</v>
      </c>
      <c r="BP117">
        <v>2</v>
      </c>
      <c r="BQ117">
        <v>1.0569999999999999</v>
      </c>
      <c r="BR117">
        <v>2</v>
      </c>
      <c r="BS117">
        <v>0.13600000000000001</v>
      </c>
      <c r="BT117">
        <v>2</v>
      </c>
      <c r="BU117">
        <v>-9.5</v>
      </c>
      <c r="BV117">
        <v>2</v>
      </c>
      <c r="BW117">
        <v>0.57999999999999996</v>
      </c>
      <c r="BX117">
        <v>2</v>
      </c>
      <c r="BY117">
        <v>0.64</v>
      </c>
      <c r="BZ117">
        <v>2</v>
      </c>
    </row>
    <row r="118" spans="1:78">
      <c r="A118" t="s">
        <v>41</v>
      </c>
      <c r="B118">
        <v>70</v>
      </c>
      <c r="C118">
        <v>21</v>
      </c>
      <c r="E118">
        <v>398</v>
      </c>
      <c r="F118" t="s">
        <v>20</v>
      </c>
      <c r="G118">
        <v>280</v>
      </c>
      <c r="H118" s="52">
        <v>243287.13222226317</v>
      </c>
      <c r="I118" s="52">
        <v>44493.897241342849</v>
      </c>
      <c r="J118" s="2">
        <v>1.5040946681849476</v>
      </c>
      <c r="K118" s="2">
        <v>0.52785435735575537</v>
      </c>
      <c r="L118" s="2">
        <v>0.20067752286225488</v>
      </c>
      <c r="M118" s="2">
        <f t="shared" si="3"/>
        <v>0.7285318802180103</v>
      </c>
      <c r="N118" s="1">
        <v>61.82384799582541</v>
      </c>
      <c r="O118" s="1">
        <v>21.696764334971739</v>
      </c>
      <c r="P118" s="1">
        <v>8.2485876268589156</v>
      </c>
      <c r="Q118" s="1">
        <v>91.76919995765607</v>
      </c>
      <c r="R118" t="s">
        <v>42</v>
      </c>
      <c r="S118" t="s">
        <v>47</v>
      </c>
      <c r="T118">
        <v>21</v>
      </c>
      <c r="U118">
        <v>1</v>
      </c>
      <c r="V118">
        <v>2</v>
      </c>
      <c r="W118">
        <v>2</v>
      </c>
      <c r="X118">
        <v>2</v>
      </c>
      <c r="Y118">
        <v>20040606</v>
      </c>
      <c r="Z118">
        <v>72.629000000000005</v>
      </c>
      <c r="AA118">
        <v>-157.392</v>
      </c>
      <c r="AB118">
        <v>384</v>
      </c>
      <c r="AC118">
        <v>284.3</v>
      </c>
      <c r="AD118">
        <v>2</v>
      </c>
      <c r="AE118">
        <v>0.73409999999999997</v>
      </c>
      <c r="AF118">
        <v>2</v>
      </c>
      <c r="AG118">
        <v>34.823599999999999</v>
      </c>
      <c r="AH118">
        <v>2</v>
      </c>
      <c r="AI118">
        <v>34.819400000000002</v>
      </c>
      <c r="AJ118">
        <v>2</v>
      </c>
      <c r="AK118">
        <v>307.2</v>
      </c>
      <c r="AL118">
        <v>2</v>
      </c>
      <c r="AM118">
        <v>286.60000000000002</v>
      </c>
      <c r="AN118">
        <v>2</v>
      </c>
      <c r="AO118">
        <v>6.5960000000000001</v>
      </c>
      <c r="AP118">
        <v>2</v>
      </c>
      <c r="AQ118">
        <v>10.1</v>
      </c>
      <c r="AR118">
        <v>2</v>
      </c>
      <c r="AS118">
        <v>10.34</v>
      </c>
      <c r="AT118">
        <v>2</v>
      </c>
      <c r="AU118">
        <v>12.81</v>
      </c>
      <c r="AV118">
        <v>2</v>
      </c>
      <c r="AW118">
        <v>13.11</v>
      </c>
      <c r="AX118">
        <v>2</v>
      </c>
      <c r="AY118">
        <v>0.01</v>
      </c>
      <c r="AZ118">
        <v>2</v>
      </c>
      <c r="BA118">
        <v>0.01</v>
      </c>
      <c r="BB118">
        <v>2</v>
      </c>
      <c r="BC118">
        <v>0.93</v>
      </c>
      <c r="BD118">
        <v>2</v>
      </c>
      <c r="BE118">
        <v>0.95</v>
      </c>
      <c r="BF118">
        <v>2</v>
      </c>
      <c r="BG118">
        <v>0.14000000000000001</v>
      </c>
      <c r="BH118">
        <v>2</v>
      </c>
      <c r="BI118">
        <v>0.14000000000000001</v>
      </c>
      <c r="BJ118">
        <v>2</v>
      </c>
      <c r="BK118">
        <v>0.19</v>
      </c>
      <c r="BL118">
        <v>2</v>
      </c>
      <c r="BM118">
        <v>0.19</v>
      </c>
      <c r="BN118">
        <v>2</v>
      </c>
      <c r="BO118">
        <v>0.11600000000000001</v>
      </c>
      <c r="BP118">
        <v>2</v>
      </c>
      <c r="BQ118">
        <v>0.63400000000000001</v>
      </c>
      <c r="BR118">
        <v>2</v>
      </c>
      <c r="BS118">
        <v>0.152</v>
      </c>
      <c r="BT118">
        <v>2</v>
      </c>
      <c r="BU118">
        <v>0.9</v>
      </c>
      <c r="BV118">
        <v>2</v>
      </c>
      <c r="BW118">
        <v>-999</v>
      </c>
      <c r="BX118">
        <v>9</v>
      </c>
      <c r="BY118">
        <v>-999</v>
      </c>
      <c r="BZ118">
        <v>9</v>
      </c>
    </row>
    <row r="119" spans="1:78">
      <c r="A119" t="s">
        <v>10</v>
      </c>
      <c r="B119">
        <v>95</v>
      </c>
      <c r="C119">
        <v>32</v>
      </c>
      <c r="E119">
        <v>1690</v>
      </c>
      <c r="F119" t="s">
        <v>20</v>
      </c>
      <c r="G119">
        <v>0</v>
      </c>
      <c r="H119" s="52">
        <v>687251.77304964548</v>
      </c>
      <c r="I119" s="52">
        <v>108153.49148932166</v>
      </c>
      <c r="J119" s="2">
        <v>5.6885264446337773</v>
      </c>
      <c r="K119" s="2">
        <v>0.6933699947591806</v>
      </c>
      <c r="L119" s="2">
        <v>4.2905749235524197E-2</v>
      </c>
      <c r="M119" s="2">
        <f t="shared" si="3"/>
        <v>0.73627574399470475</v>
      </c>
      <c r="N119" s="1">
        <v>82.772088304570318</v>
      </c>
      <c r="O119" s="1">
        <v>10.089024458713084</v>
      </c>
      <c r="P119" s="1">
        <v>0.62430903663052151</v>
      </c>
      <c r="Q119" s="1">
        <v>93.485421799913922</v>
      </c>
      <c r="R119" t="s">
        <v>12</v>
      </c>
      <c r="S119" t="s">
        <v>13</v>
      </c>
      <c r="T119">
        <v>32</v>
      </c>
      <c r="U119">
        <v>7</v>
      </c>
      <c r="V119">
        <v>11</v>
      </c>
      <c r="W119">
        <v>11</v>
      </c>
      <c r="X119">
        <v>2</v>
      </c>
      <c r="Y119">
        <v>20020606</v>
      </c>
      <c r="Z119">
        <v>72.126499999999993</v>
      </c>
      <c r="AA119">
        <v>-154.488</v>
      </c>
      <c r="AB119">
        <v>1674</v>
      </c>
      <c r="AC119">
        <v>1.5</v>
      </c>
      <c r="AD119">
        <v>2</v>
      </c>
      <c r="AE119">
        <v>-1.6376999999999999</v>
      </c>
      <c r="AF119">
        <v>2</v>
      </c>
      <c r="AG119">
        <v>31.102699999999999</v>
      </c>
      <c r="AH119">
        <v>2</v>
      </c>
      <c r="AI119">
        <v>-999</v>
      </c>
      <c r="AJ119">
        <v>9</v>
      </c>
      <c r="AK119">
        <v>368</v>
      </c>
      <c r="AL119">
        <v>2</v>
      </c>
      <c r="AM119">
        <v>376.9</v>
      </c>
      <c r="AN119">
        <v>2</v>
      </c>
      <c r="AO119">
        <v>8.6489999999999991</v>
      </c>
      <c r="AP119">
        <v>2</v>
      </c>
      <c r="AQ119">
        <v>10.63</v>
      </c>
      <c r="AR119">
        <v>2</v>
      </c>
      <c r="AS119">
        <v>10.85</v>
      </c>
      <c r="AT119">
        <v>2</v>
      </c>
      <c r="AU119">
        <v>3</v>
      </c>
      <c r="AV119">
        <v>2</v>
      </c>
      <c r="AW119">
        <v>3.06</v>
      </c>
      <c r="AX119">
        <v>2</v>
      </c>
      <c r="AY119">
        <v>0.09</v>
      </c>
      <c r="AZ119">
        <v>2</v>
      </c>
      <c r="BA119">
        <v>0.09</v>
      </c>
      <c r="BB119">
        <v>2</v>
      </c>
      <c r="BC119">
        <v>1.01</v>
      </c>
      <c r="BD119">
        <v>2</v>
      </c>
      <c r="BE119">
        <v>1.03</v>
      </c>
      <c r="BF119">
        <v>2</v>
      </c>
      <c r="BG119">
        <v>0.25</v>
      </c>
      <c r="BH119">
        <v>2</v>
      </c>
      <c r="BI119">
        <v>0.25</v>
      </c>
      <c r="BJ119">
        <v>2</v>
      </c>
      <c r="BK119">
        <v>0.09</v>
      </c>
      <c r="BL119">
        <v>2</v>
      </c>
      <c r="BM119">
        <v>0.09</v>
      </c>
      <c r="BN119">
        <v>2</v>
      </c>
      <c r="BO119">
        <v>0.13800000000000001</v>
      </c>
      <c r="BP119">
        <v>2</v>
      </c>
      <c r="BQ119">
        <v>0.96099999999999997</v>
      </c>
      <c r="BR119">
        <v>2</v>
      </c>
      <c r="BS119">
        <v>3.5310000000000001</v>
      </c>
      <c r="BT119">
        <v>2</v>
      </c>
      <c r="BU119">
        <v>-8.7899999999999991</v>
      </c>
      <c r="BV119">
        <v>2</v>
      </c>
      <c r="BW119">
        <v>0.28000000000000003</v>
      </c>
      <c r="BX119">
        <v>2</v>
      </c>
      <c r="BY119">
        <v>0.33</v>
      </c>
      <c r="BZ119">
        <v>2</v>
      </c>
    </row>
    <row r="120" spans="1:78">
      <c r="A120" t="s">
        <v>10</v>
      </c>
      <c r="B120">
        <v>98</v>
      </c>
      <c r="C120">
        <v>33</v>
      </c>
      <c r="D120" t="s">
        <v>23</v>
      </c>
      <c r="E120">
        <v>2132</v>
      </c>
      <c r="F120" t="s">
        <v>17</v>
      </c>
      <c r="G120">
        <v>400</v>
      </c>
      <c r="H120" s="52">
        <v>176595.74468085106</v>
      </c>
      <c r="I120" s="52">
        <v>56678.502404738858</v>
      </c>
      <c r="J120" s="2">
        <v>1.0549180067293076</v>
      </c>
      <c r="K120" s="2">
        <v>0.72128514850625125</v>
      </c>
      <c r="L120" s="2">
        <v>3.6370741482715407E-2</v>
      </c>
      <c r="M120" s="2">
        <f t="shared" si="3"/>
        <v>0.75765588998896671</v>
      </c>
      <c r="N120" s="1">
        <v>59.736320862984883</v>
      </c>
      <c r="O120" s="1">
        <v>40.843857806980495</v>
      </c>
      <c r="P120" s="1">
        <v>2.0595480116718363</v>
      </c>
      <c r="Q120" s="1">
        <v>102.63972668163721</v>
      </c>
      <c r="R120" t="s">
        <v>12</v>
      </c>
      <c r="S120" t="s">
        <v>13</v>
      </c>
      <c r="T120">
        <v>33</v>
      </c>
      <c r="U120">
        <v>1</v>
      </c>
      <c r="V120">
        <v>8</v>
      </c>
      <c r="W120">
        <v>8</v>
      </c>
      <c r="X120">
        <v>2</v>
      </c>
      <c r="Y120">
        <v>20020607</v>
      </c>
      <c r="Z120">
        <v>72.187399999999997</v>
      </c>
      <c r="AA120">
        <v>-154.39619999999999</v>
      </c>
      <c r="AB120">
        <v>1805</v>
      </c>
      <c r="AC120">
        <v>401.3</v>
      </c>
      <c r="AD120">
        <v>2</v>
      </c>
      <c r="AE120">
        <v>0.61299999999999999</v>
      </c>
      <c r="AF120">
        <v>2</v>
      </c>
      <c r="AG120">
        <v>34.804299999999998</v>
      </c>
      <c r="AH120">
        <v>2</v>
      </c>
      <c r="AI120">
        <v>34.804299999999998</v>
      </c>
      <c r="AJ120">
        <v>2</v>
      </c>
      <c r="AK120">
        <v>285.7</v>
      </c>
      <c r="AL120">
        <v>2</v>
      </c>
      <c r="AM120">
        <v>290.2</v>
      </c>
      <c r="AN120">
        <v>2</v>
      </c>
      <c r="AO120">
        <v>6.6790000000000003</v>
      </c>
      <c r="AP120">
        <v>2</v>
      </c>
      <c r="AQ120">
        <v>8.64</v>
      </c>
      <c r="AR120">
        <v>2</v>
      </c>
      <c r="AS120">
        <v>8.84</v>
      </c>
      <c r="AT120">
        <v>2</v>
      </c>
      <c r="AU120">
        <v>12.51</v>
      </c>
      <c r="AV120">
        <v>2</v>
      </c>
      <c r="AW120">
        <v>12.8</v>
      </c>
      <c r="AX120">
        <v>2</v>
      </c>
      <c r="AY120">
        <v>0.01</v>
      </c>
      <c r="AZ120">
        <v>2</v>
      </c>
      <c r="BA120">
        <v>0.01</v>
      </c>
      <c r="BB120">
        <v>2</v>
      </c>
      <c r="BC120">
        <v>0.92</v>
      </c>
      <c r="BD120">
        <v>2</v>
      </c>
      <c r="BE120">
        <v>0.94</v>
      </c>
      <c r="BF120">
        <v>2</v>
      </c>
      <c r="BG120">
        <v>0.01</v>
      </c>
      <c r="BH120">
        <v>2</v>
      </c>
      <c r="BI120">
        <v>0.01</v>
      </c>
      <c r="BJ120">
        <v>2</v>
      </c>
      <c r="BK120">
        <v>0.02</v>
      </c>
      <c r="BL120">
        <v>2</v>
      </c>
      <c r="BM120">
        <v>0.02</v>
      </c>
      <c r="BN120">
        <v>2</v>
      </c>
      <c r="BO120">
        <v>0.109</v>
      </c>
      <c r="BP120">
        <v>2</v>
      </c>
      <c r="BQ120">
        <v>0.66600000000000004</v>
      </c>
      <c r="BR120">
        <v>2</v>
      </c>
      <c r="BS120">
        <v>0.13700000000000001</v>
      </c>
      <c r="BT120">
        <v>2</v>
      </c>
      <c r="BU120">
        <v>0.66</v>
      </c>
      <c r="BV120">
        <v>2</v>
      </c>
      <c r="BW120">
        <v>-999</v>
      </c>
      <c r="BX120">
        <v>9</v>
      </c>
      <c r="BY120">
        <v>-999</v>
      </c>
      <c r="BZ120">
        <v>9</v>
      </c>
    </row>
    <row r="121" spans="1:78">
      <c r="A121" t="s">
        <v>52</v>
      </c>
      <c r="B121">
        <v>32</v>
      </c>
      <c r="C121">
        <v>22</v>
      </c>
      <c r="E121">
        <v>426</v>
      </c>
      <c r="F121" t="s">
        <v>20</v>
      </c>
      <c r="G121">
        <v>9.1</v>
      </c>
      <c r="H121" s="52">
        <v>1128750.923872875</v>
      </c>
      <c r="I121" s="52"/>
      <c r="J121" s="2">
        <v>9.2773080480805579</v>
      </c>
      <c r="K121" s="2">
        <v>0.62748840716138954</v>
      </c>
      <c r="L121" s="2">
        <v>0.16513502739661184</v>
      </c>
      <c r="M121" s="2">
        <f t="shared" si="3"/>
        <v>0.79262343455800144</v>
      </c>
      <c r="N121" s="1">
        <v>82.19092318657016</v>
      </c>
      <c r="O121" s="1">
        <v>5.5591396993803039</v>
      </c>
      <c r="P121" s="1">
        <v>1.4629890784940796</v>
      </c>
      <c r="Q121" s="1">
        <v>89.213051964444546</v>
      </c>
      <c r="R121" t="s">
        <v>53</v>
      </c>
      <c r="S121" t="s">
        <v>58</v>
      </c>
      <c r="T121">
        <v>22</v>
      </c>
      <c r="U121">
        <v>5</v>
      </c>
      <c r="V121">
        <v>510</v>
      </c>
      <c r="W121">
        <v>10</v>
      </c>
      <c r="X121">
        <v>2</v>
      </c>
      <c r="Y121">
        <v>20040726</v>
      </c>
      <c r="Z121">
        <v>71.938999999999993</v>
      </c>
      <c r="AA121">
        <v>-154.886</v>
      </c>
      <c r="AB121">
        <v>605</v>
      </c>
      <c r="AC121">
        <v>9.5</v>
      </c>
      <c r="AD121">
        <v>2</v>
      </c>
      <c r="AE121">
        <v>1.7549999999999999</v>
      </c>
      <c r="AF121">
        <v>2</v>
      </c>
      <c r="AG121">
        <v>29.216000000000001</v>
      </c>
      <c r="AH121">
        <v>2</v>
      </c>
      <c r="AI121">
        <v>-999</v>
      </c>
      <c r="AJ121">
        <v>9</v>
      </c>
      <c r="AK121">
        <v>463.5</v>
      </c>
      <c r="AL121">
        <v>2</v>
      </c>
      <c r="AM121">
        <v>438.5</v>
      </c>
      <c r="AN121">
        <v>2</v>
      </c>
      <c r="AO121">
        <v>10.045999999999999</v>
      </c>
      <c r="AP121">
        <v>2</v>
      </c>
      <c r="AQ121">
        <v>4.9000000000000004</v>
      </c>
      <c r="AR121">
        <v>2</v>
      </c>
      <c r="AS121">
        <v>5</v>
      </c>
      <c r="AT121">
        <v>2</v>
      </c>
      <c r="AU121">
        <v>0.08</v>
      </c>
      <c r="AV121">
        <v>2</v>
      </c>
      <c r="AW121">
        <v>0.08</v>
      </c>
      <c r="AX121">
        <v>2</v>
      </c>
      <c r="AY121">
        <v>0</v>
      </c>
      <c r="AZ121">
        <v>2</v>
      </c>
      <c r="BA121">
        <v>0</v>
      </c>
      <c r="BB121">
        <v>2</v>
      </c>
      <c r="BC121">
        <v>0.49</v>
      </c>
      <c r="BD121">
        <v>2</v>
      </c>
      <c r="BE121">
        <v>0.5</v>
      </c>
      <c r="BF121">
        <v>2</v>
      </c>
      <c r="BG121">
        <v>0.14000000000000001</v>
      </c>
      <c r="BH121">
        <v>2</v>
      </c>
      <c r="BI121">
        <v>0.14000000000000001</v>
      </c>
      <c r="BJ121">
        <v>2</v>
      </c>
      <c r="BK121">
        <v>0.09</v>
      </c>
      <c r="BL121">
        <v>2</v>
      </c>
      <c r="BM121">
        <v>0.09</v>
      </c>
      <c r="BN121">
        <v>2</v>
      </c>
      <c r="BO121">
        <v>-999</v>
      </c>
      <c r="BP121">
        <v>9</v>
      </c>
      <c r="BS121">
        <v>2.2799999999999998</v>
      </c>
      <c r="BT121">
        <v>2</v>
      </c>
      <c r="BU121">
        <v>-4.18</v>
      </c>
      <c r="BV121">
        <v>2</v>
      </c>
      <c r="BW121">
        <v>0.17</v>
      </c>
      <c r="BX121">
        <v>2</v>
      </c>
      <c r="BY121">
        <v>0.03</v>
      </c>
      <c r="BZ121">
        <v>2</v>
      </c>
    </row>
    <row r="122" spans="1:78">
      <c r="A122" t="s">
        <v>52</v>
      </c>
      <c r="B122">
        <v>170</v>
      </c>
      <c r="C122">
        <v>50</v>
      </c>
      <c r="E122">
        <v>3320</v>
      </c>
      <c r="F122" t="s">
        <v>17</v>
      </c>
      <c r="G122">
        <v>21.1</v>
      </c>
      <c r="H122" s="52">
        <v>789716.67898497172</v>
      </c>
      <c r="I122" s="52"/>
      <c r="J122" s="2">
        <v>4.5362551594586016</v>
      </c>
      <c r="K122" s="2">
        <v>0.78129434340322457</v>
      </c>
      <c r="L122" s="2">
        <v>1.4778489463826219E-2</v>
      </c>
      <c r="M122" s="2">
        <f t="shared" si="3"/>
        <v>0.79607283286705077</v>
      </c>
      <c r="N122" s="1">
        <v>57.441551890344797</v>
      </c>
      <c r="O122" s="1">
        <v>9.8933499088233461</v>
      </c>
      <c r="P122" s="1">
        <v>0.18713660046817185</v>
      </c>
      <c r="Q122" s="1">
        <v>67.522038399636315</v>
      </c>
      <c r="R122" t="s">
        <v>53</v>
      </c>
      <c r="S122" t="s">
        <v>67</v>
      </c>
      <c r="T122">
        <v>50</v>
      </c>
      <c r="U122">
        <v>1</v>
      </c>
      <c r="V122">
        <v>109</v>
      </c>
      <c r="W122">
        <v>9</v>
      </c>
      <c r="X122">
        <v>2</v>
      </c>
      <c r="Y122">
        <v>20040816</v>
      </c>
      <c r="Z122">
        <v>73.388000000000005</v>
      </c>
      <c r="AA122">
        <v>-157.41200000000001</v>
      </c>
      <c r="AB122">
        <v>3157</v>
      </c>
      <c r="AC122">
        <v>20.6</v>
      </c>
      <c r="AD122">
        <v>2</v>
      </c>
      <c r="AE122">
        <v>0.27400000000000002</v>
      </c>
      <c r="AF122">
        <v>2</v>
      </c>
      <c r="AG122">
        <v>29.402999999999999</v>
      </c>
      <c r="AH122">
        <v>2</v>
      </c>
      <c r="AI122">
        <v>-999</v>
      </c>
      <c r="AJ122">
        <v>9</v>
      </c>
      <c r="AK122">
        <v>369.5</v>
      </c>
      <c r="AL122">
        <v>2</v>
      </c>
      <c r="AM122">
        <v>387.5</v>
      </c>
      <c r="AN122">
        <v>2</v>
      </c>
      <c r="AO122">
        <v>8.8800000000000008</v>
      </c>
      <c r="AP122">
        <v>2</v>
      </c>
      <c r="AQ122">
        <v>3.86</v>
      </c>
      <c r="AR122">
        <v>2</v>
      </c>
      <c r="AS122">
        <v>3.94</v>
      </c>
      <c r="AT122">
        <v>2</v>
      </c>
      <c r="AU122">
        <v>0.03</v>
      </c>
      <c r="AV122">
        <v>2</v>
      </c>
      <c r="AW122">
        <v>0.03</v>
      </c>
      <c r="AX122">
        <v>2</v>
      </c>
      <c r="AY122">
        <v>0</v>
      </c>
      <c r="AZ122">
        <v>2</v>
      </c>
      <c r="BA122">
        <v>0</v>
      </c>
      <c r="BB122">
        <v>2</v>
      </c>
      <c r="BC122">
        <v>0.65</v>
      </c>
      <c r="BD122">
        <v>2</v>
      </c>
      <c r="BE122">
        <v>0.66</v>
      </c>
      <c r="BF122">
        <v>2</v>
      </c>
      <c r="BG122">
        <v>0.01</v>
      </c>
      <c r="BH122">
        <v>2</v>
      </c>
      <c r="BI122">
        <v>0.01</v>
      </c>
      <c r="BJ122">
        <v>2</v>
      </c>
      <c r="BK122">
        <v>0.05</v>
      </c>
      <c r="BL122">
        <v>2</v>
      </c>
      <c r="BM122">
        <v>0.05</v>
      </c>
      <c r="BN122">
        <v>2</v>
      </c>
      <c r="BO122">
        <v>-999</v>
      </c>
      <c r="BP122">
        <v>9</v>
      </c>
      <c r="BS122">
        <v>1.0329999999999999</v>
      </c>
      <c r="BT122">
        <v>2</v>
      </c>
      <c r="BU122">
        <v>-6.56</v>
      </c>
      <c r="BV122">
        <v>2</v>
      </c>
      <c r="BW122">
        <v>0.16</v>
      </c>
      <c r="BX122">
        <v>2</v>
      </c>
      <c r="BY122">
        <v>0.06</v>
      </c>
      <c r="BZ122">
        <v>2</v>
      </c>
    </row>
    <row r="123" spans="1:78">
      <c r="A123" t="s">
        <v>10</v>
      </c>
      <c r="B123">
        <v>91</v>
      </c>
      <c r="C123">
        <v>32</v>
      </c>
      <c r="E123">
        <v>1690</v>
      </c>
      <c r="F123" t="s">
        <v>20</v>
      </c>
      <c r="G123">
        <v>120</v>
      </c>
      <c r="H123" s="52">
        <v>357606.38297872344</v>
      </c>
      <c r="I123" s="52">
        <v>82098.323394988896</v>
      </c>
      <c r="J123" s="2">
        <v>1.9484922815407324</v>
      </c>
      <c r="K123" s="2">
        <v>0.80300631311252058</v>
      </c>
      <c r="L123" s="2">
        <v>1.101348697022737E-2</v>
      </c>
      <c r="M123" s="2">
        <f t="shared" si="3"/>
        <v>0.81401980008274799</v>
      </c>
      <c r="N123" s="1">
        <v>54.487066626455103</v>
      </c>
      <c r="O123" s="1">
        <v>22.455033000915343</v>
      </c>
      <c r="P123" s="1">
        <v>0.30797791914364797</v>
      </c>
      <c r="Q123" s="1">
        <v>77.250077546514106</v>
      </c>
      <c r="R123" t="s">
        <v>12</v>
      </c>
      <c r="S123" t="s">
        <v>13</v>
      </c>
      <c r="T123">
        <v>32</v>
      </c>
      <c r="U123">
        <v>6</v>
      </c>
      <c r="V123">
        <v>5</v>
      </c>
      <c r="W123">
        <v>5</v>
      </c>
      <c r="X123">
        <v>2</v>
      </c>
      <c r="Y123">
        <v>20020606</v>
      </c>
      <c r="Z123">
        <v>72.105900000000005</v>
      </c>
      <c r="AA123">
        <v>-154.4881</v>
      </c>
      <c r="AB123">
        <v>1578</v>
      </c>
      <c r="AC123">
        <v>121.1</v>
      </c>
      <c r="AD123">
        <v>2</v>
      </c>
      <c r="AE123">
        <v>-1.6774</v>
      </c>
      <c r="AF123">
        <v>2</v>
      </c>
      <c r="AG123">
        <v>33.336399999999998</v>
      </c>
      <c r="AH123">
        <v>2</v>
      </c>
      <c r="AI123">
        <v>33.335299999999997</v>
      </c>
      <c r="AJ123">
        <v>2</v>
      </c>
      <c r="AK123">
        <v>310.3</v>
      </c>
      <c r="AL123">
        <v>2</v>
      </c>
      <c r="AM123">
        <v>318.2</v>
      </c>
      <c r="AN123">
        <v>2</v>
      </c>
      <c r="AO123">
        <v>7.3170000000000002</v>
      </c>
      <c r="AP123">
        <v>2</v>
      </c>
      <c r="AQ123">
        <v>35.700000000000003</v>
      </c>
      <c r="AR123">
        <v>2</v>
      </c>
      <c r="AS123">
        <v>36.49</v>
      </c>
      <c r="AT123">
        <v>2</v>
      </c>
      <c r="AU123">
        <v>12.05</v>
      </c>
      <c r="AV123">
        <v>2</v>
      </c>
      <c r="AW123">
        <v>12.32</v>
      </c>
      <c r="AX123">
        <v>2</v>
      </c>
      <c r="AY123">
        <v>0.09</v>
      </c>
      <c r="AZ123">
        <v>2</v>
      </c>
      <c r="BA123">
        <v>0.09</v>
      </c>
      <c r="BB123">
        <v>2</v>
      </c>
      <c r="BC123">
        <v>1.73</v>
      </c>
      <c r="BD123">
        <v>2</v>
      </c>
      <c r="BE123">
        <v>1.77</v>
      </c>
      <c r="BF123">
        <v>2</v>
      </c>
      <c r="BG123">
        <v>1.62</v>
      </c>
      <c r="BH123">
        <v>2</v>
      </c>
      <c r="BI123">
        <v>1.66</v>
      </c>
      <c r="BJ123">
        <v>2</v>
      </c>
      <c r="BK123">
        <v>-999</v>
      </c>
      <c r="BL123">
        <v>9</v>
      </c>
      <c r="BM123">
        <v>-999</v>
      </c>
      <c r="BN123">
        <v>9</v>
      </c>
      <c r="BO123">
        <v>0.15</v>
      </c>
      <c r="BP123">
        <v>2</v>
      </c>
      <c r="BQ123">
        <v>0.79100000000000004</v>
      </c>
      <c r="BR123">
        <v>2</v>
      </c>
      <c r="BS123">
        <v>0.13500000000000001</v>
      </c>
      <c r="BT123">
        <v>2</v>
      </c>
      <c r="BU123">
        <v>-9.8000000000000007</v>
      </c>
      <c r="BV123">
        <v>2</v>
      </c>
      <c r="BW123">
        <v>0.03</v>
      </c>
      <c r="BX123">
        <v>2</v>
      </c>
      <c r="BY123">
        <v>0.09</v>
      </c>
      <c r="BZ123">
        <v>2</v>
      </c>
    </row>
    <row r="124" spans="1:78">
      <c r="A124" t="s">
        <v>52</v>
      </c>
      <c r="B124">
        <v>169</v>
      </c>
      <c r="C124">
        <v>50</v>
      </c>
      <c r="E124">
        <v>3320</v>
      </c>
      <c r="F124" t="s">
        <v>17</v>
      </c>
      <c r="G124">
        <v>7.7</v>
      </c>
      <c r="H124" s="52">
        <v>585641.7836905641</v>
      </c>
      <c r="I124" s="52"/>
      <c r="J124" s="2">
        <v>4.991844730833245</v>
      </c>
      <c r="K124" s="2">
        <v>0.7016958657323531</v>
      </c>
      <c r="L124" s="2">
        <v>0.12030314757498432</v>
      </c>
      <c r="M124" s="2">
        <f t="shared" si="3"/>
        <v>0.82199901330733738</v>
      </c>
      <c r="N124" s="1">
        <v>85.237168348472707</v>
      </c>
      <c r="O124" s="1">
        <v>11.981656454060467</v>
      </c>
      <c r="P124" s="1">
        <v>2.0542104563794061</v>
      </c>
      <c r="Q124" s="1">
        <v>99.273035258912586</v>
      </c>
      <c r="R124" t="s">
        <v>53</v>
      </c>
      <c r="S124" t="s">
        <v>67</v>
      </c>
      <c r="T124">
        <v>50</v>
      </c>
      <c r="U124">
        <v>5</v>
      </c>
      <c r="V124">
        <v>510</v>
      </c>
      <c r="W124">
        <v>10</v>
      </c>
      <c r="X124">
        <v>2</v>
      </c>
      <c r="Y124">
        <v>20040816</v>
      </c>
      <c r="Z124">
        <v>73.429000000000002</v>
      </c>
      <c r="AA124">
        <v>-157.16</v>
      </c>
      <c r="AB124">
        <v>3373</v>
      </c>
      <c r="AC124">
        <v>8.8000000000000007</v>
      </c>
      <c r="AD124">
        <v>2</v>
      </c>
      <c r="AE124">
        <v>2.4910000000000001</v>
      </c>
      <c r="AF124">
        <v>2</v>
      </c>
      <c r="AG124">
        <v>26.234000000000002</v>
      </c>
      <c r="AH124">
        <v>2</v>
      </c>
      <c r="AI124">
        <v>-999</v>
      </c>
      <c r="AJ124">
        <v>9</v>
      </c>
      <c r="AK124">
        <v>336.7</v>
      </c>
      <c r="AL124">
        <v>2</v>
      </c>
      <c r="AM124">
        <v>360.2</v>
      </c>
      <c r="AN124">
        <v>2</v>
      </c>
      <c r="AO124">
        <v>8.2349999999999994</v>
      </c>
      <c r="AP124">
        <v>2</v>
      </c>
      <c r="AQ124">
        <v>3.81</v>
      </c>
      <c r="AR124">
        <v>2</v>
      </c>
      <c r="AS124">
        <v>3.88</v>
      </c>
      <c r="AT124">
        <v>2</v>
      </c>
      <c r="AU124">
        <v>7.0000000000000007E-2</v>
      </c>
      <c r="AV124">
        <v>2</v>
      </c>
      <c r="AW124">
        <v>7.0000000000000007E-2</v>
      </c>
      <c r="AX124">
        <v>2</v>
      </c>
      <c r="AY124">
        <v>0</v>
      </c>
      <c r="AZ124">
        <v>2</v>
      </c>
      <c r="BA124">
        <v>0</v>
      </c>
      <c r="BB124">
        <v>2</v>
      </c>
      <c r="BC124">
        <v>0.56000000000000005</v>
      </c>
      <c r="BD124">
        <v>2</v>
      </c>
      <c r="BE124">
        <v>0.56999999999999995</v>
      </c>
      <c r="BF124">
        <v>2</v>
      </c>
      <c r="BG124">
        <v>0.18</v>
      </c>
      <c r="BH124">
        <v>2</v>
      </c>
      <c r="BI124">
        <v>0.18</v>
      </c>
      <c r="BJ124">
        <v>2</v>
      </c>
      <c r="BK124">
        <v>0.04</v>
      </c>
      <c r="BL124">
        <v>2</v>
      </c>
      <c r="BM124">
        <v>0.04</v>
      </c>
      <c r="BN124">
        <v>2</v>
      </c>
      <c r="BO124">
        <v>-999</v>
      </c>
      <c r="BP124">
        <v>9</v>
      </c>
      <c r="BS124">
        <v>1.4710000000000001</v>
      </c>
      <c r="BT124">
        <v>2</v>
      </c>
      <c r="BU124">
        <v>-5.12</v>
      </c>
      <c r="BV124">
        <v>2</v>
      </c>
      <c r="BW124">
        <v>0.2</v>
      </c>
      <c r="BX124">
        <v>2</v>
      </c>
      <c r="BY124">
        <v>0.05</v>
      </c>
      <c r="BZ124">
        <v>2</v>
      </c>
    </row>
    <row r="125" spans="1:78">
      <c r="A125" t="s">
        <v>27</v>
      </c>
      <c r="B125">
        <v>55</v>
      </c>
      <c r="C125">
        <v>20</v>
      </c>
      <c r="E125">
        <v>1000</v>
      </c>
      <c r="F125" t="s">
        <v>20</v>
      </c>
      <c r="G125">
        <v>21.7</v>
      </c>
      <c r="H125" s="52">
        <v>688723.40425531904</v>
      </c>
      <c r="I125" s="52">
        <v>158469.16475359406</v>
      </c>
      <c r="J125" s="2">
        <v>5.4115118363825028</v>
      </c>
      <c r="K125" s="2">
        <v>0.82144133866288427</v>
      </c>
      <c r="L125" s="2">
        <v>1.3812043959091476E-2</v>
      </c>
      <c r="M125" s="2">
        <f t="shared" si="3"/>
        <v>0.83525338262197579</v>
      </c>
      <c r="N125" s="1">
        <v>78.57307887240583</v>
      </c>
      <c r="O125" s="1">
        <v>11.927013567239904</v>
      </c>
      <c r="P125" s="1">
        <v>0.20054558729604555</v>
      </c>
      <c r="Q125" s="1">
        <v>90.700638026941775</v>
      </c>
      <c r="R125" t="s">
        <v>29</v>
      </c>
      <c r="S125" t="s">
        <v>30</v>
      </c>
      <c r="T125">
        <v>20</v>
      </c>
      <c r="U125">
        <v>6</v>
      </c>
      <c r="V125">
        <v>5</v>
      </c>
      <c r="W125">
        <v>5</v>
      </c>
      <c r="X125">
        <v>2</v>
      </c>
      <c r="Y125">
        <v>20020801</v>
      </c>
      <c r="Z125">
        <v>71.676400000000001</v>
      </c>
      <c r="AA125">
        <v>-152.19479999999999</v>
      </c>
      <c r="AB125">
        <v>1026</v>
      </c>
      <c r="AC125">
        <v>22.7</v>
      </c>
      <c r="AD125">
        <v>2</v>
      </c>
      <c r="AE125">
        <v>-1.3133999999999999</v>
      </c>
      <c r="AF125">
        <v>2</v>
      </c>
      <c r="AG125">
        <v>30.619700000000002</v>
      </c>
      <c r="AH125">
        <v>2</v>
      </c>
      <c r="AI125">
        <v>-999</v>
      </c>
      <c r="AJ125">
        <v>9</v>
      </c>
      <c r="AK125">
        <v>415.1</v>
      </c>
      <c r="AL125">
        <v>2</v>
      </c>
      <c r="AM125">
        <v>423.2</v>
      </c>
      <c r="AN125">
        <v>2</v>
      </c>
      <c r="AO125">
        <v>9.7089999999999996</v>
      </c>
      <c r="AP125">
        <v>2</v>
      </c>
      <c r="AQ125">
        <v>8.5500000000000007</v>
      </c>
      <c r="AR125">
        <v>2</v>
      </c>
      <c r="AS125">
        <v>8.7200000000000006</v>
      </c>
      <c r="AT125">
        <v>2</v>
      </c>
      <c r="AU125">
        <v>0.04</v>
      </c>
      <c r="AV125">
        <v>2</v>
      </c>
      <c r="AW125">
        <v>0.04</v>
      </c>
      <c r="AX125">
        <v>2</v>
      </c>
      <c r="AY125">
        <v>0</v>
      </c>
      <c r="AZ125">
        <v>2</v>
      </c>
      <c r="BA125">
        <v>0</v>
      </c>
      <c r="BB125">
        <v>2</v>
      </c>
      <c r="BC125">
        <v>0.73</v>
      </c>
      <c r="BD125">
        <v>2</v>
      </c>
      <c r="BE125">
        <v>0.74</v>
      </c>
      <c r="BF125">
        <v>2</v>
      </c>
      <c r="BG125">
        <v>0.02</v>
      </c>
      <c r="BH125">
        <v>2</v>
      </c>
      <c r="BI125">
        <v>0.02</v>
      </c>
      <c r="BJ125">
        <v>2</v>
      </c>
      <c r="BK125">
        <v>0.03</v>
      </c>
      <c r="BL125">
        <v>2</v>
      </c>
      <c r="BM125">
        <v>0.03</v>
      </c>
      <c r="BN125">
        <v>2</v>
      </c>
      <c r="BO125">
        <v>0.124</v>
      </c>
      <c r="BP125">
        <v>2</v>
      </c>
      <c r="BQ125">
        <v>1.68</v>
      </c>
      <c r="BR125">
        <v>2</v>
      </c>
      <c r="BS125">
        <v>1.069</v>
      </c>
      <c r="BT125">
        <v>2</v>
      </c>
      <c r="BU125">
        <v>-7.66</v>
      </c>
      <c r="BV125">
        <v>2</v>
      </c>
      <c r="BW125">
        <v>2.37</v>
      </c>
      <c r="BX125">
        <v>2</v>
      </c>
      <c r="BY125">
        <v>1.65</v>
      </c>
      <c r="BZ125">
        <v>2</v>
      </c>
    </row>
    <row r="126" spans="1:78">
      <c r="A126" t="s">
        <v>10</v>
      </c>
      <c r="B126">
        <v>15</v>
      </c>
      <c r="C126">
        <v>6</v>
      </c>
      <c r="D126" t="s">
        <v>14</v>
      </c>
      <c r="E126">
        <v>50</v>
      </c>
      <c r="F126" t="s">
        <v>11</v>
      </c>
      <c r="G126">
        <v>41</v>
      </c>
      <c r="H126" s="52">
        <v>581294.32624113478</v>
      </c>
      <c r="I126" s="52">
        <v>131672.3923300204</v>
      </c>
      <c r="J126" s="2">
        <v>4.6990496717540751</v>
      </c>
      <c r="K126" s="2">
        <v>0.79338381822509252</v>
      </c>
      <c r="L126" s="2">
        <v>4.9635234673158439E-2</v>
      </c>
      <c r="M126" s="2">
        <f t="shared" si="3"/>
        <v>0.84301905289825096</v>
      </c>
      <c r="N126" s="1">
        <v>80.086710599334836</v>
      </c>
      <c r="O126" s="1">
        <v>13.648573234069</v>
      </c>
      <c r="P126" s="1">
        <v>0.85387440462593744</v>
      </c>
      <c r="Q126" s="1">
        <v>94.589158238029782</v>
      </c>
      <c r="R126" t="s">
        <v>12</v>
      </c>
      <c r="S126" t="s">
        <v>13</v>
      </c>
      <c r="T126">
        <v>6</v>
      </c>
      <c r="U126">
        <v>1</v>
      </c>
      <c r="V126">
        <v>4</v>
      </c>
      <c r="W126">
        <v>4</v>
      </c>
      <c r="X126">
        <v>2</v>
      </c>
      <c r="Y126">
        <v>20020517</v>
      </c>
      <c r="Z126">
        <v>72.920400000000001</v>
      </c>
      <c r="AA126">
        <v>-160.52099999999999</v>
      </c>
      <c r="AB126">
        <v>71</v>
      </c>
      <c r="AC126">
        <v>41.6</v>
      </c>
      <c r="AD126">
        <v>2</v>
      </c>
      <c r="AE126">
        <v>-1.7451000000000001</v>
      </c>
      <c r="AF126">
        <v>2</v>
      </c>
      <c r="AG126">
        <v>32.201999999999998</v>
      </c>
      <c r="AH126">
        <v>2</v>
      </c>
      <c r="AI126">
        <v>32.145000000000003</v>
      </c>
      <c r="AJ126">
        <v>2</v>
      </c>
      <c r="AK126">
        <v>314.7</v>
      </c>
      <c r="AL126">
        <v>2</v>
      </c>
      <c r="AM126">
        <v>-999</v>
      </c>
      <c r="AN126">
        <v>9</v>
      </c>
      <c r="AO126">
        <v>-999</v>
      </c>
      <c r="AP126">
        <v>9</v>
      </c>
      <c r="AQ126">
        <v>26.34</v>
      </c>
      <c r="AR126">
        <v>2</v>
      </c>
      <c r="AS126">
        <v>26.9</v>
      </c>
      <c r="AT126">
        <v>2</v>
      </c>
      <c r="AU126">
        <v>6.73</v>
      </c>
      <c r="AV126">
        <v>2</v>
      </c>
      <c r="AW126">
        <v>6.87</v>
      </c>
      <c r="AX126">
        <v>2</v>
      </c>
      <c r="AY126">
        <v>0.09</v>
      </c>
      <c r="AZ126">
        <v>2</v>
      </c>
      <c r="BA126">
        <v>0.09</v>
      </c>
      <c r="BB126">
        <v>2</v>
      </c>
      <c r="BC126">
        <v>1.43</v>
      </c>
      <c r="BD126">
        <v>2</v>
      </c>
      <c r="BE126">
        <v>1.46</v>
      </c>
      <c r="BF126">
        <v>2</v>
      </c>
      <c r="BG126">
        <v>1.29</v>
      </c>
      <c r="BH126">
        <v>2</v>
      </c>
      <c r="BI126">
        <v>1.32</v>
      </c>
      <c r="BJ126">
        <v>2</v>
      </c>
      <c r="BK126">
        <v>0.04</v>
      </c>
      <c r="BL126">
        <v>2</v>
      </c>
      <c r="BM126">
        <v>0.04</v>
      </c>
      <c r="BN126">
        <v>2</v>
      </c>
      <c r="BO126">
        <v>0.151</v>
      </c>
      <c r="BP126">
        <v>2</v>
      </c>
      <c r="BQ126">
        <v>1.0620000000000001</v>
      </c>
      <c r="BR126">
        <v>2</v>
      </c>
      <c r="BS126">
        <v>0.76800000000000002</v>
      </c>
      <c r="BT126">
        <v>2</v>
      </c>
      <c r="BU126">
        <v>-10.53</v>
      </c>
      <c r="BV126">
        <v>2</v>
      </c>
      <c r="BW126">
        <v>0.13</v>
      </c>
      <c r="BX126">
        <v>2</v>
      </c>
      <c r="BY126">
        <v>0.16</v>
      </c>
      <c r="BZ126">
        <v>2</v>
      </c>
    </row>
    <row r="127" spans="1:78">
      <c r="A127" t="s">
        <v>10</v>
      </c>
      <c r="B127">
        <v>89</v>
      </c>
      <c r="C127">
        <v>31</v>
      </c>
      <c r="D127" t="s">
        <v>22</v>
      </c>
      <c r="E127">
        <v>200</v>
      </c>
      <c r="F127" t="s">
        <v>15</v>
      </c>
      <c r="G127">
        <v>140</v>
      </c>
      <c r="H127" s="52">
        <v>362757.09219858155</v>
      </c>
      <c r="I127" s="52">
        <v>58357.182442856778</v>
      </c>
      <c r="J127" s="2">
        <v>2.328601039797876</v>
      </c>
      <c r="K127" s="2">
        <v>0.86476170210299264</v>
      </c>
      <c r="L127" s="2">
        <v>4.6257455734471063E-3</v>
      </c>
      <c r="M127" s="2">
        <f t="shared" si="3"/>
        <v>0.86938744767643972</v>
      </c>
      <c r="N127" s="1">
        <v>64.191744003812516</v>
      </c>
      <c r="O127" s="1">
        <v>23.838588430122329</v>
      </c>
      <c r="P127" s="1">
        <v>0.12751633732125262</v>
      </c>
      <c r="Q127" s="1">
        <v>88.157848771256099</v>
      </c>
      <c r="R127" t="s">
        <v>12</v>
      </c>
      <c r="S127" t="s">
        <v>13</v>
      </c>
      <c r="T127">
        <v>31</v>
      </c>
      <c r="U127">
        <v>1</v>
      </c>
      <c r="V127">
        <v>8</v>
      </c>
      <c r="W127">
        <v>8</v>
      </c>
      <c r="X127">
        <v>2</v>
      </c>
      <c r="Y127">
        <v>20020605</v>
      </c>
      <c r="Z127">
        <v>71.927999999999997</v>
      </c>
      <c r="AA127">
        <v>-154.8219</v>
      </c>
      <c r="AB127">
        <v>399</v>
      </c>
      <c r="AC127">
        <v>151.80000000000001</v>
      </c>
      <c r="AD127">
        <v>2</v>
      </c>
      <c r="AE127">
        <v>-1.7188000000000001</v>
      </c>
      <c r="AF127">
        <v>2</v>
      </c>
      <c r="AG127">
        <v>33.816400000000002</v>
      </c>
      <c r="AH127">
        <v>2</v>
      </c>
      <c r="AI127">
        <v>33.849800000000002</v>
      </c>
      <c r="AJ127">
        <v>2</v>
      </c>
      <c r="AK127">
        <v>318.10000000000002</v>
      </c>
      <c r="AL127">
        <v>2</v>
      </c>
      <c r="AM127">
        <v>327.60000000000002</v>
      </c>
      <c r="AN127">
        <v>2</v>
      </c>
      <c r="AO127">
        <v>7.5339999999999998</v>
      </c>
      <c r="AP127">
        <v>2</v>
      </c>
      <c r="AQ127">
        <v>37.409999999999997</v>
      </c>
      <c r="AR127">
        <v>2</v>
      </c>
      <c r="AS127">
        <v>38.25</v>
      </c>
      <c r="AT127">
        <v>2</v>
      </c>
      <c r="AU127">
        <v>12.19</v>
      </c>
      <c r="AV127">
        <v>2</v>
      </c>
      <c r="AW127">
        <v>12.46</v>
      </c>
      <c r="AX127">
        <v>2</v>
      </c>
      <c r="AY127">
        <v>0.08</v>
      </c>
      <c r="AZ127">
        <v>2</v>
      </c>
      <c r="BA127">
        <v>0.08</v>
      </c>
      <c r="BB127">
        <v>2</v>
      </c>
      <c r="BC127">
        <v>1.71</v>
      </c>
      <c r="BD127">
        <v>2</v>
      </c>
      <c r="BE127">
        <v>1.75</v>
      </c>
      <c r="BF127">
        <v>2</v>
      </c>
      <c r="BG127">
        <v>2.6</v>
      </c>
      <c r="BH127">
        <v>2</v>
      </c>
      <c r="BI127">
        <v>2.66</v>
      </c>
      <c r="BJ127">
        <v>2</v>
      </c>
      <c r="BK127">
        <v>0</v>
      </c>
      <c r="BL127">
        <v>2</v>
      </c>
      <c r="BM127">
        <v>0</v>
      </c>
      <c r="BN127">
        <v>2</v>
      </c>
      <c r="BO127">
        <v>0.14699999999999999</v>
      </c>
      <c r="BP127">
        <v>2</v>
      </c>
      <c r="BQ127">
        <v>0.82799999999999996</v>
      </c>
      <c r="BR127">
        <v>2</v>
      </c>
      <c r="BS127">
        <v>0.13700000000000001</v>
      </c>
      <c r="BT127">
        <v>2</v>
      </c>
      <c r="BU127">
        <v>-8.5399999999999991</v>
      </c>
      <c r="BV127">
        <v>2</v>
      </c>
      <c r="BW127">
        <v>0.06</v>
      </c>
      <c r="BX127">
        <v>2</v>
      </c>
      <c r="BY127">
        <v>0.16</v>
      </c>
      <c r="BZ127">
        <v>2</v>
      </c>
    </row>
    <row r="128" spans="1:78">
      <c r="A128" t="s">
        <v>27</v>
      </c>
      <c r="B128">
        <v>50</v>
      </c>
      <c r="C128">
        <v>18</v>
      </c>
      <c r="D128" t="s">
        <v>35</v>
      </c>
      <c r="E128">
        <v>2927</v>
      </c>
      <c r="F128" t="s">
        <v>17</v>
      </c>
      <c r="G128">
        <v>200</v>
      </c>
      <c r="H128" s="52">
        <v>259595.74468085106</v>
      </c>
      <c r="I128" s="52">
        <v>54902.342094158026</v>
      </c>
      <c r="J128" s="2">
        <v>1.2689302322690867</v>
      </c>
      <c r="K128" s="2">
        <v>0.86612734549932635</v>
      </c>
      <c r="L128" s="2">
        <v>1.196754750561289E-2</v>
      </c>
      <c r="M128" s="2">
        <f t="shared" si="3"/>
        <v>0.87809489300493926</v>
      </c>
      <c r="N128" s="1">
        <v>48.881010504587394</v>
      </c>
      <c r="O128" s="1">
        <v>33.364466222824639</v>
      </c>
      <c r="P128" s="1">
        <v>0.46100707545595104</v>
      </c>
      <c r="Q128" s="1">
        <v>82.706483802867993</v>
      </c>
      <c r="R128" t="s">
        <v>29</v>
      </c>
      <c r="S128" t="s">
        <v>30</v>
      </c>
      <c r="T128">
        <v>18</v>
      </c>
      <c r="U128">
        <v>2</v>
      </c>
      <c r="V128">
        <v>6</v>
      </c>
      <c r="W128">
        <v>6</v>
      </c>
      <c r="X128">
        <v>2</v>
      </c>
      <c r="Y128">
        <v>20020729</v>
      </c>
      <c r="Z128">
        <v>72.307000000000002</v>
      </c>
      <c r="AA128">
        <v>-151.94239999999999</v>
      </c>
      <c r="AB128">
        <v>3234</v>
      </c>
      <c r="AC128">
        <v>101.5</v>
      </c>
      <c r="AD128">
        <v>2</v>
      </c>
      <c r="AE128">
        <v>-1.5590999999999999</v>
      </c>
      <c r="AF128">
        <v>2</v>
      </c>
      <c r="AG128">
        <v>32.662300000000002</v>
      </c>
      <c r="AH128">
        <v>2</v>
      </c>
      <c r="AI128">
        <v>32.6571</v>
      </c>
      <c r="AJ128">
        <v>2</v>
      </c>
      <c r="AK128">
        <v>306.89999999999998</v>
      </c>
      <c r="AL128">
        <v>2</v>
      </c>
      <c r="AM128">
        <v>315.10000000000002</v>
      </c>
      <c r="AN128">
        <v>2</v>
      </c>
      <c r="AO128">
        <v>7.2409999999999997</v>
      </c>
      <c r="AP128">
        <v>2</v>
      </c>
      <c r="AQ128">
        <v>29.54</v>
      </c>
      <c r="AR128">
        <v>2</v>
      </c>
      <c r="AS128">
        <v>30.18</v>
      </c>
      <c r="AT128">
        <v>2</v>
      </c>
      <c r="AU128">
        <v>11.05</v>
      </c>
      <c r="AV128">
        <v>2</v>
      </c>
      <c r="AW128">
        <v>11.29</v>
      </c>
      <c r="AX128">
        <v>2</v>
      </c>
      <c r="AY128">
        <v>0.1</v>
      </c>
      <c r="AZ128">
        <v>2</v>
      </c>
      <c r="BA128">
        <v>0.1</v>
      </c>
      <c r="BB128">
        <v>2</v>
      </c>
      <c r="BC128">
        <v>1.6</v>
      </c>
      <c r="BD128">
        <v>2</v>
      </c>
      <c r="BE128">
        <v>1.63</v>
      </c>
      <c r="BF128">
        <v>2</v>
      </c>
      <c r="BG128">
        <v>0.8</v>
      </c>
      <c r="BH128">
        <v>2</v>
      </c>
      <c r="BI128">
        <v>0.82</v>
      </c>
      <c r="BJ128">
        <v>2</v>
      </c>
      <c r="BK128">
        <v>0</v>
      </c>
      <c r="BL128">
        <v>2</v>
      </c>
      <c r="BM128">
        <v>0</v>
      </c>
      <c r="BN128">
        <v>2</v>
      </c>
      <c r="BO128">
        <v>0.14799999999999999</v>
      </c>
      <c r="BP128">
        <v>2</v>
      </c>
      <c r="BQ128">
        <v>0.81899999999999995</v>
      </c>
      <c r="BR128">
        <v>2</v>
      </c>
      <c r="BS128">
        <v>0</v>
      </c>
      <c r="BT128">
        <v>2</v>
      </c>
      <c r="BU128">
        <v>-9.4700000000000006</v>
      </c>
      <c r="BV128">
        <v>2</v>
      </c>
      <c r="BW128">
        <v>0.03</v>
      </c>
      <c r="BX128">
        <v>2</v>
      </c>
      <c r="BY128">
        <v>0.19</v>
      </c>
      <c r="BZ128">
        <v>2</v>
      </c>
    </row>
    <row r="129" spans="1:78">
      <c r="A129" t="s">
        <v>41</v>
      </c>
      <c r="B129">
        <v>88</v>
      </c>
      <c r="C129">
        <v>23</v>
      </c>
      <c r="E129">
        <v>75</v>
      </c>
      <c r="F129" t="s">
        <v>11</v>
      </c>
      <c r="G129">
        <v>5</v>
      </c>
      <c r="H129" s="52">
        <v>726528.11331369763</v>
      </c>
      <c r="I129" s="52">
        <v>144933.55546065466</v>
      </c>
      <c r="J129" s="2">
        <v>6.6389011536855556</v>
      </c>
      <c r="K129" s="2">
        <v>0.74550630165705667</v>
      </c>
      <c r="L129" s="2">
        <v>0.15831850494958519</v>
      </c>
      <c r="M129" s="2">
        <f t="shared" si="3"/>
        <v>0.90382480660664188</v>
      </c>
      <c r="N129" s="1">
        <v>91.378448156747865</v>
      </c>
      <c r="O129" s="1">
        <v>10.261217535778478</v>
      </c>
      <c r="P129" s="1">
        <v>2.1791105127025832</v>
      </c>
      <c r="Q129" s="1">
        <v>103.81877620522891</v>
      </c>
      <c r="R129" t="s">
        <v>42</v>
      </c>
      <c r="S129" t="s">
        <v>48</v>
      </c>
      <c r="T129">
        <v>23</v>
      </c>
      <c r="U129">
        <v>1</v>
      </c>
      <c r="V129">
        <v>12</v>
      </c>
      <c r="W129">
        <v>12</v>
      </c>
      <c r="X129">
        <v>2</v>
      </c>
      <c r="Y129">
        <v>20040611</v>
      </c>
      <c r="Z129">
        <v>71.69</v>
      </c>
      <c r="AA129">
        <v>-154.72999999999999</v>
      </c>
      <c r="AB129">
        <v>74</v>
      </c>
      <c r="AC129">
        <v>1.7</v>
      </c>
      <c r="AD129">
        <v>2</v>
      </c>
      <c r="AE129">
        <v>-1.4814000000000001</v>
      </c>
      <c r="AF129">
        <v>2</v>
      </c>
      <c r="AG129">
        <v>31.4115</v>
      </c>
      <c r="AH129">
        <v>2</v>
      </c>
      <c r="AI129">
        <v>31.415600000000001</v>
      </c>
      <c r="AJ129">
        <v>2</v>
      </c>
      <c r="AK129">
        <v>421.7</v>
      </c>
      <c r="AL129">
        <v>2</v>
      </c>
      <c r="AM129">
        <v>408.3</v>
      </c>
      <c r="AN129">
        <v>2</v>
      </c>
      <c r="AO129">
        <v>9.3740000000000006</v>
      </c>
      <c r="AP129">
        <v>2</v>
      </c>
      <c r="AQ129">
        <v>7.39</v>
      </c>
      <c r="AR129">
        <v>2</v>
      </c>
      <c r="AS129">
        <v>7.55</v>
      </c>
      <c r="AT129">
        <v>2</v>
      </c>
      <c r="AU129">
        <v>0.11</v>
      </c>
      <c r="AV129">
        <v>2</v>
      </c>
      <c r="AW129">
        <v>0.11</v>
      </c>
      <c r="AX129">
        <v>2</v>
      </c>
      <c r="AY129">
        <v>0.01</v>
      </c>
      <c r="AZ129">
        <v>2</v>
      </c>
      <c r="BA129">
        <v>0.01</v>
      </c>
      <c r="BB129">
        <v>2</v>
      </c>
      <c r="BC129">
        <v>0.79</v>
      </c>
      <c r="BD129">
        <v>2</v>
      </c>
      <c r="BE129">
        <v>0.81</v>
      </c>
      <c r="BF129">
        <v>2</v>
      </c>
      <c r="BG129">
        <v>0.2</v>
      </c>
      <c r="BH129">
        <v>2</v>
      </c>
      <c r="BI129">
        <v>0.2</v>
      </c>
      <c r="BJ129">
        <v>2</v>
      </c>
      <c r="BK129">
        <v>0.09</v>
      </c>
      <c r="BL129">
        <v>2</v>
      </c>
      <c r="BM129">
        <v>0.09</v>
      </c>
      <c r="BN129">
        <v>2</v>
      </c>
      <c r="BO129">
        <v>0.13500000000000001</v>
      </c>
      <c r="BP129">
        <v>2</v>
      </c>
      <c r="BQ129">
        <v>2.2000000000000002</v>
      </c>
      <c r="BR129">
        <v>2</v>
      </c>
      <c r="BS129">
        <v>3.4569999999999999</v>
      </c>
      <c r="BT129">
        <v>2</v>
      </c>
      <c r="BU129">
        <v>-8.4</v>
      </c>
      <c r="BV129">
        <v>2</v>
      </c>
      <c r="BW129">
        <v>7.25</v>
      </c>
      <c r="BX129">
        <v>2</v>
      </c>
      <c r="BY129">
        <v>7.0000000000000007E-2</v>
      </c>
      <c r="BZ129">
        <v>2</v>
      </c>
    </row>
    <row r="130" spans="1:78">
      <c r="A130" t="s">
        <v>10</v>
      </c>
      <c r="B130">
        <v>92</v>
      </c>
      <c r="C130">
        <v>32</v>
      </c>
      <c r="E130">
        <v>1690</v>
      </c>
      <c r="F130" t="s">
        <v>20</v>
      </c>
      <c r="G130">
        <v>140</v>
      </c>
      <c r="H130" s="52">
        <v>343625.88652482274</v>
      </c>
      <c r="I130" s="52">
        <v>37205.405935924464</v>
      </c>
      <c r="J130" s="2">
        <v>1.6827210481323724</v>
      </c>
      <c r="K130" s="2">
        <v>0.95198806821542503</v>
      </c>
      <c r="L130" s="2">
        <v>7.8508651769355915E-3</v>
      </c>
      <c r="M130" s="2">
        <f t="shared" si="3"/>
        <v>0.95983893339236059</v>
      </c>
      <c r="N130" s="1">
        <v>48.969565859841481</v>
      </c>
      <c r="O130" s="1">
        <v>27.704201154433562</v>
      </c>
      <c r="P130" s="1">
        <v>0.22847129639543218</v>
      </c>
      <c r="Q130" s="1">
        <v>76.902238310670469</v>
      </c>
      <c r="R130" t="s">
        <v>12</v>
      </c>
      <c r="S130" t="s">
        <v>13</v>
      </c>
      <c r="T130">
        <v>32</v>
      </c>
      <c r="U130">
        <v>6</v>
      </c>
      <c r="V130">
        <v>3</v>
      </c>
      <c r="W130">
        <v>3</v>
      </c>
      <c r="X130">
        <v>2</v>
      </c>
      <c r="Y130">
        <v>20020606</v>
      </c>
      <c r="Z130">
        <v>72.105900000000005</v>
      </c>
      <c r="AA130">
        <v>-154.4881</v>
      </c>
      <c r="AB130">
        <v>1578</v>
      </c>
      <c r="AC130">
        <v>146.4</v>
      </c>
      <c r="AD130">
        <v>2</v>
      </c>
      <c r="AE130">
        <v>-1.7796000000000001</v>
      </c>
      <c r="AF130">
        <v>2</v>
      </c>
      <c r="AG130">
        <v>33.7562</v>
      </c>
      <c r="AH130">
        <v>2</v>
      </c>
      <c r="AI130">
        <v>33.755600000000001</v>
      </c>
      <c r="AJ130">
        <v>2</v>
      </c>
      <c r="AK130">
        <v>319.2</v>
      </c>
      <c r="AL130">
        <v>2</v>
      </c>
      <c r="AM130">
        <v>328.9</v>
      </c>
      <c r="AN130">
        <v>2</v>
      </c>
      <c r="AO130">
        <v>7.5650000000000004</v>
      </c>
      <c r="AP130">
        <v>2</v>
      </c>
      <c r="AQ130">
        <v>38.770000000000003</v>
      </c>
      <c r="AR130">
        <v>2</v>
      </c>
      <c r="AS130">
        <v>39.64</v>
      </c>
      <c r="AT130">
        <v>2</v>
      </c>
      <c r="AU130">
        <v>12.22</v>
      </c>
      <c r="AV130">
        <v>2</v>
      </c>
      <c r="AW130">
        <v>12.49</v>
      </c>
      <c r="AX130">
        <v>2</v>
      </c>
      <c r="AY130">
        <v>7.0000000000000007E-2</v>
      </c>
      <c r="AZ130">
        <v>2</v>
      </c>
      <c r="BA130">
        <v>7.0000000000000007E-2</v>
      </c>
      <c r="BB130">
        <v>2</v>
      </c>
      <c r="BC130">
        <v>1.78</v>
      </c>
      <c r="BD130">
        <v>2</v>
      </c>
      <c r="BE130">
        <v>1.82</v>
      </c>
      <c r="BF130">
        <v>2</v>
      </c>
      <c r="BG130">
        <v>2.77</v>
      </c>
      <c r="BH130">
        <v>2</v>
      </c>
      <c r="BI130">
        <v>2.83</v>
      </c>
      <c r="BJ130">
        <v>2</v>
      </c>
      <c r="BK130">
        <v>-999</v>
      </c>
      <c r="BL130">
        <v>9</v>
      </c>
      <c r="BM130">
        <v>-999</v>
      </c>
      <c r="BN130">
        <v>9</v>
      </c>
      <c r="BO130">
        <v>0.14799999999999999</v>
      </c>
      <c r="BP130">
        <v>2</v>
      </c>
      <c r="BQ130">
        <v>0.83299999999999996</v>
      </c>
      <c r="BR130">
        <v>2</v>
      </c>
      <c r="BS130">
        <v>0.13600000000000001</v>
      </c>
      <c r="BT130">
        <v>2</v>
      </c>
      <c r="BU130">
        <v>-9.35</v>
      </c>
      <c r="BV130">
        <v>2</v>
      </c>
      <c r="BW130">
        <v>0.03</v>
      </c>
      <c r="BX130">
        <v>2</v>
      </c>
      <c r="BY130">
        <v>0.11</v>
      </c>
      <c r="BZ130">
        <v>2</v>
      </c>
    </row>
    <row r="131" spans="1:78">
      <c r="A131" t="s">
        <v>27</v>
      </c>
      <c r="B131">
        <v>59</v>
      </c>
      <c r="C131">
        <v>24</v>
      </c>
      <c r="E131">
        <v>52</v>
      </c>
      <c r="F131" t="s">
        <v>11</v>
      </c>
      <c r="G131">
        <v>45</v>
      </c>
      <c r="H131" s="52">
        <v>999237.58865248202</v>
      </c>
      <c r="I131" s="52">
        <v>248144.34978828821</v>
      </c>
      <c r="J131" s="2">
        <v>4.9991285507499121</v>
      </c>
      <c r="K131" s="2">
        <v>0.91966151555813624</v>
      </c>
      <c r="L131" s="2">
        <v>7.6692005740250244E-2</v>
      </c>
      <c r="M131" s="2">
        <f t="shared" si="3"/>
        <v>0.9963535212983865</v>
      </c>
      <c r="N131" s="1">
        <v>50.029428511506126</v>
      </c>
      <c r="O131" s="1">
        <v>9.2036321091397504</v>
      </c>
      <c r="P131" s="1">
        <v>0.76750521208547562</v>
      </c>
      <c r="Q131" s="1">
        <v>60.000565832731347</v>
      </c>
      <c r="R131" t="s">
        <v>29</v>
      </c>
      <c r="S131" t="s">
        <v>30</v>
      </c>
      <c r="T131">
        <v>24</v>
      </c>
      <c r="U131">
        <v>4</v>
      </c>
      <c r="V131">
        <v>1</v>
      </c>
      <c r="W131">
        <v>1</v>
      </c>
      <c r="X131">
        <v>2</v>
      </c>
      <c r="Y131">
        <v>20020804</v>
      </c>
      <c r="Z131">
        <v>71.290899999999993</v>
      </c>
      <c r="AA131">
        <v>-152.6249</v>
      </c>
      <c r="AB131">
        <v>50</v>
      </c>
      <c r="AC131">
        <v>46.2</v>
      </c>
      <c r="AD131">
        <v>2</v>
      </c>
      <c r="AE131">
        <v>-0.83340000000000003</v>
      </c>
      <c r="AF131">
        <v>2</v>
      </c>
      <c r="AG131">
        <v>31.1724</v>
      </c>
      <c r="AH131">
        <v>2</v>
      </c>
      <c r="AI131">
        <v>31.171399999999998</v>
      </c>
      <c r="AJ131">
        <v>2</v>
      </c>
      <c r="AK131">
        <v>379</v>
      </c>
      <c r="AL131">
        <v>2</v>
      </c>
      <c r="AM131">
        <v>389.2</v>
      </c>
      <c r="AN131">
        <v>2</v>
      </c>
      <c r="AO131">
        <v>8.9320000000000004</v>
      </c>
      <c r="AP131">
        <v>2</v>
      </c>
      <c r="AQ131">
        <v>15.1</v>
      </c>
      <c r="AR131">
        <v>2</v>
      </c>
      <c r="AS131">
        <v>15.41</v>
      </c>
      <c r="AT131">
        <v>2</v>
      </c>
      <c r="AU131">
        <v>1.1100000000000001</v>
      </c>
      <c r="AV131">
        <v>2</v>
      </c>
      <c r="AW131">
        <v>1.1299999999999999</v>
      </c>
      <c r="AX131">
        <v>2</v>
      </c>
      <c r="AY131">
        <v>0.05</v>
      </c>
      <c r="AZ131">
        <v>2</v>
      </c>
      <c r="BA131">
        <v>0.05</v>
      </c>
      <c r="BB131">
        <v>2</v>
      </c>
      <c r="BC131">
        <v>0.94</v>
      </c>
      <c r="BD131">
        <v>2</v>
      </c>
      <c r="BE131">
        <v>0.96</v>
      </c>
      <c r="BF131">
        <v>2</v>
      </c>
      <c r="BG131">
        <v>1.5</v>
      </c>
      <c r="BH131">
        <v>2</v>
      </c>
      <c r="BI131">
        <v>1.53</v>
      </c>
      <c r="BJ131">
        <v>2</v>
      </c>
      <c r="BK131">
        <v>0.13</v>
      </c>
      <c r="BL131">
        <v>2</v>
      </c>
      <c r="BM131">
        <v>0.13</v>
      </c>
      <c r="BN131">
        <v>2</v>
      </c>
      <c r="BO131">
        <v>0.13</v>
      </c>
      <c r="BP131">
        <v>2</v>
      </c>
      <c r="BQ131">
        <v>1.1439999999999999</v>
      </c>
      <c r="BR131">
        <v>2</v>
      </c>
      <c r="BS131">
        <v>0.39100000000000001</v>
      </c>
      <c r="BT131">
        <v>2</v>
      </c>
      <c r="BU131">
        <v>-8.41</v>
      </c>
      <c r="BV131">
        <v>2</v>
      </c>
      <c r="BW131">
        <v>0.34</v>
      </c>
      <c r="BX131">
        <v>2</v>
      </c>
      <c r="BY131">
        <v>0.28000000000000003</v>
      </c>
      <c r="BZ131">
        <v>2</v>
      </c>
    </row>
    <row r="132" spans="1:78">
      <c r="A132" t="s">
        <v>27</v>
      </c>
      <c r="B132">
        <v>34</v>
      </c>
      <c r="C132">
        <v>16</v>
      </c>
      <c r="E132">
        <v>291</v>
      </c>
      <c r="F132" t="s">
        <v>20</v>
      </c>
      <c r="G132">
        <v>0</v>
      </c>
      <c r="H132" s="52">
        <v>476808.51063829788</v>
      </c>
      <c r="I132" s="52">
        <v>109732.7805837944</v>
      </c>
      <c r="J132" s="2">
        <v>2.5495852512875312</v>
      </c>
      <c r="K132" s="2">
        <v>1.0080991226886524</v>
      </c>
      <c r="L132" s="2">
        <v>3.6252772292729087E-2</v>
      </c>
      <c r="M132" s="2">
        <f t="shared" si="3"/>
        <v>1.0443518949813815</v>
      </c>
      <c r="N132" s="1">
        <v>53.471890589252105</v>
      </c>
      <c r="O132" s="1">
        <v>21.142641127338983</v>
      </c>
      <c r="P132" s="1">
        <v>0.76032141800904374</v>
      </c>
      <c r="Q132" s="1">
        <v>75.37485313460013</v>
      </c>
      <c r="R132" t="s">
        <v>29</v>
      </c>
      <c r="S132" t="s">
        <v>30</v>
      </c>
      <c r="T132">
        <v>16</v>
      </c>
      <c r="U132">
        <v>5</v>
      </c>
      <c r="V132">
        <v>12</v>
      </c>
      <c r="W132">
        <v>12</v>
      </c>
      <c r="X132">
        <v>2</v>
      </c>
      <c r="Y132">
        <v>20020726</v>
      </c>
      <c r="Z132">
        <v>72.218699999999998</v>
      </c>
      <c r="AA132">
        <v>-154.1343</v>
      </c>
      <c r="AB132">
        <v>2029</v>
      </c>
      <c r="AC132">
        <v>1.8</v>
      </c>
      <c r="AD132">
        <v>2</v>
      </c>
      <c r="AE132">
        <v>-1.3452</v>
      </c>
      <c r="AF132">
        <v>2</v>
      </c>
      <c r="AG132">
        <v>28.029499999999999</v>
      </c>
      <c r="AH132">
        <v>2</v>
      </c>
      <c r="AI132">
        <v>27.568200000000001</v>
      </c>
      <c r="AJ132">
        <v>2</v>
      </c>
      <c r="AK132">
        <v>383.7</v>
      </c>
      <c r="AL132">
        <v>2</v>
      </c>
      <c r="AM132">
        <v>395.3</v>
      </c>
      <c r="AN132">
        <v>2</v>
      </c>
      <c r="AO132">
        <v>9.0470000000000006</v>
      </c>
      <c r="AP132">
        <v>2</v>
      </c>
      <c r="AQ132">
        <v>4</v>
      </c>
      <c r="AR132">
        <v>2</v>
      </c>
      <c r="AS132">
        <v>4.07</v>
      </c>
      <c r="AT132">
        <v>2</v>
      </c>
      <c r="AU132">
        <v>0.19</v>
      </c>
      <c r="AV132">
        <v>2</v>
      </c>
      <c r="AW132">
        <v>0.19</v>
      </c>
      <c r="AX132">
        <v>2</v>
      </c>
      <c r="AY132">
        <v>0.01</v>
      </c>
      <c r="AZ132">
        <v>2</v>
      </c>
      <c r="BA132">
        <v>0.01</v>
      </c>
      <c r="BB132">
        <v>2</v>
      </c>
      <c r="BC132">
        <v>0.67</v>
      </c>
      <c r="BD132">
        <v>2</v>
      </c>
      <c r="BE132">
        <v>0.68</v>
      </c>
      <c r="BF132">
        <v>2</v>
      </c>
      <c r="BG132">
        <v>0.13</v>
      </c>
      <c r="BH132">
        <v>2</v>
      </c>
      <c r="BI132">
        <v>0.13</v>
      </c>
      <c r="BJ132">
        <v>2</v>
      </c>
      <c r="BK132">
        <v>0.01</v>
      </c>
      <c r="BL132">
        <v>2</v>
      </c>
      <c r="BM132">
        <v>0.01</v>
      </c>
      <c r="BN132">
        <v>2</v>
      </c>
      <c r="BO132">
        <v>0.106</v>
      </c>
      <c r="BP132">
        <v>2</v>
      </c>
      <c r="BQ132">
        <v>1.1160000000000001</v>
      </c>
      <c r="BR132">
        <v>2</v>
      </c>
      <c r="BS132">
        <v>0</v>
      </c>
      <c r="BT132">
        <v>2</v>
      </c>
      <c r="BU132">
        <v>-6.59</v>
      </c>
      <c r="BV132">
        <v>2</v>
      </c>
      <c r="BW132">
        <v>0.32</v>
      </c>
      <c r="BX132">
        <v>2</v>
      </c>
      <c r="BY132">
        <v>0.26</v>
      </c>
      <c r="BZ132">
        <v>2</v>
      </c>
    </row>
    <row r="133" spans="1:78">
      <c r="A133" t="s">
        <v>41</v>
      </c>
      <c r="B133">
        <v>75</v>
      </c>
      <c r="C133">
        <v>21</v>
      </c>
      <c r="E133">
        <v>398</v>
      </c>
      <c r="F133" t="s">
        <v>20</v>
      </c>
      <c r="G133">
        <v>10</v>
      </c>
      <c r="H133" s="52">
        <v>889962.6038322798</v>
      </c>
      <c r="I133" s="52">
        <v>143850.39629365643</v>
      </c>
      <c r="J133" s="2">
        <v>7.4504439222785379</v>
      </c>
      <c r="K133" s="2">
        <v>0.68038157051723969</v>
      </c>
      <c r="L133" s="2">
        <v>0.36462818989295287</v>
      </c>
      <c r="M133" s="2">
        <f t="shared" si="3"/>
        <v>1.0450097604101924</v>
      </c>
      <c r="N133" s="1">
        <v>83.716370667667178</v>
      </c>
      <c r="O133" s="1">
        <v>7.6450579786997732</v>
      </c>
      <c r="P133" s="1">
        <v>4.0971181072420633</v>
      </c>
      <c r="Q133" s="1">
        <v>95.458546753609014</v>
      </c>
      <c r="R133" t="s">
        <v>42</v>
      </c>
      <c r="S133" t="s">
        <v>47</v>
      </c>
      <c r="T133">
        <v>21</v>
      </c>
      <c r="U133">
        <v>1</v>
      </c>
      <c r="V133">
        <v>11</v>
      </c>
      <c r="W133">
        <v>11</v>
      </c>
      <c r="X133">
        <v>2</v>
      </c>
      <c r="Y133">
        <v>20040606</v>
      </c>
      <c r="Z133">
        <v>72.629000000000005</v>
      </c>
      <c r="AA133">
        <v>-157.392</v>
      </c>
      <c r="AB133">
        <v>384</v>
      </c>
      <c r="AC133">
        <v>11.6</v>
      </c>
      <c r="AD133">
        <v>2</v>
      </c>
      <c r="AE133">
        <v>-1.5270999999999999</v>
      </c>
      <c r="AF133">
        <v>2</v>
      </c>
      <c r="AG133">
        <v>29.6736</v>
      </c>
      <c r="AH133">
        <v>2</v>
      </c>
      <c r="AI133">
        <v>29.6663</v>
      </c>
      <c r="AJ133">
        <v>2</v>
      </c>
      <c r="AK133">
        <v>414.4</v>
      </c>
      <c r="AL133">
        <v>2</v>
      </c>
      <c r="AM133">
        <v>398.9</v>
      </c>
      <c r="AN133">
        <v>2</v>
      </c>
      <c r="AO133">
        <v>9.1449999999999996</v>
      </c>
      <c r="AP133">
        <v>2</v>
      </c>
      <c r="AQ133">
        <v>4.17</v>
      </c>
      <c r="AR133">
        <v>2</v>
      </c>
      <c r="AS133">
        <v>4.25</v>
      </c>
      <c r="AT133">
        <v>2</v>
      </c>
      <c r="AU133">
        <v>0.17</v>
      </c>
      <c r="AV133">
        <v>2</v>
      </c>
      <c r="AW133">
        <v>0.17</v>
      </c>
      <c r="AX133">
        <v>2</v>
      </c>
      <c r="AY133">
        <v>0.02</v>
      </c>
      <c r="AZ133">
        <v>2</v>
      </c>
      <c r="BA133">
        <v>0.02</v>
      </c>
      <c r="BB133">
        <v>2</v>
      </c>
      <c r="BC133">
        <v>0.71</v>
      </c>
      <c r="BD133">
        <v>2</v>
      </c>
      <c r="BE133">
        <v>0.72</v>
      </c>
      <c r="BF133">
        <v>2</v>
      </c>
      <c r="BG133">
        <v>0.16</v>
      </c>
      <c r="BH133">
        <v>2</v>
      </c>
      <c r="BI133">
        <v>0.16</v>
      </c>
      <c r="BJ133">
        <v>2</v>
      </c>
      <c r="BK133">
        <v>0.16</v>
      </c>
      <c r="BL133">
        <v>2</v>
      </c>
      <c r="BM133">
        <v>0.16</v>
      </c>
      <c r="BN133">
        <v>2</v>
      </c>
      <c r="BO133">
        <v>0.111</v>
      </c>
      <c r="BP133">
        <v>2</v>
      </c>
      <c r="BQ133">
        <v>1.423</v>
      </c>
      <c r="BR133">
        <v>2</v>
      </c>
      <c r="BS133">
        <v>2.0350000000000001</v>
      </c>
      <c r="BT133">
        <v>2</v>
      </c>
      <c r="BU133">
        <v>-7.13</v>
      </c>
      <c r="BV133">
        <v>2</v>
      </c>
      <c r="BW133">
        <v>0.45</v>
      </c>
      <c r="BX133">
        <v>2</v>
      </c>
      <c r="BY133">
        <v>0.21</v>
      </c>
      <c r="BZ133">
        <v>2</v>
      </c>
    </row>
    <row r="134" spans="1:78">
      <c r="A134" t="s">
        <v>27</v>
      </c>
      <c r="B134">
        <v>97</v>
      </c>
      <c r="C134">
        <v>33</v>
      </c>
      <c r="E134">
        <v>2140</v>
      </c>
      <c r="F134" t="s">
        <v>17</v>
      </c>
      <c r="G134">
        <v>35</v>
      </c>
      <c r="H134" s="52">
        <v>724778.3687943262</v>
      </c>
      <c r="I134" s="52">
        <v>115975.81985761298</v>
      </c>
      <c r="J134" s="2">
        <v>5.4849920136735992</v>
      </c>
      <c r="K134" s="2">
        <v>0.8201399879022081</v>
      </c>
      <c r="L134" s="2">
        <v>0.27085567793629894</v>
      </c>
      <c r="M134" s="2">
        <f t="shared" si="3"/>
        <v>1.0909956658385069</v>
      </c>
      <c r="N134" s="1">
        <v>77.355652158805583</v>
      </c>
      <c r="O134" s="1">
        <v>11.315734895158593</v>
      </c>
      <c r="P134" s="1">
        <v>3.7370828048699796</v>
      </c>
      <c r="Q134" s="1">
        <v>92.408469858834167</v>
      </c>
      <c r="R134" t="s">
        <v>29</v>
      </c>
      <c r="S134" t="s">
        <v>30</v>
      </c>
      <c r="T134">
        <v>33</v>
      </c>
      <c r="U134">
        <v>5</v>
      </c>
      <c r="V134">
        <v>6</v>
      </c>
      <c r="W134">
        <v>6</v>
      </c>
      <c r="X134">
        <v>2</v>
      </c>
      <c r="Y134">
        <v>20020814</v>
      </c>
      <c r="Z134">
        <v>73.504099999999994</v>
      </c>
      <c r="AA134">
        <v>-159.5796</v>
      </c>
      <c r="AB134">
        <v>2216</v>
      </c>
      <c r="AC134">
        <v>35.700000000000003</v>
      </c>
      <c r="AD134">
        <v>2</v>
      </c>
      <c r="AE134">
        <v>-0.72819999999999996</v>
      </c>
      <c r="AF134">
        <v>2</v>
      </c>
      <c r="AG134">
        <v>31.2057</v>
      </c>
      <c r="AH134">
        <v>2</v>
      </c>
      <c r="AI134">
        <v>-999</v>
      </c>
      <c r="AJ134">
        <v>9</v>
      </c>
      <c r="AK134">
        <v>381.7</v>
      </c>
      <c r="AL134">
        <v>2</v>
      </c>
      <c r="AM134">
        <v>396.4</v>
      </c>
      <c r="AN134">
        <v>2</v>
      </c>
      <c r="AO134">
        <v>9.0990000000000002</v>
      </c>
      <c r="AP134">
        <v>2</v>
      </c>
      <c r="AQ134">
        <v>6.06</v>
      </c>
      <c r="AR134">
        <v>2</v>
      </c>
      <c r="AS134">
        <v>6.18</v>
      </c>
      <c r="AT134">
        <v>2</v>
      </c>
      <c r="AU134">
        <v>0.04</v>
      </c>
      <c r="AV134">
        <v>2</v>
      </c>
      <c r="AW134">
        <v>0.04</v>
      </c>
      <c r="AX134">
        <v>2</v>
      </c>
      <c r="AY134">
        <v>0.03</v>
      </c>
      <c r="AZ134">
        <v>2</v>
      </c>
      <c r="BA134">
        <v>0.03</v>
      </c>
      <c r="BB134">
        <v>2</v>
      </c>
      <c r="BC134">
        <v>0.85</v>
      </c>
      <c r="BD134">
        <v>2</v>
      </c>
      <c r="BE134">
        <v>0.87</v>
      </c>
      <c r="BF134">
        <v>2</v>
      </c>
      <c r="BG134">
        <v>0.02</v>
      </c>
      <c r="BH134">
        <v>2</v>
      </c>
      <c r="BI134">
        <v>0.02</v>
      </c>
      <c r="BJ134">
        <v>2</v>
      </c>
      <c r="BK134">
        <v>0</v>
      </c>
      <c r="BL134">
        <v>2</v>
      </c>
      <c r="BM134">
        <v>0</v>
      </c>
      <c r="BN134">
        <v>2</v>
      </c>
      <c r="BO134">
        <v>0.113</v>
      </c>
      <c r="BP134">
        <v>2</v>
      </c>
      <c r="BQ134">
        <v>1.3220000000000001</v>
      </c>
      <c r="BR134">
        <v>2</v>
      </c>
      <c r="BS134">
        <v>1.3240000000000001</v>
      </c>
      <c r="BT134">
        <v>2</v>
      </c>
      <c r="BU134">
        <v>-9.44</v>
      </c>
      <c r="BV134">
        <v>2</v>
      </c>
      <c r="BW134">
        <v>0.37</v>
      </c>
      <c r="BX134">
        <v>2</v>
      </c>
      <c r="BY134">
        <v>0.23</v>
      </c>
      <c r="BZ134">
        <v>2</v>
      </c>
    </row>
    <row r="135" spans="1:78">
      <c r="A135" t="s">
        <v>10</v>
      </c>
      <c r="B135">
        <v>16</v>
      </c>
      <c r="C135">
        <v>6</v>
      </c>
      <c r="D135" t="s">
        <v>14</v>
      </c>
      <c r="E135">
        <v>50</v>
      </c>
      <c r="F135" t="s">
        <v>11</v>
      </c>
      <c r="G135">
        <v>60</v>
      </c>
      <c r="H135" s="52">
        <v>525372.34042553196</v>
      </c>
      <c r="I135" s="52">
        <v>112301.30771620406</v>
      </c>
      <c r="J135" s="2">
        <v>3.4917984490193721</v>
      </c>
      <c r="K135" s="2">
        <v>1.081051539680554</v>
      </c>
      <c r="L135" s="2">
        <v>4.5113229204658413E-2</v>
      </c>
      <c r="M135" s="2">
        <f t="shared" si="3"/>
        <v>1.1261647688852123</v>
      </c>
      <c r="N135" s="1">
        <v>70.687111930831264</v>
      </c>
      <c r="O135" s="1">
        <v>20.576864377841865</v>
      </c>
      <c r="P135" s="1">
        <v>0.85869060347026227</v>
      </c>
      <c r="Q135" s="1">
        <v>92.122666912143401</v>
      </c>
      <c r="R135" t="s">
        <v>12</v>
      </c>
      <c r="S135" t="s">
        <v>13</v>
      </c>
      <c r="T135">
        <v>6</v>
      </c>
      <c r="U135">
        <v>1</v>
      </c>
      <c r="V135">
        <v>1</v>
      </c>
      <c r="W135">
        <v>1</v>
      </c>
      <c r="X135">
        <v>2</v>
      </c>
      <c r="Y135">
        <v>20020517</v>
      </c>
      <c r="Z135">
        <v>72.920400000000001</v>
      </c>
      <c r="AA135">
        <v>-160.52099999999999</v>
      </c>
      <c r="AB135">
        <v>71</v>
      </c>
      <c r="AC135">
        <v>60.9</v>
      </c>
      <c r="AD135">
        <v>2</v>
      </c>
      <c r="AE135">
        <v>-1.7776000000000001</v>
      </c>
      <c r="AF135">
        <v>2</v>
      </c>
      <c r="AG135">
        <v>32.635300000000001</v>
      </c>
      <c r="AH135">
        <v>2</v>
      </c>
      <c r="AI135">
        <v>32.686799999999998</v>
      </c>
      <c r="AJ135">
        <v>2</v>
      </c>
      <c r="AK135">
        <v>306.7</v>
      </c>
      <c r="AL135">
        <v>2</v>
      </c>
      <c r="AM135">
        <v>-999</v>
      </c>
      <c r="AN135">
        <v>9</v>
      </c>
      <c r="AO135">
        <v>-999</v>
      </c>
      <c r="AP135">
        <v>9</v>
      </c>
      <c r="AQ135">
        <v>36.65</v>
      </c>
      <c r="AR135">
        <v>2</v>
      </c>
      <c r="AS135">
        <v>37.44</v>
      </c>
      <c r="AT135">
        <v>2</v>
      </c>
      <c r="AU135">
        <v>9.68</v>
      </c>
      <c r="AV135">
        <v>2</v>
      </c>
      <c r="AW135">
        <v>9.89</v>
      </c>
      <c r="AX135">
        <v>2</v>
      </c>
      <c r="AY135">
        <v>0.1</v>
      </c>
      <c r="AZ135">
        <v>2</v>
      </c>
      <c r="BA135">
        <v>0.1</v>
      </c>
      <c r="BB135">
        <v>2</v>
      </c>
      <c r="BC135">
        <v>1.74</v>
      </c>
      <c r="BD135">
        <v>2</v>
      </c>
      <c r="BE135">
        <v>1.78</v>
      </c>
      <c r="BF135">
        <v>2</v>
      </c>
      <c r="BG135">
        <v>2.15</v>
      </c>
      <c r="BH135">
        <v>2</v>
      </c>
      <c r="BI135">
        <v>2.2000000000000002</v>
      </c>
      <c r="BJ135">
        <v>2</v>
      </c>
      <c r="BK135">
        <v>0.05</v>
      </c>
      <c r="BL135">
        <v>2</v>
      </c>
      <c r="BM135">
        <v>0.05</v>
      </c>
      <c r="BN135">
        <v>2</v>
      </c>
      <c r="BO135">
        <v>0.153</v>
      </c>
      <c r="BP135">
        <v>2</v>
      </c>
      <c r="BQ135">
        <v>0.80700000000000005</v>
      </c>
      <c r="BR135">
        <v>2</v>
      </c>
      <c r="BS135">
        <v>0.25700000000000001</v>
      </c>
      <c r="BT135">
        <v>2</v>
      </c>
      <c r="BU135">
        <v>-11.58</v>
      </c>
      <c r="BV135">
        <v>2</v>
      </c>
      <c r="BW135">
        <v>-999</v>
      </c>
      <c r="BX135">
        <v>9</v>
      </c>
      <c r="BY135">
        <v>-999</v>
      </c>
      <c r="BZ135">
        <v>9</v>
      </c>
    </row>
    <row r="136" spans="1:78">
      <c r="A136" t="s">
        <v>52</v>
      </c>
      <c r="B136">
        <v>67</v>
      </c>
      <c r="C136">
        <v>30</v>
      </c>
      <c r="E136">
        <v>3728</v>
      </c>
      <c r="F136" t="s">
        <v>17</v>
      </c>
      <c r="G136">
        <v>0</v>
      </c>
      <c r="H136" s="52">
        <v>341897.01897018967</v>
      </c>
      <c r="I136" s="52"/>
      <c r="J136" s="2">
        <v>2.2115663641674455</v>
      </c>
      <c r="K136" s="2">
        <v>1.0749290008690469</v>
      </c>
      <c r="L136" s="2">
        <v>0.16312167710360206</v>
      </c>
      <c r="M136" s="2">
        <f t="shared" si="3"/>
        <v>1.238050677972649</v>
      </c>
      <c r="N136" s="1">
        <v>64.685160778201293</v>
      </c>
      <c r="O136" s="1">
        <v>31.440139610072791</v>
      </c>
      <c r="P136" s="1">
        <v>4.771076319850124</v>
      </c>
      <c r="Q136" s="1">
        <v>100.89637670812421</v>
      </c>
      <c r="R136" t="s">
        <v>53</v>
      </c>
      <c r="S136" t="s">
        <v>61</v>
      </c>
      <c r="T136">
        <v>30</v>
      </c>
      <c r="U136">
        <v>5</v>
      </c>
      <c r="V136">
        <v>511</v>
      </c>
      <c r="W136">
        <v>11</v>
      </c>
      <c r="X136">
        <v>2</v>
      </c>
      <c r="Y136">
        <v>20040801</v>
      </c>
      <c r="Z136">
        <v>72.528000000000006</v>
      </c>
      <c r="AA136">
        <v>-152.11000000000001</v>
      </c>
      <c r="AB136">
        <v>3720</v>
      </c>
      <c r="AC136">
        <v>2</v>
      </c>
      <c r="AD136">
        <v>2</v>
      </c>
      <c r="AE136">
        <v>-1.282</v>
      </c>
      <c r="AF136">
        <v>2</v>
      </c>
      <c r="AG136">
        <v>26.486000000000001</v>
      </c>
      <c r="AH136">
        <v>2</v>
      </c>
      <c r="AI136">
        <v>-999</v>
      </c>
      <c r="AJ136">
        <v>9</v>
      </c>
      <c r="AK136">
        <v>377</v>
      </c>
      <c r="AL136">
        <v>2</v>
      </c>
      <c r="AM136">
        <v>384.2</v>
      </c>
      <c r="AN136">
        <v>2</v>
      </c>
      <c r="AO136">
        <v>8.7859999999999996</v>
      </c>
      <c r="AP136">
        <v>2</v>
      </c>
      <c r="AQ136">
        <v>1.96</v>
      </c>
      <c r="AR136">
        <v>2</v>
      </c>
      <c r="AS136">
        <v>2</v>
      </c>
      <c r="AT136">
        <v>2</v>
      </c>
      <c r="AU136">
        <v>0.04</v>
      </c>
      <c r="AV136">
        <v>2</v>
      </c>
      <c r="AW136">
        <v>0.04</v>
      </c>
      <c r="AX136">
        <v>2</v>
      </c>
      <c r="AY136">
        <v>0</v>
      </c>
      <c r="AZ136">
        <v>2</v>
      </c>
      <c r="BA136">
        <v>0</v>
      </c>
      <c r="BB136">
        <v>2</v>
      </c>
      <c r="BC136">
        <v>0.59</v>
      </c>
      <c r="BD136">
        <v>2</v>
      </c>
      <c r="BE136">
        <v>0.6</v>
      </c>
      <c r="BF136">
        <v>2</v>
      </c>
      <c r="BG136">
        <v>0.11</v>
      </c>
      <c r="BH136">
        <v>2</v>
      </c>
      <c r="BI136">
        <v>0.11</v>
      </c>
      <c r="BJ136">
        <v>2</v>
      </c>
      <c r="BK136">
        <v>0</v>
      </c>
      <c r="BL136">
        <v>2</v>
      </c>
      <c r="BM136">
        <v>0</v>
      </c>
      <c r="BN136">
        <v>2</v>
      </c>
      <c r="BO136">
        <v>-999</v>
      </c>
      <c r="BP136">
        <v>9</v>
      </c>
      <c r="BS136">
        <v>2.7970000000000002</v>
      </c>
      <c r="BT136">
        <v>2</v>
      </c>
      <c r="BU136">
        <v>-5.63</v>
      </c>
      <c r="BV136">
        <v>2</v>
      </c>
      <c r="BW136">
        <v>0.03</v>
      </c>
      <c r="BX136">
        <v>2</v>
      </c>
      <c r="BY136">
        <v>0.01</v>
      </c>
      <c r="BZ136">
        <v>2</v>
      </c>
    </row>
    <row r="137" spans="1:78">
      <c r="A137" t="s">
        <v>41</v>
      </c>
      <c r="B137">
        <v>110</v>
      </c>
      <c r="C137">
        <v>26</v>
      </c>
      <c r="E137">
        <v>577</v>
      </c>
      <c r="F137" t="s">
        <v>20</v>
      </c>
      <c r="G137">
        <v>150</v>
      </c>
      <c r="H137" s="52">
        <v>348084.80376629584</v>
      </c>
      <c r="I137" s="52"/>
      <c r="J137" s="2">
        <v>3.1674836400181232</v>
      </c>
      <c r="K137" s="2">
        <v>1.1467941831987005</v>
      </c>
      <c r="L137" s="2">
        <v>9.8745322956744944E-2</v>
      </c>
      <c r="M137" s="2">
        <f t="shared" si="3"/>
        <v>1.2455395061554455</v>
      </c>
      <c r="N137" s="1">
        <v>90.997469747193321</v>
      </c>
      <c r="O137" s="1">
        <v>32.945827303873287</v>
      </c>
      <c r="P137" s="1">
        <v>2.8368179790762302</v>
      </c>
      <c r="Q137" s="1">
        <v>126.78011503014284</v>
      </c>
      <c r="R137" t="s">
        <v>42</v>
      </c>
      <c r="S137" t="s">
        <v>51</v>
      </c>
      <c r="T137">
        <v>26</v>
      </c>
      <c r="U137">
        <v>1</v>
      </c>
      <c r="V137">
        <v>1</v>
      </c>
      <c r="W137">
        <v>1</v>
      </c>
      <c r="X137">
        <v>2</v>
      </c>
      <c r="Y137">
        <v>20040613</v>
      </c>
      <c r="Z137">
        <v>72.096999999999994</v>
      </c>
      <c r="AA137">
        <v>-154.39099999999999</v>
      </c>
      <c r="AB137">
        <v>1306</v>
      </c>
      <c r="AC137">
        <v>153</v>
      </c>
      <c r="AD137">
        <v>2</v>
      </c>
      <c r="AE137">
        <v>-1.3613999999999999</v>
      </c>
      <c r="AF137">
        <v>2</v>
      </c>
      <c r="AG137">
        <v>33.240400000000001</v>
      </c>
      <c r="AH137">
        <v>2</v>
      </c>
      <c r="AI137">
        <v>33.223700000000001</v>
      </c>
      <c r="AJ137">
        <v>2</v>
      </c>
      <c r="AK137">
        <v>389.7</v>
      </c>
      <c r="AL137">
        <v>2</v>
      </c>
      <c r="AM137">
        <v>377.6</v>
      </c>
      <c r="AN137">
        <v>2</v>
      </c>
      <c r="AO137">
        <v>8.6809999999999992</v>
      </c>
      <c r="AP137">
        <v>2</v>
      </c>
      <c r="AQ137">
        <v>20.85</v>
      </c>
      <c r="AR137">
        <v>2</v>
      </c>
      <c r="AS137">
        <v>21.33</v>
      </c>
      <c r="AT137">
        <v>2</v>
      </c>
      <c r="AU137">
        <v>4</v>
      </c>
      <c r="AV137">
        <v>2</v>
      </c>
      <c r="AW137">
        <v>4.09</v>
      </c>
      <c r="AX137">
        <v>2</v>
      </c>
      <c r="AY137">
        <v>7.0000000000000007E-2</v>
      </c>
      <c r="AZ137">
        <v>2</v>
      </c>
      <c r="BA137">
        <v>7.0000000000000007E-2</v>
      </c>
      <c r="BB137">
        <v>2</v>
      </c>
      <c r="BC137">
        <v>1.24</v>
      </c>
      <c r="BD137">
        <v>2</v>
      </c>
      <c r="BE137">
        <v>1.27</v>
      </c>
      <c r="BF137">
        <v>2</v>
      </c>
      <c r="BG137">
        <v>1.31</v>
      </c>
      <c r="BH137">
        <v>2</v>
      </c>
      <c r="BI137">
        <v>1.34</v>
      </c>
      <c r="BJ137">
        <v>2</v>
      </c>
      <c r="BK137">
        <v>0.24</v>
      </c>
      <c r="BL137">
        <v>2</v>
      </c>
      <c r="BM137">
        <v>0.25</v>
      </c>
      <c r="BN137">
        <v>2</v>
      </c>
      <c r="BO137">
        <v>0.154</v>
      </c>
      <c r="BP137">
        <v>2</v>
      </c>
      <c r="BQ137">
        <v>1.9870000000000001</v>
      </c>
      <c r="BR137">
        <v>2</v>
      </c>
      <c r="BS137">
        <v>0.152</v>
      </c>
      <c r="BT137">
        <v>2</v>
      </c>
      <c r="BU137">
        <v>-10.3</v>
      </c>
      <c r="BV137">
        <v>2</v>
      </c>
      <c r="BW137">
        <v>5.24</v>
      </c>
      <c r="BX137">
        <v>2</v>
      </c>
      <c r="BY137">
        <v>0.67</v>
      </c>
      <c r="BZ137">
        <v>2</v>
      </c>
    </row>
    <row r="138" spans="1:78">
      <c r="A138" t="s">
        <v>52</v>
      </c>
      <c r="B138">
        <v>45</v>
      </c>
      <c r="C138">
        <v>24</v>
      </c>
      <c r="E138">
        <v>2200</v>
      </c>
      <c r="F138" t="s">
        <v>17</v>
      </c>
      <c r="G138">
        <v>0</v>
      </c>
      <c r="H138" s="52">
        <v>1215861.0495195861</v>
      </c>
      <c r="I138" s="52"/>
      <c r="J138" s="2">
        <v>9.4600515681649817</v>
      </c>
      <c r="K138" s="2">
        <v>1.1635245062858439</v>
      </c>
      <c r="L138" s="2">
        <v>0.11229057452686662</v>
      </c>
      <c r="M138" s="2">
        <f t="shared" si="3"/>
        <v>1.2758150808127104</v>
      </c>
      <c r="N138" s="1">
        <v>77.805367413512101</v>
      </c>
      <c r="O138" s="1">
        <v>9.5695516090887072</v>
      </c>
      <c r="P138" s="1">
        <v>0.92354775713256987</v>
      </c>
      <c r="Q138" s="1">
        <v>88.298466779733374</v>
      </c>
      <c r="R138" t="s">
        <v>53</v>
      </c>
      <c r="S138" t="s">
        <v>59</v>
      </c>
      <c r="T138">
        <v>24</v>
      </c>
      <c r="U138">
        <v>2</v>
      </c>
      <c r="V138">
        <v>211</v>
      </c>
      <c r="W138">
        <v>11</v>
      </c>
      <c r="X138">
        <v>2</v>
      </c>
      <c r="Y138">
        <v>20040728</v>
      </c>
      <c r="Z138">
        <v>72.287999999999997</v>
      </c>
      <c r="AA138">
        <v>-154.29499999999999</v>
      </c>
      <c r="AB138">
        <v>2245</v>
      </c>
      <c r="AC138">
        <v>2.1</v>
      </c>
      <c r="AD138">
        <v>2</v>
      </c>
      <c r="AE138">
        <v>1.62</v>
      </c>
      <c r="AF138">
        <v>2</v>
      </c>
      <c r="AG138">
        <v>27.007999999999999</v>
      </c>
      <c r="AH138">
        <v>2</v>
      </c>
      <c r="AI138">
        <v>-999</v>
      </c>
      <c r="AJ138">
        <v>9</v>
      </c>
      <c r="AK138">
        <v>390.5</v>
      </c>
      <c r="AL138">
        <v>2</v>
      </c>
      <c r="AM138">
        <v>398.3</v>
      </c>
      <c r="AN138">
        <v>2</v>
      </c>
      <c r="AO138">
        <v>9.109</v>
      </c>
      <c r="AP138">
        <v>2</v>
      </c>
      <c r="AQ138">
        <v>5.89</v>
      </c>
      <c r="AR138">
        <v>2</v>
      </c>
      <c r="AS138">
        <v>6</v>
      </c>
      <c r="AT138">
        <v>2</v>
      </c>
      <c r="AU138">
        <v>0.1</v>
      </c>
      <c r="AV138">
        <v>2</v>
      </c>
      <c r="AW138">
        <v>0.1</v>
      </c>
      <c r="AX138">
        <v>2</v>
      </c>
      <c r="AY138">
        <v>0</v>
      </c>
      <c r="AZ138">
        <v>2</v>
      </c>
      <c r="BA138">
        <v>0</v>
      </c>
      <c r="BB138">
        <v>2</v>
      </c>
      <c r="BC138">
        <v>0.49</v>
      </c>
      <c r="BD138">
        <v>2</v>
      </c>
      <c r="BE138">
        <v>0.5</v>
      </c>
      <c r="BF138">
        <v>2</v>
      </c>
      <c r="BG138">
        <v>0.16</v>
      </c>
      <c r="BH138">
        <v>2</v>
      </c>
      <c r="BI138">
        <v>0.16</v>
      </c>
      <c r="BJ138">
        <v>2</v>
      </c>
      <c r="BK138">
        <v>0.02</v>
      </c>
      <c r="BL138">
        <v>2</v>
      </c>
      <c r="BM138">
        <v>0.02</v>
      </c>
      <c r="BN138">
        <v>2</v>
      </c>
      <c r="BO138">
        <v>-999</v>
      </c>
      <c r="BP138">
        <v>9</v>
      </c>
      <c r="BS138">
        <v>2.944</v>
      </c>
      <c r="BT138">
        <v>2</v>
      </c>
      <c r="BU138">
        <v>-4.1399999999999997</v>
      </c>
      <c r="BV138">
        <v>2</v>
      </c>
      <c r="BW138">
        <v>0.37</v>
      </c>
      <c r="BX138">
        <v>2</v>
      </c>
      <c r="BY138">
        <v>0.03</v>
      </c>
      <c r="BZ138">
        <v>2</v>
      </c>
    </row>
    <row r="139" spans="1:78">
      <c r="A139" t="s">
        <v>52</v>
      </c>
      <c r="B139">
        <v>96</v>
      </c>
      <c r="C139">
        <v>34</v>
      </c>
      <c r="E139">
        <v>481</v>
      </c>
      <c r="F139" t="s">
        <v>20</v>
      </c>
      <c r="G139">
        <v>0</v>
      </c>
      <c r="H139" s="52">
        <v>1192140.9214092141</v>
      </c>
      <c r="I139" s="52"/>
      <c r="J139" s="2">
        <v>9.2862201415334713</v>
      </c>
      <c r="K139" s="2">
        <v>1.108246483402989</v>
      </c>
      <c r="L139" s="2">
        <v>0.18244283064608374</v>
      </c>
      <c r="M139" s="2">
        <f t="shared" si="3"/>
        <v>1.2906893140490727</v>
      </c>
      <c r="N139" s="1">
        <v>77.895322396586735</v>
      </c>
      <c r="O139" s="1">
        <v>9.2962707973562839</v>
      </c>
      <c r="P139" s="1">
        <v>1.5303797342215253</v>
      </c>
      <c r="Q139" s="1">
        <v>88.721972928164547</v>
      </c>
      <c r="R139" t="s">
        <v>53</v>
      </c>
      <c r="S139" t="s">
        <v>63</v>
      </c>
      <c r="T139">
        <v>34</v>
      </c>
      <c r="U139">
        <v>5</v>
      </c>
      <c r="V139">
        <v>511</v>
      </c>
      <c r="W139">
        <v>11</v>
      </c>
      <c r="X139">
        <v>2</v>
      </c>
      <c r="Y139">
        <v>20040806</v>
      </c>
      <c r="Z139">
        <v>71.623000000000005</v>
      </c>
      <c r="AA139">
        <v>-152.309</v>
      </c>
      <c r="AB139">
        <v>502</v>
      </c>
      <c r="AC139">
        <v>2.1</v>
      </c>
      <c r="AD139">
        <v>2</v>
      </c>
      <c r="AE139">
        <v>4.2789999999999999</v>
      </c>
      <c r="AF139">
        <v>2</v>
      </c>
      <c r="AG139">
        <v>29.260999999999999</v>
      </c>
      <c r="AH139">
        <v>2</v>
      </c>
      <c r="AI139">
        <v>-999</v>
      </c>
      <c r="AJ139">
        <v>9</v>
      </c>
      <c r="AK139">
        <v>337.1</v>
      </c>
      <c r="AL139">
        <v>2</v>
      </c>
      <c r="AM139">
        <v>341.3</v>
      </c>
      <c r="AN139">
        <v>2</v>
      </c>
      <c r="AO139">
        <v>7.819</v>
      </c>
      <c r="AP139">
        <v>2</v>
      </c>
      <c r="AQ139">
        <v>6.38</v>
      </c>
      <c r="AR139">
        <v>2</v>
      </c>
      <c r="AS139">
        <v>6.51</v>
      </c>
      <c r="AT139">
        <v>2</v>
      </c>
      <c r="AU139">
        <v>0.05</v>
      </c>
      <c r="AV139">
        <v>2</v>
      </c>
      <c r="AW139">
        <v>0.05</v>
      </c>
      <c r="AX139">
        <v>2</v>
      </c>
      <c r="AY139">
        <v>0</v>
      </c>
      <c r="AZ139">
        <v>2</v>
      </c>
      <c r="BA139">
        <v>0</v>
      </c>
      <c r="BB139">
        <v>2</v>
      </c>
      <c r="BC139">
        <v>0.54</v>
      </c>
      <c r="BD139">
        <v>2</v>
      </c>
      <c r="BE139">
        <v>0.55000000000000004</v>
      </c>
      <c r="BF139">
        <v>2</v>
      </c>
      <c r="BG139">
        <v>0.23</v>
      </c>
      <c r="BH139">
        <v>2</v>
      </c>
      <c r="BI139">
        <v>0.23</v>
      </c>
      <c r="BJ139">
        <v>2</v>
      </c>
      <c r="BK139">
        <v>0.04</v>
      </c>
      <c r="BL139">
        <v>2</v>
      </c>
      <c r="BM139">
        <v>0.04</v>
      </c>
      <c r="BN139">
        <v>2</v>
      </c>
      <c r="BO139">
        <v>-999</v>
      </c>
      <c r="BP139">
        <v>9</v>
      </c>
      <c r="BS139">
        <v>2.4249999999999998</v>
      </c>
      <c r="BT139">
        <v>2</v>
      </c>
      <c r="BU139">
        <v>-4.82</v>
      </c>
      <c r="BV139">
        <v>2</v>
      </c>
      <c r="BW139">
        <v>0.68</v>
      </c>
      <c r="BX139">
        <v>2</v>
      </c>
      <c r="BY139">
        <v>0.15</v>
      </c>
      <c r="BZ139">
        <v>2</v>
      </c>
    </row>
    <row r="140" spans="1:78">
      <c r="A140" t="s">
        <v>41</v>
      </c>
      <c r="B140">
        <v>59</v>
      </c>
      <c r="C140">
        <v>20</v>
      </c>
      <c r="E140">
        <v>2386</v>
      </c>
      <c r="F140" t="s">
        <v>17</v>
      </c>
      <c r="G140">
        <v>22.7</v>
      </c>
      <c r="H140" s="52">
        <v>469015.78581593139</v>
      </c>
      <c r="I140" s="52">
        <v>73412.288345673762</v>
      </c>
      <c r="J140" s="2">
        <v>4.221508393588878</v>
      </c>
      <c r="K140" s="2">
        <v>0.59411190010344306</v>
      </c>
      <c r="L140" s="2">
        <v>0.82238665915162723</v>
      </c>
      <c r="M140" s="2">
        <f t="shared" si="3"/>
        <v>1.4164985592550703</v>
      </c>
      <c r="N140" s="1">
        <v>90.007810424650387</v>
      </c>
      <c r="O140" s="1">
        <v>12.667204773713237</v>
      </c>
      <c r="P140" s="1">
        <v>17.534306605926883</v>
      </c>
      <c r="Q140" s="1">
        <v>120.20932180429051</v>
      </c>
      <c r="R140" t="s">
        <v>42</v>
      </c>
      <c r="S140" t="s">
        <v>46</v>
      </c>
      <c r="T140">
        <v>20</v>
      </c>
      <c r="U140">
        <v>4</v>
      </c>
      <c r="V140">
        <v>10</v>
      </c>
      <c r="W140">
        <v>10</v>
      </c>
      <c r="X140">
        <v>2</v>
      </c>
      <c r="Y140">
        <v>20040605</v>
      </c>
      <c r="Z140">
        <v>73.150999999999996</v>
      </c>
      <c r="AA140">
        <v>-157.804</v>
      </c>
      <c r="AB140">
        <v>2497</v>
      </c>
      <c r="AC140">
        <v>22.8</v>
      </c>
      <c r="AD140">
        <v>2</v>
      </c>
      <c r="AE140">
        <v>-1.5167999999999999</v>
      </c>
      <c r="AF140">
        <v>2</v>
      </c>
      <c r="AG140">
        <v>29.2241</v>
      </c>
      <c r="AH140">
        <v>2</v>
      </c>
      <c r="AI140">
        <v>29.246600000000001</v>
      </c>
      <c r="AJ140">
        <v>2</v>
      </c>
      <c r="AK140">
        <v>416.6</v>
      </c>
      <c r="AL140">
        <v>2</v>
      </c>
      <c r="AM140">
        <v>401.1</v>
      </c>
      <c r="AN140">
        <v>2</v>
      </c>
      <c r="AO140">
        <v>9.1920000000000002</v>
      </c>
      <c r="AP140">
        <v>2</v>
      </c>
      <c r="AQ140">
        <v>3.14</v>
      </c>
      <c r="AR140">
        <v>2</v>
      </c>
      <c r="AS140">
        <v>3.2</v>
      </c>
      <c r="AT140">
        <v>2</v>
      </c>
      <c r="AU140">
        <v>0</v>
      </c>
      <c r="AV140">
        <v>2</v>
      </c>
      <c r="AW140">
        <v>0</v>
      </c>
      <c r="AX140">
        <v>2</v>
      </c>
      <c r="AY140">
        <v>0</v>
      </c>
      <c r="AZ140">
        <v>2</v>
      </c>
      <c r="BA140">
        <v>0</v>
      </c>
      <c r="BB140">
        <v>2</v>
      </c>
      <c r="BC140">
        <v>0.68</v>
      </c>
      <c r="BD140">
        <v>2</v>
      </c>
      <c r="BE140">
        <v>0.69</v>
      </c>
      <c r="BF140">
        <v>2</v>
      </c>
      <c r="BG140">
        <v>0.12</v>
      </c>
      <c r="BH140">
        <v>2</v>
      </c>
      <c r="BI140">
        <v>0.12</v>
      </c>
      <c r="BJ140">
        <v>2</v>
      </c>
      <c r="BK140">
        <v>0.09</v>
      </c>
      <c r="BL140">
        <v>2</v>
      </c>
      <c r="BM140">
        <v>0.09</v>
      </c>
      <c r="BN140">
        <v>2</v>
      </c>
      <c r="BO140">
        <v>0.106</v>
      </c>
      <c r="BP140">
        <v>2</v>
      </c>
      <c r="BQ140">
        <v>0.92800000000000005</v>
      </c>
      <c r="BR140">
        <v>2</v>
      </c>
      <c r="BS140">
        <v>2.3319999999999999</v>
      </c>
      <c r="BT140">
        <v>2</v>
      </c>
      <c r="BU140">
        <v>-6.91</v>
      </c>
      <c r="BV140">
        <v>2</v>
      </c>
      <c r="BW140">
        <v>0.2</v>
      </c>
      <c r="BX140">
        <v>2</v>
      </c>
      <c r="BY140">
        <v>0.12</v>
      </c>
      <c r="BZ140">
        <v>2</v>
      </c>
    </row>
    <row r="141" spans="1:78">
      <c r="A141" t="s">
        <v>52</v>
      </c>
      <c r="B141">
        <v>76</v>
      </c>
      <c r="C141">
        <v>31</v>
      </c>
      <c r="E141">
        <v>3373</v>
      </c>
      <c r="F141" t="s">
        <v>17</v>
      </c>
      <c r="G141">
        <v>0</v>
      </c>
      <c r="H141" s="52">
        <v>323493.47129834897</v>
      </c>
      <c r="I141" s="52"/>
      <c r="J141" s="2">
        <v>2.3039086721390363</v>
      </c>
      <c r="K141" s="2">
        <v>1.1757728663690623</v>
      </c>
      <c r="L141" s="2">
        <v>0.31152706582037776</v>
      </c>
      <c r="M141" s="2">
        <f t="shared" si="3"/>
        <v>1.48729993218944</v>
      </c>
      <c r="N141" s="1">
        <v>71.219634290987159</v>
      </c>
      <c r="O141" s="1">
        <v>36.346108057453804</v>
      </c>
      <c r="P141" s="1">
        <v>9.6300881921992509</v>
      </c>
      <c r="Q141" s="1">
        <v>117.19583054064022</v>
      </c>
      <c r="R141" t="s">
        <v>53</v>
      </c>
      <c r="S141" t="s">
        <v>62</v>
      </c>
      <c r="T141">
        <v>31</v>
      </c>
      <c r="U141">
        <v>2</v>
      </c>
      <c r="V141">
        <v>212</v>
      </c>
      <c r="W141">
        <v>12</v>
      </c>
      <c r="X141">
        <v>2</v>
      </c>
      <c r="Y141">
        <v>20040802</v>
      </c>
      <c r="Z141">
        <v>72.415000000000006</v>
      </c>
      <c r="AA141">
        <v>-151.97800000000001</v>
      </c>
      <c r="AB141">
        <v>3369</v>
      </c>
      <c r="AC141">
        <v>2</v>
      </c>
      <c r="AD141">
        <v>2</v>
      </c>
      <c r="AE141">
        <v>-1.22</v>
      </c>
      <c r="AF141">
        <v>2</v>
      </c>
      <c r="AG141">
        <v>26.629000000000001</v>
      </c>
      <c r="AH141">
        <v>2</v>
      </c>
      <c r="AI141">
        <v>26.6023</v>
      </c>
      <c r="AJ141">
        <v>2</v>
      </c>
      <c r="AK141">
        <v>375.1</v>
      </c>
      <c r="AL141">
        <v>2</v>
      </c>
      <c r="AM141">
        <v>383</v>
      </c>
      <c r="AN141">
        <v>2</v>
      </c>
      <c r="AO141">
        <v>8.76</v>
      </c>
      <c r="AP141">
        <v>2</v>
      </c>
      <c r="AQ141">
        <v>2.0299999999999998</v>
      </c>
      <c r="AR141">
        <v>2</v>
      </c>
      <c r="AS141">
        <v>2.0699999999999998</v>
      </c>
      <c r="AT141">
        <v>2</v>
      </c>
      <c r="AU141">
        <v>0.01</v>
      </c>
      <c r="AV141">
        <v>2</v>
      </c>
      <c r="AW141">
        <v>0.01</v>
      </c>
      <c r="AX141">
        <v>2</v>
      </c>
      <c r="AY141">
        <v>0</v>
      </c>
      <c r="AZ141">
        <v>2</v>
      </c>
      <c r="BA141">
        <v>0</v>
      </c>
      <c r="BB141">
        <v>2</v>
      </c>
      <c r="BC141">
        <v>0.6</v>
      </c>
      <c r="BD141">
        <v>2</v>
      </c>
      <c r="BE141">
        <v>0.61</v>
      </c>
      <c r="BF141">
        <v>2</v>
      </c>
      <c r="BG141">
        <v>0.21</v>
      </c>
      <c r="BH141">
        <v>2</v>
      </c>
      <c r="BI141">
        <v>0.21</v>
      </c>
      <c r="BJ141">
        <v>2</v>
      </c>
      <c r="BK141">
        <v>0</v>
      </c>
      <c r="BL141">
        <v>2</v>
      </c>
      <c r="BM141">
        <v>0</v>
      </c>
      <c r="BN141">
        <v>2</v>
      </c>
      <c r="BO141">
        <v>-999</v>
      </c>
      <c r="BP141">
        <v>9</v>
      </c>
      <c r="BS141">
        <v>2.3109999999999999</v>
      </c>
      <c r="BT141">
        <v>2</v>
      </c>
      <c r="BU141">
        <v>-5.71</v>
      </c>
      <c r="BV141">
        <v>2</v>
      </c>
      <c r="BW141">
        <v>0.04</v>
      </c>
      <c r="BX141">
        <v>2</v>
      </c>
      <c r="BY141">
        <v>0.01</v>
      </c>
      <c r="BZ141">
        <v>2</v>
      </c>
    </row>
    <row r="142" spans="1:78">
      <c r="A142" t="s">
        <v>41</v>
      </c>
      <c r="B142">
        <v>72</v>
      </c>
      <c r="C142">
        <v>21</v>
      </c>
      <c r="E142">
        <v>398</v>
      </c>
      <c r="F142" t="s">
        <v>20</v>
      </c>
      <c r="G142">
        <v>150</v>
      </c>
      <c r="H142" s="52">
        <v>260227.19509089665</v>
      </c>
      <c r="I142" s="52">
        <v>58134.560999128313</v>
      </c>
      <c r="J142" s="2">
        <v>1.5524414148692949</v>
      </c>
      <c r="K142" s="2">
        <v>1.0691917514693778</v>
      </c>
      <c r="L142" s="2">
        <v>0.47691991642120163</v>
      </c>
      <c r="M142" s="2">
        <f t="shared" si="3"/>
        <v>1.5461116678905795</v>
      </c>
      <c r="N142" s="1">
        <v>59.657155138110419</v>
      </c>
      <c r="O142" s="1">
        <v>41.086856855829843</v>
      </c>
      <c r="P142" s="1">
        <v>18.327059024504138</v>
      </c>
      <c r="Q142" s="1">
        <v>119.0710710184444</v>
      </c>
      <c r="R142" t="s">
        <v>42</v>
      </c>
      <c r="S142" t="s">
        <v>47</v>
      </c>
      <c r="T142">
        <v>21</v>
      </c>
      <c r="U142">
        <v>1</v>
      </c>
      <c r="V142">
        <v>5</v>
      </c>
      <c r="W142">
        <v>5</v>
      </c>
      <c r="X142">
        <v>2</v>
      </c>
      <c r="Y142">
        <v>20040606</v>
      </c>
      <c r="Z142">
        <v>72.629000000000005</v>
      </c>
      <c r="AA142">
        <v>-157.392</v>
      </c>
      <c r="AB142">
        <v>384</v>
      </c>
      <c r="AC142">
        <v>152.69999999999999</v>
      </c>
      <c r="AD142">
        <v>2</v>
      </c>
      <c r="AE142">
        <v>-0.89829999999999999</v>
      </c>
      <c r="AF142">
        <v>2</v>
      </c>
      <c r="AG142">
        <v>33.888599999999997</v>
      </c>
      <c r="AH142">
        <v>2</v>
      </c>
      <c r="AI142">
        <v>33.901800000000001</v>
      </c>
      <c r="AJ142">
        <v>2</v>
      </c>
      <c r="AK142">
        <v>307</v>
      </c>
      <c r="AL142">
        <v>2</v>
      </c>
      <c r="AM142">
        <v>283.8</v>
      </c>
      <c r="AN142">
        <v>2</v>
      </c>
      <c r="AO142">
        <v>6.5270000000000001</v>
      </c>
      <c r="AP142">
        <v>2</v>
      </c>
      <c r="AQ142">
        <v>24.34</v>
      </c>
      <c r="AR142">
        <v>2</v>
      </c>
      <c r="AS142">
        <v>24.91</v>
      </c>
      <c r="AT142">
        <v>2</v>
      </c>
      <c r="AU142">
        <v>13.51</v>
      </c>
      <c r="AV142">
        <v>2</v>
      </c>
      <c r="AW142">
        <v>13.82</v>
      </c>
      <c r="AX142">
        <v>2</v>
      </c>
      <c r="AY142">
        <v>0.01</v>
      </c>
      <c r="AZ142">
        <v>2</v>
      </c>
      <c r="BA142">
        <v>0.01</v>
      </c>
      <c r="BB142">
        <v>2</v>
      </c>
      <c r="BC142">
        <v>1.44</v>
      </c>
      <c r="BD142">
        <v>2</v>
      </c>
      <c r="BE142">
        <v>1.47</v>
      </c>
      <c r="BF142">
        <v>2</v>
      </c>
      <c r="BG142">
        <v>0.16</v>
      </c>
      <c r="BH142">
        <v>2</v>
      </c>
      <c r="BI142">
        <v>0.16</v>
      </c>
      <c r="BJ142">
        <v>2</v>
      </c>
      <c r="BK142">
        <v>0.18</v>
      </c>
      <c r="BL142">
        <v>2</v>
      </c>
      <c r="BM142">
        <v>0.18</v>
      </c>
      <c r="BN142">
        <v>2</v>
      </c>
      <c r="BO142">
        <v>0.154</v>
      </c>
      <c r="BP142">
        <v>2</v>
      </c>
      <c r="BQ142">
        <v>0.73099999999999998</v>
      </c>
      <c r="BR142">
        <v>2</v>
      </c>
      <c r="BS142">
        <v>0.153</v>
      </c>
      <c r="BT142">
        <v>2</v>
      </c>
      <c r="BU142">
        <v>-5.7</v>
      </c>
      <c r="BV142">
        <v>2</v>
      </c>
      <c r="BW142">
        <v>-999</v>
      </c>
      <c r="BX142">
        <v>9</v>
      </c>
      <c r="BY142">
        <v>-999</v>
      </c>
      <c r="BZ142">
        <v>9</v>
      </c>
    </row>
    <row r="143" spans="1:78">
      <c r="A143" t="s">
        <v>41</v>
      </c>
      <c r="B143">
        <v>109</v>
      </c>
      <c r="C143">
        <v>26</v>
      </c>
      <c r="E143">
        <v>577</v>
      </c>
      <c r="F143" t="s">
        <v>20</v>
      </c>
      <c r="G143">
        <v>100</v>
      </c>
      <c r="H143" s="52">
        <v>630205.51901470113</v>
      </c>
      <c r="I143" s="52">
        <v>210718.03361808465</v>
      </c>
      <c r="J143" s="2">
        <v>5.6240440728817926</v>
      </c>
      <c r="K143" s="2">
        <v>1.5060632542424841</v>
      </c>
      <c r="L143" s="2">
        <v>7.0250370940337661E-2</v>
      </c>
      <c r="M143" s="2">
        <f t="shared" si="3"/>
        <v>1.5763136251828218</v>
      </c>
      <c r="N143" s="1">
        <v>89.453631420293021</v>
      </c>
      <c r="O143" s="1">
        <v>23.897969928875717</v>
      </c>
      <c r="P143" s="1">
        <v>1.114721607804563</v>
      </c>
      <c r="Q143" s="1">
        <v>114.4663229569733</v>
      </c>
      <c r="R143" t="s">
        <v>42</v>
      </c>
      <c r="S143" t="s">
        <v>51</v>
      </c>
      <c r="T143">
        <v>26</v>
      </c>
      <c r="U143">
        <v>1</v>
      </c>
      <c r="V143">
        <v>3</v>
      </c>
      <c r="W143">
        <v>3</v>
      </c>
      <c r="X143">
        <v>2</v>
      </c>
      <c r="Y143">
        <v>20040613</v>
      </c>
      <c r="Z143">
        <v>72.096999999999994</v>
      </c>
      <c r="AA143">
        <v>-154.39099999999999</v>
      </c>
      <c r="AB143">
        <v>1306</v>
      </c>
      <c r="AC143">
        <v>102.2</v>
      </c>
      <c r="AD143">
        <v>2</v>
      </c>
      <c r="AE143">
        <v>-1.1811</v>
      </c>
      <c r="AF143">
        <v>2</v>
      </c>
      <c r="AG143">
        <v>32.947800000000001</v>
      </c>
      <c r="AH143">
        <v>2</v>
      </c>
      <c r="AI143">
        <v>32.945999999999998</v>
      </c>
      <c r="AJ143">
        <v>2</v>
      </c>
      <c r="AK143">
        <v>404.5</v>
      </c>
      <c r="AL143">
        <v>2</v>
      </c>
      <c r="AM143">
        <v>391.1</v>
      </c>
      <c r="AN143">
        <v>2</v>
      </c>
      <c r="AO143">
        <v>8.9890000000000008</v>
      </c>
      <c r="AP143">
        <v>2</v>
      </c>
      <c r="AQ143">
        <v>15.72</v>
      </c>
      <c r="AR143">
        <v>2</v>
      </c>
      <c r="AS143">
        <v>16.079999999999998</v>
      </c>
      <c r="AT143">
        <v>2</v>
      </c>
      <c r="AU143">
        <v>2.37</v>
      </c>
      <c r="AV143">
        <v>2</v>
      </c>
      <c r="AW143">
        <v>2.42</v>
      </c>
      <c r="AX143">
        <v>2</v>
      </c>
      <c r="AY143">
        <v>0.06</v>
      </c>
      <c r="AZ143">
        <v>2</v>
      </c>
      <c r="BA143">
        <v>0.06</v>
      </c>
      <c r="BB143">
        <v>2</v>
      </c>
      <c r="BC143">
        <v>1.1100000000000001</v>
      </c>
      <c r="BD143">
        <v>2</v>
      </c>
      <c r="BE143">
        <v>1.1399999999999999</v>
      </c>
      <c r="BF143">
        <v>2</v>
      </c>
      <c r="BG143">
        <v>1.08</v>
      </c>
      <c r="BH143">
        <v>2</v>
      </c>
      <c r="BI143">
        <v>1.1000000000000001</v>
      </c>
      <c r="BJ143">
        <v>2</v>
      </c>
      <c r="BK143">
        <v>0.2</v>
      </c>
      <c r="BL143">
        <v>2</v>
      </c>
      <c r="BM143">
        <v>0.2</v>
      </c>
      <c r="BN143">
        <v>2</v>
      </c>
      <c r="BO143">
        <v>0.156</v>
      </c>
      <c r="BP143">
        <v>2</v>
      </c>
      <c r="BQ143">
        <v>1.897</v>
      </c>
      <c r="BR143">
        <v>2</v>
      </c>
      <c r="BS143">
        <v>0.158</v>
      </c>
      <c r="BT143">
        <v>2</v>
      </c>
      <c r="BU143">
        <v>-10.16</v>
      </c>
      <c r="BV143">
        <v>2</v>
      </c>
      <c r="BW143">
        <v>5.68</v>
      </c>
      <c r="BX143">
        <v>2</v>
      </c>
      <c r="BY143">
        <v>0.24</v>
      </c>
      <c r="BZ143">
        <v>2</v>
      </c>
    </row>
    <row r="144" spans="1:78">
      <c r="A144" t="s">
        <v>52</v>
      </c>
      <c r="B144">
        <v>118</v>
      </c>
      <c r="C144">
        <v>42</v>
      </c>
      <c r="E144">
        <v>174</v>
      </c>
      <c r="F144" t="s">
        <v>15</v>
      </c>
      <c r="G144">
        <v>0</v>
      </c>
      <c r="H144" s="52">
        <v>383611.72702636116</v>
      </c>
      <c r="I144" s="52"/>
      <c r="J144" s="2">
        <v>3.0446819393890685</v>
      </c>
      <c r="K144" s="2">
        <v>0.91834239662633987</v>
      </c>
      <c r="L144" s="2">
        <v>0.70683062154020437</v>
      </c>
      <c r="M144" s="2">
        <f t="shared" si="3"/>
        <v>1.6251730181665442</v>
      </c>
      <c r="N144" s="1">
        <v>79.368844195418532</v>
      </c>
      <c r="O144" s="1">
        <v>23.939372337364258</v>
      </c>
      <c r="P144" s="1">
        <v>18.425678146477313</v>
      </c>
      <c r="Q144" s="1">
        <v>121.7338946792601</v>
      </c>
      <c r="R144" t="s">
        <v>53</v>
      </c>
      <c r="S144" t="s">
        <v>65</v>
      </c>
      <c r="T144">
        <v>42</v>
      </c>
      <c r="U144">
        <v>3</v>
      </c>
      <c r="V144">
        <v>311</v>
      </c>
      <c r="W144">
        <v>11</v>
      </c>
      <c r="X144">
        <v>2</v>
      </c>
      <c r="Y144">
        <v>20040811</v>
      </c>
      <c r="Z144">
        <v>72.652000000000001</v>
      </c>
      <c r="AA144">
        <v>-158.499</v>
      </c>
      <c r="AB144">
        <v>175</v>
      </c>
      <c r="AC144">
        <v>1.7</v>
      </c>
      <c r="AD144">
        <v>2</v>
      </c>
      <c r="AE144">
        <v>1</v>
      </c>
      <c r="AF144">
        <v>2</v>
      </c>
      <c r="AG144">
        <v>27.26</v>
      </c>
      <c r="AH144">
        <v>2</v>
      </c>
      <c r="AI144">
        <v>-999</v>
      </c>
      <c r="AJ144">
        <v>9</v>
      </c>
      <c r="AK144">
        <v>354.8</v>
      </c>
      <c r="AL144">
        <v>2</v>
      </c>
      <c r="AM144">
        <v>370.3</v>
      </c>
      <c r="AN144">
        <v>2</v>
      </c>
      <c r="AO144">
        <v>8.4719999999999995</v>
      </c>
      <c r="AP144">
        <v>2</v>
      </c>
      <c r="AQ144">
        <v>2.42</v>
      </c>
      <c r="AR144">
        <v>2</v>
      </c>
      <c r="AS144">
        <v>2.46</v>
      </c>
      <c r="AT144">
        <v>2</v>
      </c>
      <c r="AU144">
        <v>0.08</v>
      </c>
      <c r="AV144">
        <v>2</v>
      </c>
      <c r="AW144">
        <v>0.08</v>
      </c>
      <c r="AX144">
        <v>2</v>
      </c>
      <c r="AY144">
        <v>0</v>
      </c>
      <c r="AZ144">
        <v>2</v>
      </c>
      <c r="BA144">
        <v>0</v>
      </c>
      <c r="BB144">
        <v>2</v>
      </c>
      <c r="BC144">
        <v>0.55000000000000004</v>
      </c>
      <c r="BD144">
        <v>2</v>
      </c>
      <c r="BE144">
        <v>0.56000000000000005</v>
      </c>
      <c r="BF144">
        <v>2</v>
      </c>
      <c r="BG144">
        <v>0.05</v>
      </c>
      <c r="BH144">
        <v>2</v>
      </c>
      <c r="BI144">
        <v>0.05</v>
      </c>
      <c r="BJ144">
        <v>2</v>
      </c>
      <c r="BK144">
        <v>0</v>
      </c>
      <c r="BL144">
        <v>2</v>
      </c>
      <c r="BM144">
        <v>0</v>
      </c>
      <c r="BN144">
        <v>2</v>
      </c>
      <c r="BO144">
        <v>-999</v>
      </c>
      <c r="BP144">
        <v>9</v>
      </c>
      <c r="BS144">
        <v>2.5550000000000002</v>
      </c>
      <c r="BT144">
        <v>2</v>
      </c>
      <c r="BU144">
        <v>-5.09</v>
      </c>
      <c r="BV144">
        <v>2</v>
      </c>
      <c r="BW144">
        <v>0.15</v>
      </c>
      <c r="BX144">
        <v>2</v>
      </c>
      <c r="BY144">
        <v>0.09</v>
      </c>
      <c r="BZ144">
        <v>2</v>
      </c>
    </row>
    <row r="145" spans="1:78">
      <c r="A145" t="s">
        <v>10</v>
      </c>
      <c r="B145">
        <v>102</v>
      </c>
      <c r="C145">
        <v>33</v>
      </c>
      <c r="D145" t="s">
        <v>23</v>
      </c>
      <c r="E145">
        <v>2132</v>
      </c>
      <c r="F145" t="s">
        <v>17</v>
      </c>
      <c r="G145">
        <v>0</v>
      </c>
      <c r="H145" s="52">
        <v>757890.07092198601</v>
      </c>
      <c r="I145" s="52">
        <v>218856.1850514125</v>
      </c>
      <c r="J145" s="2">
        <v>6.7294190487568271</v>
      </c>
      <c r="K145" s="2">
        <v>1.0248798609172569</v>
      </c>
      <c r="L145" s="2">
        <v>0.67569543332407034</v>
      </c>
      <c r="M145" s="2">
        <f t="shared" si="3"/>
        <v>1.7005752942413273</v>
      </c>
      <c r="N145" s="1">
        <v>88.791492420139178</v>
      </c>
      <c r="O145" s="1">
        <v>13.522803639193654</v>
      </c>
      <c r="P145" s="1">
        <v>8.9154807438244372</v>
      </c>
      <c r="Q145" s="1">
        <v>111.22977680315726</v>
      </c>
      <c r="R145" t="s">
        <v>12</v>
      </c>
      <c r="S145" t="s">
        <v>13</v>
      </c>
      <c r="T145">
        <v>33</v>
      </c>
      <c r="U145">
        <v>6</v>
      </c>
      <c r="V145">
        <v>11</v>
      </c>
      <c r="W145">
        <v>11</v>
      </c>
      <c r="X145">
        <v>2</v>
      </c>
      <c r="Y145">
        <v>20020607</v>
      </c>
      <c r="Z145">
        <v>72.189300000000003</v>
      </c>
      <c r="AA145">
        <v>-154.2902</v>
      </c>
      <c r="AB145">
        <v>2132</v>
      </c>
      <c r="AC145">
        <v>2.2000000000000002</v>
      </c>
      <c r="AD145">
        <v>2</v>
      </c>
      <c r="AE145">
        <v>-1.6474</v>
      </c>
      <c r="AF145">
        <v>2</v>
      </c>
      <c r="AG145">
        <v>31.026499999999999</v>
      </c>
      <c r="AH145">
        <v>2</v>
      </c>
      <c r="AI145">
        <v>-999</v>
      </c>
      <c r="AJ145">
        <v>9</v>
      </c>
      <c r="AK145">
        <v>371.8</v>
      </c>
      <c r="AL145">
        <v>2</v>
      </c>
      <c r="AM145">
        <v>381.3</v>
      </c>
      <c r="AN145">
        <v>2</v>
      </c>
      <c r="AO145">
        <v>8.7520000000000007</v>
      </c>
      <c r="AP145">
        <v>2</v>
      </c>
      <c r="AQ145">
        <v>9.6199999999999992</v>
      </c>
      <c r="AR145">
        <v>2</v>
      </c>
      <c r="AS145">
        <v>9.82</v>
      </c>
      <c r="AT145">
        <v>2</v>
      </c>
      <c r="AU145">
        <v>2.65</v>
      </c>
      <c r="AV145">
        <v>2</v>
      </c>
      <c r="AW145">
        <v>2.7</v>
      </c>
      <c r="AX145">
        <v>2</v>
      </c>
      <c r="AY145">
        <v>7.0000000000000007E-2</v>
      </c>
      <c r="AZ145">
        <v>2</v>
      </c>
      <c r="BA145">
        <v>7.0000000000000007E-2</v>
      </c>
      <c r="BB145">
        <v>2</v>
      </c>
      <c r="BC145">
        <v>0.97</v>
      </c>
      <c r="BD145">
        <v>2</v>
      </c>
      <c r="BE145">
        <v>0.99</v>
      </c>
      <c r="BF145">
        <v>2</v>
      </c>
      <c r="BG145">
        <v>0.25</v>
      </c>
      <c r="BH145">
        <v>2</v>
      </c>
      <c r="BI145">
        <v>0.25</v>
      </c>
      <c r="BJ145">
        <v>2</v>
      </c>
      <c r="BK145">
        <v>0.03</v>
      </c>
      <c r="BL145">
        <v>2</v>
      </c>
      <c r="BM145">
        <v>0.03</v>
      </c>
      <c r="BN145">
        <v>2</v>
      </c>
      <c r="BO145">
        <v>0.13800000000000001</v>
      </c>
      <c r="BP145">
        <v>2</v>
      </c>
      <c r="BQ145">
        <v>1.1539999999999999</v>
      </c>
      <c r="BR145">
        <v>2</v>
      </c>
      <c r="BS145">
        <v>3.0339999999999998</v>
      </c>
      <c r="BT145">
        <v>2</v>
      </c>
      <c r="BU145">
        <v>-8.56</v>
      </c>
      <c r="BV145">
        <v>2</v>
      </c>
      <c r="BW145">
        <v>0.4</v>
      </c>
      <c r="BX145">
        <v>2</v>
      </c>
      <c r="BY145">
        <v>0.38</v>
      </c>
      <c r="BZ145">
        <v>2</v>
      </c>
    </row>
    <row r="146" spans="1:78">
      <c r="A146" t="s">
        <v>27</v>
      </c>
      <c r="B146">
        <v>36</v>
      </c>
      <c r="C146">
        <v>16</v>
      </c>
      <c r="E146">
        <v>291</v>
      </c>
      <c r="F146" t="s">
        <v>20</v>
      </c>
      <c r="G146">
        <v>25.7</v>
      </c>
      <c r="H146" s="52">
        <v>1224397.1631205673</v>
      </c>
      <c r="I146" s="52">
        <v>241195.92002187215</v>
      </c>
      <c r="J146" s="2">
        <v>10.553980036134119</v>
      </c>
      <c r="K146" s="2">
        <v>1.6599203645421536</v>
      </c>
      <c r="L146" s="2">
        <v>5.0823475957036506E-2</v>
      </c>
      <c r="M146" s="2">
        <f t="shared" ref="M146:M162" si="4">K146+L146</f>
        <v>1.7107438404991901</v>
      </c>
      <c r="N146" s="1">
        <v>86.197357802068524</v>
      </c>
      <c r="O146" s="1">
        <v>13.557041902249981</v>
      </c>
      <c r="P146" s="1">
        <v>0.41508978857403539</v>
      </c>
      <c r="Q146" s="1">
        <v>100.16948949289254</v>
      </c>
      <c r="R146" t="s">
        <v>29</v>
      </c>
      <c r="S146" t="s">
        <v>30</v>
      </c>
      <c r="T146">
        <v>16</v>
      </c>
      <c r="U146">
        <v>5</v>
      </c>
      <c r="V146">
        <v>10</v>
      </c>
      <c r="W146">
        <v>10</v>
      </c>
      <c r="X146">
        <v>2</v>
      </c>
      <c r="Y146">
        <v>20020726</v>
      </c>
      <c r="Z146">
        <v>72.218699999999998</v>
      </c>
      <c r="AA146">
        <v>-154.1343</v>
      </c>
      <c r="AB146">
        <v>2029</v>
      </c>
      <c r="AC146">
        <v>25.9</v>
      </c>
      <c r="AD146">
        <v>2</v>
      </c>
      <c r="AE146">
        <v>-1.2591000000000001</v>
      </c>
      <c r="AF146">
        <v>2</v>
      </c>
      <c r="AG146">
        <v>31.081199999999999</v>
      </c>
      <c r="AH146">
        <v>2</v>
      </c>
      <c r="AI146">
        <v>31.0291</v>
      </c>
      <c r="AJ146">
        <v>2</v>
      </c>
      <c r="AK146">
        <v>394.3</v>
      </c>
      <c r="AL146">
        <v>2</v>
      </c>
      <c r="AM146">
        <v>405.7</v>
      </c>
      <c r="AN146">
        <v>2</v>
      </c>
      <c r="AO146">
        <v>9.3109999999999999</v>
      </c>
      <c r="AP146">
        <v>2</v>
      </c>
      <c r="AQ146">
        <v>12.37</v>
      </c>
      <c r="AR146">
        <v>2</v>
      </c>
      <c r="AS146">
        <v>12.62</v>
      </c>
      <c r="AT146">
        <v>2</v>
      </c>
      <c r="AU146">
        <v>0.38</v>
      </c>
      <c r="AV146">
        <v>2</v>
      </c>
      <c r="AW146">
        <v>0.39</v>
      </c>
      <c r="AX146">
        <v>2</v>
      </c>
      <c r="AY146">
        <v>0.02</v>
      </c>
      <c r="AZ146">
        <v>2</v>
      </c>
      <c r="BA146">
        <v>0.02</v>
      </c>
      <c r="BB146">
        <v>2</v>
      </c>
      <c r="BC146">
        <v>0.83</v>
      </c>
      <c r="BD146">
        <v>2</v>
      </c>
      <c r="BE146">
        <v>0.85</v>
      </c>
      <c r="BF146">
        <v>2</v>
      </c>
      <c r="BG146">
        <v>0.31</v>
      </c>
      <c r="BH146">
        <v>2</v>
      </c>
      <c r="BI146">
        <v>0.32</v>
      </c>
      <c r="BJ146">
        <v>2</v>
      </c>
      <c r="BK146">
        <v>0.04</v>
      </c>
      <c r="BL146">
        <v>2</v>
      </c>
      <c r="BM146">
        <v>0.04</v>
      </c>
      <c r="BN146">
        <v>2</v>
      </c>
      <c r="BO146">
        <v>0.13300000000000001</v>
      </c>
      <c r="BP146">
        <v>2</v>
      </c>
      <c r="BQ146">
        <v>2.1240000000000001</v>
      </c>
      <c r="BR146">
        <v>2</v>
      </c>
      <c r="BS146">
        <v>0</v>
      </c>
      <c r="BT146">
        <v>2</v>
      </c>
      <c r="BU146">
        <v>-8.6</v>
      </c>
      <c r="BV146">
        <v>2</v>
      </c>
      <c r="BW146">
        <v>3.05</v>
      </c>
      <c r="BX146">
        <v>2</v>
      </c>
      <c r="BY146">
        <v>1.33</v>
      </c>
      <c r="BZ146">
        <v>2</v>
      </c>
    </row>
    <row r="147" spans="1:78">
      <c r="A147" t="s">
        <v>27</v>
      </c>
      <c r="B147">
        <v>44</v>
      </c>
      <c r="C147">
        <v>17</v>
      </c>
      <c r="E147">
        <v>3090</v>
      </c>
      <c r="F147" t="s">
        <v>17</v>
      </c>
      <c r="G147">
        <v>200</v>
      </c>
      <c r="H147" s="52">
        <v>334943.26241134753</v>
      </c>
      <c r="I147" s="52">
        <v>77769.981357791388</v>
      </c>
      <c r="J147" s="2">
        <v>2.0110098596054446</v>
      </c>
      <c r="K147" s="2">
        <v>1.7283500297670438</v>
      </c>
      <c r="L147" s="2">
        <v>6.7874483079534654E-3</v>
      </c>
      <c r="M147" s="2">
        <f t="shared" si="4"/>
        <v>1.7351374780749973</v>
      </c>
      <c r="N147" s="1">
        <v>60.040313846818073</v>
      </c>
      <c r="O147" s="1">
        <v>51.601277700712124</v>
      </c>
      <c r="P147" s="1">
        <v>0.2026447183647995</v>
      </c>
      <c r="Q147" s="1">
        <v>111.84423626589499</v>
      </c>
      <c r="R147" t="s">
        <v>29</v>
      </c>
      <c r="S147" t="s">
        <v>30</v>
      </c>
      <c r="T147">
        <v>17</v>
      </c>
      <c r="U147">
        <v>8</v>
      </c>
      <c r="V147">
        <v>2</v>
      </c>
      <c r="W147">
        <v>2</v>
      </c>
      <c r="X147">
        <v>2</v>
      </c>
      <c r="Y147">
        <v>20020728</v>
      </c>
      <c r="Z147">
        <v>72.485500000000002</v>
      </c>
      <c r="AA147">
        <v>-153.5566</v>
      </c>
      <c r="AB147">
        <v>3149</v>
      </c>
      <c r="AC147">
        <v>200.3</v>
      </c>
      <c r="AD147">
        <v>2</v>
      </c>
      <c r="AE147">
        <v>-1.2941</v>
      </c>
      <c r="AF147">
        <v>2</v>
      </c>
      <c r="AG147">
        <v>33.877400000000002</v>
      </c>
      <c r="AH147">
        <v>2</v>
      </c>
      <c r="AI147">
        <v>33.854500000000002</v>
      </c>
      <c r="AJ147">
        <v>2</v>
      </c>
      <c r="AK147">
        <v>287.8</v>
      </c>
      <c r="AL147">
        <v>2</v>
      </c>
      <c r="AM147">
        <v>306.60000000000002</v>
      </c>
      <c r="AN147">
        <v>2</v>
      </c>
      <c r="AO147">
        <v>7.0510000000000002</v>
      </c>
      <c r="AP147">
        <v>2</v>
      </c>
      <c r="AQ147">
        <v>34.1</v>
      </c>
      <c r="AR147">
        <v>2</v>
      </c>
      <c r="AS147">
        <v>34.869999999999997</v>
      </c>
      <c r="AT147">
        <v>2</v>
      </c>
      <c r="AU147">
        <v>13.8</v>
      </c>
      <c r="AV147">
        <v>2</v>
      </c>
      <c r="AW147">
        <v>14.11</v>
      </c>
      <c r="AX147">
        <v>2</v>
      </c>
      <c r="AY147">
        <v>0.11</v>
      </c>
      <c r="AZ147">
        <v>2</v>
      </c>
      <c r="BA147">
        <v>0.11</v>
      </c>
      <c r="BB147">
        <v>2</v>
      </c>
      <c r="BC147">
        <v>1.63</v>
      </c>
      <c r="BD147">
        <v>2</v>
      </c>
      <c r="BE147">
        <v>1.67</v>
      </c>
      <c r="BF147">
        <v>2</v>
      </c>
      <c r="BG147">
        <v>0.89</v>
      </c>
      <c r="BH147">
        <v>2</v>
      </c>
      <c r="BI147">
        <v>0.91</v>
      </c>
      <c r="BJ147">
        <v>2</v>
      </c>
      <c r="BK147">
        <v>0.04</v>
      </c>
      <c r="BL147">
        <v>2</v>
      </c>
      <c r="BM147">
        <v>0.04</v>
      </c>
      <c r="BN147">
        <v>2</v>
      </c>
      <c r="BO147">
        <v>0.151</v>
      </c>
      <c r="BP147">
        <v>2</v>
      </c>
      <c r="BQ147">
        <v>0.72899999999999998</v>
      </c>
      <c r="BR147">
        <v>2</v>
      </c>
      <c r="BS147">
        <v>0</v>
      </c>
      <c r="BT147">
        <v>2</v>
      </c>
      <c r="BU147">
        <v>-7.49</v>
      </c>
      <c r="BV147">
        <v>2</v>
      </c>
      <c r="BW147">
        <v>0.03</v>
      </c>
      <c r="BX147">
        <v>2</v>
      </c>
      <c r="BY147">
        <v>0.08</v>
      </c>
      <c r="BZ147">
        <v>2</v>
      </c>
    </row>
    <row r="148" spans="1:78">
      <c r="A148" t="s">
        <v>10</v>
      </c>
      <c r="B148">
        <v>100</v>
      </c>
      <c r="C148">
        <v>33</v>
      </c>
      <c r="D148" t="s">
        <v>23</v>
      </c>
      <c r="E148">
        <v>2132</v>
      </c>
      <c r="F148" t="s">
        <v>17</v>
      </c>
      <c r="G148">
        <v>100</v>
      </c>
      <c r="H148" s="52">
        <v>479015.95744680846</v>
      </c>
      <c r="I148" s="52">
        <v>180185.53497184228</v>
      </c>
      <c r="J148" s="2">
        <v>4.2473136778926595</v>
      </c>
      <c r="K148" s="2">
        <v>1.6647346290340714</v>
      </c>
      <c r="L148" s="2">
        <v>0.11560254693516192</v>
      </c>
      <c r="M148" s="2">
        <f t="shared" si="4"/>
        <v>1.7803371759692332</v>
      </c>
      <c r="N148" s="1">
        <v>88.667477812872136</v>
      </c>
      <c r="O148" s="1">
        <v>34.753218617334461</v>
      </c>
      <c r="P148" s="1">
        <v>2.4133339430137632</v>
      </c>
      <c r="Q148" s="1">
        <v>125.83403037322036</v>
      </c>
      <c r="R148" t="s">
        <v>12</v>
      </c>
      <c r="S148" t="s">
        <v>13</v>
      </c>
      <c r="T148">
        <v>33</v>
      </c>
      <c r="U148">
        <v>2</v>
      </c>
      <c r="V148">
        <v>6</v>
      </c>
      <c r="W148">
        <v>6</v>
      </c>
      <c r="X148">
        <v>2</v>
      </c>
      <c r="Y148">
        <v>20020607</v>
      </c>
      <c r="Z148">
        <v>72.186999999999998</v>
      </c>
      <c r="AA148">
        <v>-154.37479999999999</v>
      </c>
      <c r="AB148">
        <v>1910</v>
      </c>
      <c r="AC148">
        <v>101.2</v>
      </c>
      <c r="AD148">
        <v>2</v>
      </c>
      <c r="AE148">
        <v>-1.5672999999999999</v>
      </c>
      <c r="AF148">
        <v>2</v>
      </c>
      <c r="AG148">
        <v>32.890799999999999</v>
      </c>
      <c r="AH148">
        <v>2</v>
      </c>
      <c r="AI148">
        <v>32.8797</v>
      </c>
      <c r="AJ148">
        <v>2</v>
      </c>
      <c r="AK148">
        <v>289.7</v>
      </c>
      <c r="AL148">
        <v>2</v>
      </c>
      <c r="AM148">
        <v>295.60000000000002</v>
      </c>
      <c r="AN148">
        <v>2</v>
      </c>
      <c r="AO148">
        <v>6.7939999999999996</v>
      </c>
      <c r="AP148">
        <v>2</v>
      </c>
      <c r="AQ148">
        <v>29.45</v>
      </c>
      <c r="AR148">
        <v>2</v>
      </c>
      <c r="AS148">
        <v>30.09</v>
      </c>
      <c r="AT148">
        <v>2</v>
      </c>
      <c r="AU148">
        <v>13.27</v>
      </c>
      <c r="AV148">
        <v>2</v>
      </c>
      <c r="AW148">
        <v>13.56</v>
      </c>
      <c r="AX148">
        <v>2</v>
      </c>
      <c r="AY148">
        <v>0</v>
      </c>
      <c r="AZ148">
        <v>2</v>
      </c>
      <c r="BA148">
        <v>0</v>
      </c>
      <c r="BB148">
        <v>2</v>
      </c>
      <c r="BC148">
        <v>1.72</v>
      </c>
      <c r="BD148">
        <v>2</v>
      </c>
      <c r="BE148">
        <v>1.76</v>
      </c>
      <c r="BF148">
        <v>2</v>
      </c>
      <c r="BG148">
        <v>0.01</v>
      </c>
      <c r="BH148">
        <v>2</v>
      </c>
      <c r="BI148">
        <v>0.01</v>
      </c>
      <c r="BJ148">
        <v>2</v>
      </c>
      <c r="BK148">
        <v>0.01</v>
      </c>
      <c r="BL148">
        <v>2</v>
      </c>
      <c r="BM148">
        <v>0.01</v>
      </c>
      <c r="BN148">
        <v>2</v>
      </c>
      <c r="BO148">
        <v>0.161</v>
      </c>
      <c r="BP148">
        <v>2</v>
      </c>
      <c r="BQ148">
        <v>0.73799999999999999</v>
      </c>
      <c r="BR148">
        <v>2</v>
      </c>
      <c r="BS148">
        <v>0.13800000000000001</v>
      </c>
      <c r="BT148">
        <v>2</v>
      </c>
      <c r="BU148">
        <v>-10.1</v>
      </c>
      <c r="BV148">
        <v>2</v>
      </c>
      <c r="BW148">
        <v>0.01</v>
      </c>
      <c r="BX148">
        <v>2</v>
      </c>
      <c r="BY148">
        <v>0.03</v>
      </c>
      <c r="BZ148">
        <v>2</v>
      </c>
    </row>
    <row r="149" spans="1:78">
      <c r="A149" t="s">
        <v>41</v>
      </c>
      <c r="B149">
        <v>73</v>
      </c>
      <c r="C149">
        <v>21</v>
      </c>
      <c r="E149">
        <v>398</v>
      </c>
      <c r="F149" t="s">
        <v>20</v>
      </c>
      <c r="G149">
        <v>100</v>
      </c>
      <c r="H149" s="52">
        <v>348481.74302980606</v>
      </c>
      <c r="I149" s="52">
        <v>36950.557251114049</v>
      </c>
      <c r="J149" s="2">
        <v>2.017011798344944</v>
      </c>
      <c r="K149" s="2">
        <v>1.1708902744750496</v>
      </c>
      <c r="L149" s="2">
        <v>0.62314285191262953</v>
      </c>
      <c r="M149" s="2">
        <f t="shared" si="4"/>
        <v>1.7940331263876792</v>
      </c>
      <c r="N149" s="1">
        <v>57.879984782227936</v>
      </c>
      <c r="O149" s="1">
        <v>33.599759467884141</v>
      </c>
      <c r="P149" s="1">
        <v>17.881649881994861</v>
      </c>
      <c r="Q149" s="1">
        <v>109.36139413210694</v>
      </c>
      <c r="R149" t="s">
        <v>42</v>
      </c>
      <c r="S149" t="s">
        <v>47</v>
      </c>
      <c r="T149">
        <v>21</v>
      </c>
      <c r="U149">
        <v>1</v>
      </c>
      <c r="V149">
        <v>7</v>
      </c>
      <c r="W149">
        <v>7</v>
      </c>
      <c r="X149">
        <v>2</v>
      </c>
      <c r="Y149">
        <v>20040606</v>
      </c>
      <c r="Z149">
        <v>72.629000000000005</v>
      </c>
      <c r="AA149">
        <v>-157.392</v>
      </c>
      <c r="AB149">
        <v>384</v>
      </c>
      <c r="AC149">
        <v>101.8</v>
      </c>
      <c r="AD149">
        <v>2</v>
      </c>
      <c r="AE149">
        <v>-1.6247</v>
      </c>
      <c r="AF149">
        <v>2</v>
      </c>
      <c r="AG149">
        <v>32.658000000000001</v>
      </c>
      <c r="AH149">
        <v>2</v>
      </c>
      <c r="AI149">
        <v>32.6738</v>
      </c>
      <c r="AJ149">
        <v>2</v>
      </c>
      <c r="AK149">
        <v>341</v>
      </c>
      <c r="AL149">
        <v>2</v>
      </c>
      <c r="AM149">
        <v>319.8</v>
      </c>
      <c r="AN149">
        <v>2</v>
      </c>
      <c r="AO149">
        <v>7.35</v>
      </c>
      <c r="AP149">
        <v>2</v>
      </c>
      <c r="AQ149">
        <v>33.64</v>
      </c>
      <c r="AR149">
        <v>2</v>
      </c>
      <c r="AS149">
        <v>34.39</v>
      </c>
      <c r="AT149">
        <v>2</v>
      </c>
      <c r="AU149">
        <v>11.83</v>
      </c>
      <c r="AV149">
        <v>2</v>
      </c>
      <c r="AW149">
        <v>12.1</v>
      </c>
      <c r="AX149">
        <v>2</v>
      </c>
      <c r="AY149">
        <v>0.01</v>
      </c>
      <c r="AZ149">
        <v>2</v>
      </c>
      <c r="BA149">
        <v>0.01</v>
      </c>
      <c r="BB149">
        <v>2</v>
      </c>
      <c r="BC149">
        <v>1.7</v>
      </c>
      <c r="BD149">
        <v>2</v>
      </c>
      <c r="BE149">
        <v>1.74</v>
      </c>
      <c r="BF149">
        <v>2</v>
      </c>
      <c r="BG149">
        <v>0.13</v>
      </c>
      <c r="BH149">
        <v>2</v>
      </c>
      <c r="BI149">
        <v>0.13</v>
      </c>
      <c r="BJ149">
        <v>2</v>
      </c>
      <c r="BK149">
        <v>0.18</v>
      </c>
      <c r="BL149">
        <v>2</v>
      </c>
      <c r="BM149">
        <v>0.18</v>
      </c>
      <c r="BN149">
        <v>2</v>
      </c>
      <c r="BO149">
        <v>0.161</v>
      </c>
      <c r="BP149">
        <v>2</v>
      </c>
      <c r="BQ149">
        <v>0.77</v>
      </c>
      <c r="BR149">
        <v>2</v>
      </c>
      <c r="BS149">
        <v>0.157</v>
      </c>
      <c r="BT149">
        <v>2</v>
      </c>
      <c r="BU149">
        <v>-10.98</v>
      </c>
      <c r="BV149">
        <v>2</v>
      </c>
      <c r="BW149">
        <v>0.02</v>
      </c>
      <c r="BX149">
        <v>2</v>
      </c>
      <c r="BY149">
        <v>0.04</v>
      </c>
      <c r="BZ149">
        <v>2</v>
      </c>
    </row>
    <row r="150" spans="1:78">
      <c r="A150" t="s">
        <v>10</v>
      </c>
      <c r="B150">
        <v>99</v>
      </c>
      <c r="C150">
        <v>33</v>
      </c>
      <c r="D150" t="s">
        <v>23</v>
      </c>
      <c r="E150">
        <v>2132</v>
      </c>
      <c r="F150" t="s">
        <v>17</v>
      </c>
      <c r="G150">
        <v>175</v>
      </c>
      <c r="H150" s="52">
        <v>453998.22695035464</v>
      </c>
      <c r="I150" s="52">
        <v>99994.545959639756</v>
      </c>
      <c r="J150" s="2">
        <v>3.7223037676678592</v>
      </c>
      <c r="K150" s="2">
        <v>1.7141034571199378</v>
      </c>
      <c r="L150" s="2">
        <v>9.3264114369112014E-2</v>
      </c>
      <c r="M150" s="2">
        <f t="shared" si="4"/>
        <v>1.8073675714890498</v>
      </c>
      <c r="N150" s="1">
        <v>81.989389973430406</v>
      </c>
      <c r="O150" s="1">
        <v>37.755730207011965</v>
      </c>
      <c r="P150" s="1">
        <v>2.0542836696873392</v>
      </c>
      <c r="Q150" s="1">
        <v>121.79940385012971</v>
      </c>
      <c r="R150" t="s">
        <v>12</v>
      </c>
      <c r="S150" t="s">
        <v>13</v>
      </c>
      <c r="T150">
        <v>33</v>
      </c>
      <c r="U150">
        <v>2</v>
      </c>
      <c r="V150">
        <v>2</v>
      </c>
      <c r="W150">
        <v>2</v>
      </c>
      <c r="X150">
        <v>2</v>
      </c>
      <c r="Y150">
        <v>20020607</v>
      </c>
      <c r="Z150">
        <v>72.186999999999998</v>
      </c>
      <c r="AA150">
        <v>-154.37479999999999</v>
      </c>
      <c r="AB150">
        <v>1910</v>
      </c>
      <c r="AC150">
        <v>180.9</v>
      </c>
      <c r="AD150">
        <v>2</v>
      </c>
      <c r="AE150">
        <v>-1.7706</v>
      </c>
      <c r="AF150">
        <v>2</v>
      </c>
      <c r="AG150">
        <v>33.853200000000001</v>
      </c>
      <c r="AH150">
        <v>2</v>
      </c>
      <c r="AI150">
        <v>33.856699999999996</v>
      </c>
      <c r="AJ150">
        <v>2</v>
      </c>
      <c r="AK150">
        <v>321.89999999999998</v>
      </c>
      <c r="AL150">
        <v>2</v>
      </c>
      <c r="AM150">
        <v>330.4</v>
      </c>
      <c r="AN150">
        <v>2</v>
      </c>
      <c r="AO150">
        <v>7.6</v>
      </c>
      <c r="AP150">
        <v>2</v>
      </c>
      <c r="AQ150">
        <v>39.47</v>
      </c>
      <c r="AR150">
        <v>2</v>
      </c>
      <c r="AS150">
        <v>40.36</v>
      </c>
      <c r="AT150">
        <v>2</v>
      </c>
      <c r="AU150">
        <v>12.39</v>
      </c>
      <c r="AV150">
        <v>2</v>
      </c>
      <c r="AW150">
        <v>12.67</v>
      </c>
      <c r="AX150">
        <v>2</v>
      </c>
      <c r="AY150">
        <v>0.08</v>
      </c>
      <c r="AZ150">
        <v>2</v>
      </c>
      <c r="BA150">
        <v>0.08</v>
      </c>
      <c r="BB150">
        <v>2</v>
      </c>
      <c r="BC150">
        <v>1.8</v>
      </c>
      <c r="BD150">
        <v>2</v>
      </c>
      <c r="BE150">
        <v>1.84</v>
      </c>
      <c r="BF150">
        <v>2</v>
      </c>
      <c r="BG150">
        <v>2.95</v>
      </c>
      <c r="BH150">
        <v>2</v>
      </c>
      <c r="BI150">
        <v>3.02</v>
      </c>
      <c r="BJ150">
        <v>2</v>
      </c>
      <c r="BK150">
        <v>0.03</v>
      </c>
      <c r="BL150">
        <v>2</v>
      </c>
      <c r="BM150">
        <v>0.03</v>
      </c>
      <c r="BN150">
        <v>2</v>
      </c>
      <c r="BO150">
        <v>0.14399999999999999</v>
      </c>
      <c r="BP150">
        <v>2</v>
      </c>
      <c r="BQ150">
        <v>0.86099999999999999</v>
      </c>
      <c r="BR150">
        <v>2</v>
      </c>
      <c r="BS150">
        <v>0.13700000000000001</v>
      </c>
      <c r="BT150">
        <v>2</v>
      </c>
      <c r="BU150">
        <v>-9.3000000000000007</v>
      </c>
      <c r="BV150">
        <v>2</v>
      </c>
      <c r="BW150">
        <v>0.03</v>
      </c>
      <c r="BX150">
        <v>2</v>
      </c>
      <c r="BY150">
        <v>0.11</v>
      </c>
      <c r="BZ150">
        <v>2</v>
      </c>
    </row>
    <row r="151" spans="1:78">
      <c r="A151" t="s">
        <v>52</v>
      </c>
      <c r="B151">
        <v>6</v>
      </c>
      <c r="C151">
        <v>8</v>
      </c>
      <c r="E151">
        <v>33</v>
      </c>
      <c r="F151" t="s">
        <v>11</v>
      </c>
      <c r="G151">
        <v>0</v>
      </c>
      <c r="H151" s="52">
        <v>848199.06380881998</v>
      </c>
      <c r="I151" s="52"/>
      <c r="J151" s="2">
        <v>1.4465209982614129</v>
      </c>
      <c r="K151" s="2">
        <v>1.5216576706219593</v>
      </c>
      <c r="L151" s="2">
        <v>0.34257809249290228</v>
      </c>
      <c r="M151" s="2">
        <f t="shared" si="4"/>
        <v>1.8642357631148616</v>
      </c>
      <c r="N151" s="1"/>
      <c r="O151" s="1">
        <v>17.939865009859684</v>
      </c>
      <c r="P151" s="1">
        <v>4.0388878874089125</v>
      </c>
      <c r="Q151" s="1"/>
      <c r="R151" t="s">
        <v>53</v>
      </c>
      <c r="S151" t="s">
        <v>55</v>
      </c>
      <c r="T151">
        <v>8</v>
      </c>
      <c r="U151">
        <v>2</v>
      </c>
      <c r="V151">
        <v>211</v>
      </c>
      <c r="W151">
        <v>11</v>
      </c>
      <c r="X151">
        <v>2</v>
      </c>
      <c r="Y151">
        <v>20040721</v>
      </c>
      <c r="Z151">
        <v>69.953999999999994</v>
      </c>
      <c r="AA151">
        <v>-164.4</v>
      </c>
      <c r="AB151">
        <v>32</v>
      </c>
      <c r="AC151">
        <v>2</v>
      </c>
      <c r="AD151">
        <v>2</v>
      </c>
      <c r="AE151">
        <v>9.75</v>
      </c>
      <c r="AF151">
        <v>2</v>
      </c>
      <c r="AG151">
        <v>29.870999999999999</v>
      </c>
      <c r="AH151">
        <v>2</v>
      </c>
      <c r="AI151">
        <v>-999</v>
      </c>
      <c r="AJ151">
        <v>9</v>
      </c>
      <c r="AK151">
        <v>153.6</v>
      </c>
      <c r="AL151">
        <v>4</v>
      </c>
      <c r="AM151">
        <v>297.5</v>
      </c>
      <c r="AN151">
        <v>2</v>
      </c>
      <c r="AO151">
        <v>6.8140000000000001</v>
      </c>
      <c r="AP151">
        <v>2</v>
      </c>
      <c r="AQ151">
        <v>8.1999999999999993</v>
      </c>
      <c r="AR151">
        <v>2</v>
      </c>
      <c r="AS151">
        <v>8.3699999999999992</v>
      </c>
      <c r="AT151">
        <v>2</v>
      </c>
      <c r="AU151">
        <v>0.06</v>
      </c>
      <c r="AV151">
        <v>2</v>
      </c>
      <c r="AW151">
        <v>0.06</v>
      </c>
      <c r="AX151">
        <v>2</v>
      </c>
      <c r="AY151">
        <v>0</v>
      </c>
      <c r="AZ151">
        <v>2</v>
      </c>
      <c r="BA151">
        <v>0</v>
      </c>
      <c r="BB151">
        <v>2</v>
      </c>
      <c r="BC151">
        <v>0.56000000000000005</v>
      </c>
      <c r="BD151">
        <v>2</v>
      </c>
      <c r="BE151">
        <v>0.56999999999999995</v>
      </c>
      <c r="BF151">
        <v>2</v>
      </c>
      <c r="BG151">
        <v>0.19</v>
      </c>
      <c r="BH151">
        <v>2</v>
      </c>
      <c r="BI151">
        <v>0.19</v>
      </c>
      <c r="BJ151">
        <v>2</v>
      </c>
      <c r="BK151">
        <v>0.06</v>
      </c>
      <c r="BL151">
        <v>2</v>
      </c>
      <c r="BM151">
        <v>0.06</v>
      </c>
      <c r="BN151">
        <v>2</v>
      </c>
      <c r="BO151">
        <v>0.13800000000000001</v>
      </c>
      <c r="BP151">
        <v>2</v>
      </c>
      <c r="BS151">
        <v>2.8719999999999999</v>
      </c>
      <c r="BT151">
        <v>2</v>
      </c>
      <c r="BU151">
        <v>-5.12</v>
      </c>
      <c r="BV151">
        <v>2</v>
      </c>
      <c r="BW151">
        <v>0.5</v>
      </c>
      <c r="BX151">
        <v>2</v>
      </c>
      <c r="BY151">
        <v>7.0000000000000007E-2</v>
      </c>
      <c r="BZ151">
        <v>2</v>
      </c>
    </row>
    <row r="152" spans="1:78">
      <c r="A152" t="s">
        <v>27</v>
      </c>
      <c r="B152">
        <v>6</v>
      </c>
      <c r="C152">
        <v>7</v>
      </c>
      <c r="D152" t="s">
        <v>28</v>
      </c>
      <c r="E152">
        <v>50</v>
      </c>
      <c r="F152" t="s">
        <v>11</v>
      </c>
      <c r="G152">
        <v>27</v>
      </c>
      <c r="H152" s="52">
        <v>1481932.624113475</v>
      </c>
      <c r="I152" s="52">
        <v>82098.323394989711</v>
      </c>
      <c r="J152" s="2">
        <v>9.0456947144782447</v>
      </c>
      <c r="K152" s="2">
        <v>1.7426617930228494</v>
      </c>
      <c r="L152" s="2">
        <v>0.19782857941594556</v>
      </c>
      <c r="M152" s="2">
        <f t="shared" si="4"/>
        <v>1.940490372438795</v>
      </c>
      <c r="N152" s="1">
        <v>61.039851389259894</v>
      </c>
      <c r="O152" s="1">
        <v>11.759386119631102</v>
      </c>
      <c r="P152" s="1">
        <v>1.3349363945225987</v>
      </c>
      <c r="Q152" s="1">
        <v>74.134173903413597</v>
      </c>
      <c r="R152" t="s">
        <v>29</v>
      </c>
      <c r="S152" t="s">
        <v>30</v>
      </c>
      <c r="T152">
        <v>7</v>
      </c>
      <c r="U152">
        <v>1</v>
      </c>
      <c r="V152">
        <v>5</v>
      </c>
      <c r="W152">
        <v>5</v>
      </c>
      <c r="X152">
        <v>2</v>
      </c>
      <c r="Y152">
        <v>20020719</v>
      </c>
      <c r="Z152">
        <v>68.510400000000004</v>
      </c>
      <c r="AA152">
        <v>-167.3914</v>
      </c>
      <c r="AB152">
        <v>45</v>
      </c>
      <c r="AC152">
        <v>26.7</v>
      </c>
      <c r="AD152">
        <v>2</v>
      </c>
      <c r="AE152">
        <v>4.0705999999999998</v>
      </c>
      <c r="AF152">
        <v>2</v>
      </c>
      <c r="AG152">
        <v>31.686299999999999</v>
      </c>
      <c r="AH152">
        <v>2</v>
      </c>
      <c r="AI152">
        <v>31.683800000000002</v>
      </c>
      <c r="AJ152">
        <v>2</v>
      </c>
      <c r="AK152">
        <v>354.8</v>
      </c>
      <c r="AL152">
        <v>2</v>
      </c>
      <c r="AM152">
        <v>354.1</v>
      </c>
      <c r="AN152">
        <v>2</v>
      </c>
      <c r="AO152">
        <v>8.1270000000000007</v>
      </c>
      <c r="AP152">
        <v>2</v>
      </c>
      <c r="AQ152">
        <v>3.98</v>
      </c>
      <c r="AR152">
        <v>2</v>
      </c>
      <c r="AS152">
        <v>4.0599999999999996</v>
      </c>
      <c r="AT152">
        <v>2</v>
      </c>
      <c r="AU152">
        <v>0.04</v>
      </c>
      <c r="AV152">
        <v>2</v>
      </c>
      <c r="AW152">
        <v>0.04</v>
      </c>
      <c r="AX152">
        <v>2</v>
      </c>
      <c r="AY152">
        <v>0.01</v>
      </c>
      <c r="AZ152">
        <v>2</v>
      </c>
      <c r="BA152">
        <v>0.01</v>
      </c>
      <c r="BB152">
        <v>2</v>
      </c>
      <c r="BC152">
        <v>0.61</v>
      </c>
      <c r="BD152">
        <v>2</v>
      </c>
      <c r="BE152">
        <v>0.62</v>
      </c>
      <c r="BF152">
        <v>2</v>
      </c>
      <c r="BG152">
        <v>0.12</v>
      </c>
      <c r="BH152">
        <v>2</v>
      </c>
      <c r="BI152">
        <v>0.12</v>
      </c>
      <c r="BJ152">
        <v>2</v>
      </c>
      <c r="BK152">
        <v>7.0000000000000007E-2</v>
      </c>
      <c r="BL152">
        <v>2</v>
      </c>
      <c r="BM152">
        <v>7.0000000000000007E-2</v>
      </c>
      <c r="BN152">
        <v>2</v>
      </c>
      <c r="BO152">
        <v>0.104</v>
      </c>
      <c r="BP152">
        <v>2</v>
      </c>
      <c r="BQ152">
        <v>1.2270000000000001</v>
      </c>
      <c r="BR152">
        <v>2</v>
      </c>
      <c r="BS152">
        <v>1.1120000000000001</v>
      </c>
      <c r="BT152">
        <v>2</v>
      </c>
      <c r="BU152">
        <v>-5.89</v>
      </c>
      <c r="BV152">
        <v>2</v>
      </c>
      <c r="BW152">
        <v>0.32</v>
      </c>
      <c r="BX152">
        <v>2</v>
      </c>
      <c r="BY152">
        <v>0.33</v>
      </c>
      <c r="BZ152">
        <v>2</v>
      </c>
    </row>
    <row r="153" spans="1:78">
      <c r="A153" t="s">
        <v>52</v>
      </c>
      <c r="B153">
        <v>10</v>
      </c>
      <c r="C153">
        <v>14</v>
      </c>
      <c r="E153">
        <v>77</v>
      </c>
      <c r="F153" t="s">
        <v>11</v>
      </c>
      <c r="G153">
        <v>0</v>
      </c>
      <c r="H153" s="52">
        <v>2182660.7538802666</v>
      </c>
      <c r="I153" s="52"/>
      <c r="J153" s="2">
        <v>19.392647164658058</v>
      </c>
      <c r="K153" s="2">
        <v>1.3910744233615171</v>
      </c>
      <c r="L153" s="2">
        <v>0.64757746193389809</v>
      </c>
      <c r="M153" s="2">
        <f t="shared" si="4"/>
        <v>2.0386518852954154</v>
      </c>
      <c r="N153" s="1">
        <v>88.848654699006303</v>
      </c>
      <c r="O153" s="1">
        <v>6.37329654133611</v>
      </c>
      <c r="P153" s="1">
        <v>2.9669176063327982</v>
      </c>
      <c r="Q153" s="1">
        <v>98.188868846675206</v>
      </c>
      <c r="R153" t="s">
        <v>53</v>
      </c>
      <c r="S153" t="s">
        <v>56</v>
      </c>
      <c r="T153">
        <v>14</v>
      </c>
      <c r="U153">
        <v>1</v>
      </c>
      <c r="V153">
        <v>111</v>
      </c>
      <c r="W153">
        <v>11</v>
      </c>
      <c r="X153">
        <v>2</v>
      </c>
      <c r="Y153">
        <v>20040722</v>
      </c>
      <c r="Z153">
        <v>71.069000000000003</v>
      </c>
      <c r="AA153">
        <v>-159.46199999999999</v>
      </c>
      <c r="AB153">
        <v>75</v>
      </c>
      <c r="AC153">
        <v>1.8</v>
      </c>
      <c r="AD153">
        <v>2</v>
      </c>
      <c r="AE153">
        <v>2.3290000000000002</v>
      </c>
      <c r="AF153">
        <v>2</v>
      </c>
      <c r="AG153">
        <v>28.187999999999999</v>
      </c>
      <c r="AH153">
        <v>2</v>
      </c>
      <c r="AI153">
        <v>-999</v>
      </c>
      <c r="AJ153">
        <v>9</v>
      </c>
      <c r="AK153">
        <v>411.8</v>
      </c>
      <c r="AL153">
        <v>2</v>
      </c>
      <c r="AM153">
        <v>415.5</v>
      </c>
      <c r="AN153">
        <v>2</v>
      </c>
      <c r="AO153">
        <v>9.5129999999999999</v>
      </c>
      <c r="AP153">
        <v>2</v>
      </c>
      <c r="AQ153">
        <v>10.18</v>
      </c>
      <c r="AR153">
        <v>2</v>
      </c>
      <c r="AS153">
        <v>10.38</v>
      </c>
      <c r="AT153">
        <v>2</v>
      </c>
      <c r="AU153">
        <v>0.05</v>
      </c>
      <c r="AV153">
        <v>2</v>
      </c>
      <c r="AW153">
        <v>0.05</v>
      </c>
      <c r="AX153">
        <v>2</v>
      </c>
      <c r="AY153">
        <v>0.01</v>
      </c>
      <c r="AZ153">
        <v>2</v>
      </c>
      <c r="BA153">
        <v>0.01</v>
      </c>
      <c r="BB153">
        <v>2</v>
      </c>
      <c r="BC153">
        <v>0.6</v>
      </c>
      <c r="BD153">
        <v>2</v>
      </c>
      <c r="BE153">
        <v>0.61</v>
      </c>
      <c r="BF153">
        <v>2</v>
      </c>
      <c r="BG153">
        <v>0.1</v>
      </c>
      <c r="BH153">
        <v>2</v>
      </c>
      <c r="BI153">
        <v>0.1</v>
      </c>
      <c r="BJ153">
        <v>2</v>
      </c>
      <c r="BK153">
        <v>0.06</v>
      </c>
      <c r="BL153">
        <v>2</v>
      </c>
      <c r="BM153">
        <v>0.06</v>
      </c>
      <c r="BN153">
        <v>2</v>
      </c>
      <c r="BO153">
        <v>9.9000000000000005E-2</v>
      </c>
      <c r="BP153">
        <v>2</v>
      </c>
      <c r="BS153">
        <v>3.1970000000000001</v>
      </c>
      <c r="BT153">
        <v>2</v>
      </c>
      <c r="BU153">
        <v>-5.76</v>
      </c>
      <c r="BV153">
        <v>2</v>
      </c>
      <c r="BW153">
        <v>0.54</v>
      </c>
      <c r="BX153">
        <v>2</v>
      </c>
      <c r="BY153">
        <v>0.09</v>
      </c>
      <c r="BZ153">
        <v>2</v>
      </c>
    </row>
    <row r="154" spans="1:78">
      <c r="A154" t="s">
        <v>52</v>
      </c>
      <c r="B154">
        <v>190</v>
      </c>
      <c r="C154">
        <v>54</v>
      </c>
      <c r="E154">
        <v>2158</v>
      </c>
      <c r="F154" t="s">
        <v>17</v>
      </c>
      <c r="G154">
        <v>9.1</v>
      </c>
      <c r="H154" s="52">
        <v>503439.2707563439</v>
      </c>
      <c r="I154" s="52"/>
      <c r="J154" s="2">
        <v>3.8845363143623022</v>
      </c>
      <c r="K154" s="2">
        <v>2.0057316970866057</v>
      </c>
      <c r="L154" s="2">
        <v>8.268451039995256E-2</v>
      </c>
      <c r="M154" s="2">
        <f t="shared" si="4"/>
        <v>2.0884162074865582</v>
      </c>
      <c r="N154" s="1">
        <v>77.159978174256338</v>
      </c>
      <c r="O154" s="1">
        <v>39.840588797796542</v>
      </c>
      <c r="P154" s="1">
        <v>1.6423929399812447</v>
      </c>
      <c r="Q154" s="1">
        <v>118.64295991203413</v>
      </c>
      <c r="R154" t="s">
        <v>53</v>
      </c>
      <c r="S154" t="s">
        <v>69</v>
      </c>
      <c r="T154">
        <v>54</v>
      </c>
      <c r="U154">
        <v>2</v>
      </c>
      <c r="V154">
        <v>210</v>
      </c>
      <c r="W154">
        <v>10</v>
      </c>
      <c r="X154">
        <v>2</v>
      </c>
      <c r="Y154">
        <v>20040819</v>
      </c>
      <c r="Z154">
        <v>73.498000000000005</v>
      </c>
      <c r="AA154">
        <v>-159.554</v>
      </c>
      <c r="AB154">
        <v>2215</v>
      </c>
      <c r="AC154">
        <v>10.3</v>
      </c>
      <c r="AD154">
        <v>2</v>
      </c>
      <c r="AE154">
        <v>1.5509999999999999</v>
      </c>
      <c r="AF154">
        <v>2</v>
      </c>
      <c r="AG154">
        <v>27.198</v>
      </c>
      <c r="AH154">
        <v>2</v>
      </c>
      <c r="AI154">
        <v>-999</v>
      </c>
      <c r="AJ154">
        <v>9</v>
      </c>
      <c r="AK154">
        <v>348.8</v>
      </c>
      <c r="AL154">
        <v>2</v>
      </c>
      <c r="AM154">
        <v>364.6</v>
      </c>
      <c r="AN154">
        <v>2</v>
      </c>
      <c r="AO154">
        <v>8.3409999999999993</v>
      </c>
      <c r="AP154">
        <v>2</v>
      </c>
      <c r="AQ154">
        <v>2.81</v>
      </c>
      <c r="AR154">
        <v>2</v>
      </c>
      <c r="AS154">
        <v>2.86</v>
      </c>
      <c r="AT154">
        <v>2</v>
      </c>
      <c r="AU154">
        <v>7.0000000000000007E-2</v>
      </c>
      <c r="AV154">
        <v>2</v>
      </c>
      <c r="AW154">
        <v>7.0000000000000007E-2</v>
      </c>
      <c r="AX154">
        <v>2</v>
      </c>
      <c r="AY154">
        <v>0</v>
      </c>
      <c r="AZ154">
        <v>2</v>
      </c>
      <c r="BA154">
        <v>0</v>
      </c>
      <c r="BB154">
        <v>2</v>
      </c>
      <c r="BC154">
        <v>0.56999999999999995</v>
      </c>
      <c r="BD154">
        <v>2</v>
      </c>
      <c r="BE154">
        <v>0.57999999999999996</v>
      </c>
      <c r="BF154">
        <v>2</v>
      </c>
      <c r="BG154">
        <v>0.13</v>
      </c>
      <c r="BH154">
        <v>2</v>
      </c>
      <c r="BI154">
        <v>0.13</v>
      </c>
      <c r="BJ154">
        <v>2</v>
      </c>
      <c r="BK154">
        <v>0.03</v>
      </c>
      <c r="BL154">
        <v>2</v>
      </c>
      <c r="BM154">
        <v>0.03</v>
      </c>
      <c r="BN154">
        <v>2</v>
      </c>
      <c r="BO154">
        <v>-999</v>
      </c>
      <c r="BP154">
        <v>9</v>
      </c>
      <c r="BS154">
        <v>1.6180000000000001</v>
      </c>
      <c r="BT154">
        <v>2</v>
      </c>
      <c r="BU154">
        <v>-5.31</v>
      </c>
      <c r="BV154">
        <v>2</v>
      </c>
      <c r="BW154">
        <v>0.13</v>
      </c>
      <c r="BX154">
        <v>2</v>
      </c>
      <c r="BY154">
        <v>0.03</v>
      </c>
      <c r="BZ154">
        <v>2</v>
      </c>
    </row>
    <row r="155" spans="1:78">
      <c r="A155" t="s">
        <v>10</v>
      </c>
      <c r="B155">
        <v>101</v>
      </c>
      <c r="C155">
        <v>33</v>
      </c>
      <c r="D155" t="s">
        <v>23</v>
      </c>
      <c r="E155">
        <v>2132</v>
      </c>
      <c r="F155" t="s">
        <v>17</v>
      </c>
      <c r="G155">
        <v>18</v>
      </c>
      <c r="H155" s="52">
        <v>694609.92907801422</v>
      </c>
      <c r="I155" s="52">
        <v>126175.63002450486</v>
      </c>
      <c r="J155" s="2">
        <v>6.0117592110542866</v>
      </c>
      <c r="K155" s="2">
        <v>1.5401273602863819</v>
      </c>
      <c r="L155" s="2">
        <v>0.70951249165663355</v>
      </c>
      <c r="M155" s="2">
        <f t="shared" si="4"/>
        <v>2.2496398519430154</v>
      </c>
      <c r="N155" s="1">
        <v>86.548708266148083</v>
      </c>
      <c r="O155" s="1">
        <v>22.1725503165591</v>
      </c>
      <c r="P155" s="1">
        <v>10.214545775330338</v>
      </c>
      <c r="Q155" s="1">
        <v>118.93580435803752</v>
      </c>
      <c r="R155" t="s">
        <v>12</v>
      </c>
      <c r="S155" t="s">
        <v>13</v>
      </c>
      <c r="T155">
        <v>33</v>
      </c>
      <c r="U155">
        <v>6</v>
      </c>
      <c r="V155">
        <v>8</v>
      </c>
      <c r="W155">
        <v>8</v>
      </c>
      <c r="X155">
        <v>2</v>
      </c>
      <c r="Y155">
        <v>20020607</v>
      </c>
      <c r="Z155">
        <v>72.189300000000003</v>
      </c>
      <c r="AA155">
        <v>-154.2902</v>
      </c>
      <c r="AB155">
        <v>2132</v>
      </c>
      <c r="AC155">
        <v>18.600000000000001</v>
      </c>
      <c r="AD155">
        <v>2</v>
      </c>
      <c r="AE155">
        <v>-1.6578999999999999</v>
      </c>
      <c r="AF155">
        <v>2</v>
      </c>
      <c r="AG155">
        <v>31.307200000000002</v>
      </c>
      <c r="AH155">
        <v>2</v>
      </c>
      <c r="AI155">
        <v>-999</v>
      </c>
      <c r="AJ155">
        <v>9</v>
      </c>
      <c r="AK155">
        <v>363.3</v>
      </c>
      <c r="AL155">
        <v>2</v>
      </c>
      <c r="AM155">
        <v>375.3</v>
      </c>
      <c r="AN155">
        <v>2</v>
      </c>
      <c r="AO155">
        <v>8.6159999999999997</v>
      </c>
      <c r="AP155">
        <v>2</v>
      </c>
      <c r="AQ155">
        <v>10.91</v>
      </c>
      <c r="AR155">
        <v>2</v>
      </c>
      <c r="AS155">
        <v>11.13</v>
      </c>
      <c r="AT155">
        <v>2</v>
      </c>
      <c r="AU155">
        <v>3.25</v>
      </c>
      <c r="AV155">
        <v>2</v>
      </c>
      <c r="AW155">
        <v>3.32</v>
      </c>
      <c r="AX155">
        <v>2</v>
      </c>
      <c r="AY155">
        <v>0.08</v>
      </c>
      <c r="AZ155">
        <v>2</v>
      </c>
      <c r="BA155">
        <v>0.08</v>
      </c>
      <c r="BB155">
        <v>2</v>
      </c>
      <c r="BC155">
        <v>1.02</v>
      </c>
      <c r="BD155">
        <v>2</v>
      </c>
      <c r="BE155">
        <v>1.04</v>
      </c>
      <c r="BF155">
        <v>2</v>
      </c>
      <c r="BG155">
        <v>0.21</v>
      </c>
      <c r="BH155">
        <v>2</v>
      </c>
      <c r="BI155">
        <v>0.21</v>
      </c>
      <c r="BJ155">
        <v>2</v>
      </c>
      <c r="BK155">
        <v>0.03</v>
      </c>
      <c r="BL155">
        <v>2</v>
      </c>
      <c r="BM155">
        <v>0.03</v>
      </c>
      <c r="BN155">
        <v>2</v>
      </c>
      <c r="BO155">
        <v>0.14199999999999999</v>
      </c>
      <c r="BP155">
        <v>2</v>
      </c>
      <c r="BQ155">
        <v>1.089</v>
      </c>
      <c r="BR155">
        <v>2</v>
      </c>
      <c r="BS155">
        <v>1.532</v>
      </c>
      <c r="BT155">
        <v>2</v>
      </c>
      <c r="BU155">
        <v>-8.74</v>
      </c>
      <c r="BV155">
        <v>2</v>
      </c>
      <c r="BW155">
        <v>0.22</v>
      </c>
      <c r="BX155">
        <v>2</v>
      </c>
      <c r="BY155">
        <v>0.27</v>
      </c>
      <c r="BZ155">
        <v>2</v>
      </c>
    </row>
    <row r="156" spans="1:78">
      <c r="A156" t="s">
        <v>27</v>
      </c>
      <c r="B156">
        <v>46</v>
      </c>
      <c r="C156">
        <v>18</v>
      </c>
      <c r="D156" t="s">
        <v>35</v>
      </c>
      <c r="E156">
        <v>2927</v>
      </c>
      <c r="F156" t="s">
        <v>17</v>
      </c>
      <c r="G156">
        <v>0</v>
      </c>
      <c r="H156" s="52">
        <v>913882.97872340423</v>
      </c>
      <c r="I156" s="52">
        <v>275531.04079117917</v>
      </c>
      <c r="J156" s="2">
        <v>5.1025770508058761</v>
      </c>
      <c r="K156" s="2">
        <v>2.0806049590961457</v>
      </c>
      <c r="L156" s="2">
        <v>0.19305128207034261</v>
      </c>
      <c r="M156" s="2">
        <f t="shared" si="4"/>
        <v>2.2736562411664885</v>
      </c>
      <c r="N156" s="1">
        <v>61.078918710484231</v>
      </c>
      <c r="O156" s="1">
        <v>22.76664526570487</v>
      </c>
      <c r="P156" s="1">
        <v>2.1124289057228571</v>
      </c>
      <c r="Q156" s="1">
        <v>85.957992881911949</v>
      </c>
      <c r="R156" t="s">
        <v>29</v>
      </c>
      <c r="S156" t="s">
        <v>30</v>
      </c>
      <c r="T156">
        <v>18</v>
      </c>
      <c r="U156">
        <v>2</v>
      </c>
      <c r="V156">
        <v>12</v>
      </c>
      <c r="W156">
        <v>12</v>
      </c>
      <c r="X156">
        <v>2</v>
      </c>
      <c r="Y156">
        <v>20020729</v>
      </c>
      <c r="Z156">
        <v>72.307000000000002</v>
      </c>
      <c r="AA156">
        <v>-151.94239999999999</v>
      </c>
      <c r="AB156">
        <v>3234</v>
      </c>
      <c r="AC156">
        <v>2.2000000000000002</v>
      </c>
      <c r="AD156">
        <v>2</v>
      </c>
      <c r="AE156">
        <v>-1.0769</v>
      </c>
      <c r="AF156">
        <v>2</v>
      </c>
      <c r="AG156">
        <v>27.511600000000001</v>
      </c>
      <c r="AH156">
        <v>2</v>
      </c>
      <c r="AI156">
        <v>27.5062</v>
      </c>
      <c r="AJ156">
        <v>2</v>
      </c>
      <c r="AK156">
        <v>379</v>
      </c>
      <c r="AL156">
        <v>2</v>
      </c>
      <c r="AM156">
        <v>390</v>
      </c>
      <c r="AN156">
        <v>2</v>
      </c>
      <c r="AO156">
        <v>8.9260000000000002</v>
      </c>
      <c r="AP156">
        <v>2</v>
      </c>
      <c r="AQ156">
        <v>4.58</v>
      </c>
      <c r="AR156">
        <v>2</v>
      </c>
      <c r="AS156">
        <v>4.66</v>
      </c>
      <c r="AT156">
        <v>2</v>
      </c>
      <c r="AU156">
        <v>0.14000000000000001</v>
      </c>
      <c r="AV156">
        <v>2</v>
      </c>
      <c r="AW156">
        <v>0.14000000000000001</v>
      </c>
      <c r="AX156">
        <v>2</v>
      </c>
      <c r="AY156">
        <v>0.01</v>
      </c>
      <c r="AZ156">
        <v>2</v>
      </c>
      <c r="BA156">
        <v>0.01</v>
      </c>
      <c r="BB156">
        <v>2</v>
      </c>
      <c r="BC156">
        <v>0.68</v>
      </c>
      <c r="BD156">
        <v>2</v>
      </c>
      <c r="BE156">
        <v>0.69</v>
      </c>
      <c r="BF156">
        <v>2</v>
      </c>
      <c r="BG156">
        <v>0.24</v>
      </c>
      <c r="BH156">
        <v>2</v>
      </c>
      <c r="BI156">
        <v>0.24</v>
      </c>
      <c r="BJ156">
        <v>2</v>
      </c>
      <c r="BK156">
        <v>0.01</v>
      </c>
      <c r="BL156">
        <v>2</v>
      </c>
      <c r="BM156">
        <v>0.01</v>
      </c>
      <c r="BN156">
        <v>2</v>
      </c>
      <c r="BO156">
        <v>9.9000000000000005E-2</v>
      </c>
      <c r="BP156">
        <v>2</v>
      </c>
      <c r="BQ156">
        <v>0.873</v>
      </c>
      <c r="BR156">
        <v>2</v>
      </c>
      <c r="BS156">
        <v>0</v>
      </c>
      <c r="BT156">
        <v>2</v>
      </c>
      <c r="BU156">
        <v>-6.67</v>
      </c>
      <c r="BV156">
        <v>2</v>
      </c>
      <c r="BW156">
        <v>0.3</v>
      </c>
      <c r="BX156">
        <v>2</v>
      </c>
      <c r="BY156">
        <v>0.18</v>
      </c>
      <c r="BZ156">
        <v>2</v>
      </c>
    </row>
    <row r="157" spans="1:78">
      <c r="A157" t="s">
        <v>27</v>
      </c>
      <c r="B157">
        <v>29</v>
      </c>
      <c r="C157">
        <v>14</v>
      </c>
      <c r="D157" t="s">
        <v>32</v>
      </c>
      <c r="E157">
        <v>291</v>
      </c>
      <c r="F157" t="s">
        <v>20</v>
      </c>
      <c r="G157">
        <v>100</v>
      </c>
      <c r="H157" s="52">
        <v>665177.30496453901</v>
      </c>
      <c r="I157" s="52">
        <v>132137.58667221261</v>
      </c>
      <c r="J157" s="2">
        <v>5.5039922957315506</v>
      </c>
      <c r="K157" s="2">
        <v>2.6019726148632309</v>
      </c>
      <c r="L157" s="2">
        <v>2.4369594835898161E-2</v>
      </c>
      <c r="M157" s="2">
        <f t="shared" si="4"/>
        <v>2.6263422096991289</v>
      </c>
      <c r="N157" s="1">
        <v>82.744739705528161</v>
      </c>
      <c r="O157" s="1">
        <v>39.11697821683714</v>
      </c>
      <c r="P157" s="1">
        <v>0.36636239171144475</v>
      </c>
      <c r="Q157" s="1">
        <v>122.22808031407675</v>
      </c>
      <c r="R157" t="s">
        <v>29</v>
      </c>
      <c r="S157" t="s">
        <v>30</v>
      </c>
      <c r="T157">
        <v>14</v>
      </c>
      <c r="U157">
        <v>1</v>
      </c>
      <c r="V157">
        <v>3</v>
      </c>
      <c r="W157">
        <v>3</v>
      </c>
      <c r="X157">
        <v>2</v>
      </c>
      <c r="Y157">
        <v>20020723</v>
      </c>
      <c r="Z157">
        <v>71.829099999999997</v>
      </c>
      <c r="AA157">
        <v>-155.01580000000001</v>
      </c>
      <c r="AB157">
        <v>281</v>
      </c>
      <c r="AC157">
        <v>101.1</v>
      </c>
      <c r="AD157">
        <v>2</v>
      </c>
      <c r="AE157">
        <v>-1.7255</v>
      </c>
      <c r="AF157">
        <v>2</v>
      </c>
      <c r="AG157">
        <v>33.235300000000002</v>
      </c>
      <c r="AH157">
        <v>2</v>
      </c>
      <c r="AI157">
        <v>-999</v>
      </c>
      <c r="AJ157">
        <v>9</v>
      </c>
      <c r="AK157">
        <v>286.7</v>
      </c>
      <c r="AL157">
        <v>2</v>
      </c>
      <c r="AM157">
        <v>293.39999999999998</v>
      </c>
      <c r="AN157">
        <v>2</v>
      </c>
      <c r="AO157">
        <v>6.7460000000000004</v>
      </c>
      <c r="AP157">
        <v>2</v>
      </c>
      <c r="AQ157">
        <v>48.3</v>
      </c>
      <c r="AR157">
        <v>2</v>
      </c>
      <c r="AS157">
        <v>49.36</v>
      </c>
      <c r="AT157">
        <v>2</v>
      </c>
      <c r="AU157">
        <v>14.01</v>
      </c>
      <c r="AV157">
        <v>2</v>
      </c>
      <c r="AW157">
        <v>14.32</v>
      </c>
      <c r="AX157">
        <v>2</v>
      </c>
      <c r="AY157">
        <v>0.19</v>
      </c>
      <c r="AZ157">
        <v>2</v>
      </c>
      <c r="BA157">
        <v>0.19</v>
      </c>
      <c r="BB157">
        <v>2</v>
      </c>
      <c r="BC157">
        <v>1.98</v>
      </c>
      <c r="BD157">
        <v>2</v>
      </c>
      <c r="BE157">
        <v>2.02</v>
      </c>
      <c r="BF157">
        <v>2</v>
      </c>
      <c r="BG157">
        <v>2.56</v>
      </c>
      <c r="BH157">
        <v>2</v>
      </c>
      <c r="BI157">
        <v>2.62</v>
      </c>
      <c r="BJ157">
        <v>2</v>
      </c>
      <c r="BK157">
        <v>0.04</v>
      </c>
      <c r="BL157">
        <v>2</v>
      </c>
      <c r="BM157">
        <v>0.04</v>
      </c>
      <c r="BN157">
        <v>2</v>
      </c>
      <c r="BO157">
        <v>0.14299999999999999</v>
      </c>
      <c r="BP157">
        <v>2</v>
      </c>
      <c r="BQ157">
        <v>1.0509999999999999</v>
      </c>
      <c r="BR157">
        <v>2</v>
      </c>
      <c r="BS157">
        <v>0.13700000000000001</v>
      </c>
      <c r="BT157">
        <v>2</v>
      </c>
      <c r="BU157">
        <v>-10.62</v>
      </c>
      <c r="BV157">
        <v>2</v>
      </c>
      <c r="BW157">
        <v>-999</v>
      </c>
      <c r="BX157">
        <v>9</v>
      </c>
      <c r="BY157">
        <v>-999</v>
      </c>
      <c r="BZ157">
        <v>9</v>
      </c>
    </row>
    <row r="158" spans="1:78">
      <c r="A158" t="s">
        <v>10</v>
      </c>
      <c r="B158">
        <v>1</v>
      </c>
      <c r="C158">
        <v>1</v>
      </c>
      <c r="E158">
        <v>50</v>
      </c>
      <c r="F158" t="s">
        <v>11</v>
      </c>
      <c r="G158">
        <v>0</v>
      </c>
      <c r="H158" s="52">
        <v>576879.43262411351</v>
      </c>
      <c r="I158" s="52">
        <v>97073.139413240235</v>
      </c>
      <c r="J158" s="2">
        <v>2.1770329166662594</v>
      </c>
      <c r="K158" s="2">
        <v>2.5971279679925208</v>
      </c>
      <c r="L158" s="2">
        <v>4.3610210222142606E-2</v>
      </c>
      <c r="M158" s="2">
        <f t="shared" si="4"/>
        <v>2.6407381782146633</v>
      </c>
      <c r="N158" s="1">
        <v>52.668063766582208</v>
      </c>
      <c r="O158" s="1">
        <v>45.020290568840103</v>
      </c>
      <c r="P158" s="1">
        <v>0.75596749954783704</v>
      </c>
      <c r="Q158" s="1">
        <v>98.44432183497014</v>
      </c>
      <c r="R158" t="s">
        <v>12</v>
      </c>
      <c r="S158" t="s">
        <v>13</v>
      </c>
      <c r="T158">
        <v>1</v>
      </c>
      <c r="U158">
        <v>4</v>
      </c>
      <c r="V158">
        <v>12</v>
      </c>
      <c r="W158">
        <v>12</v>
      </c>
      <c r="X158">
        <v>2</v>
      </c>
      <c r="Y158">
        <v>20020510</v>
      </c>
      <c r="Z158">
        <v>67.506200000000007</v>
      </c>
      <c r="AA158">
        <v>-168.87440000000001</v>
      </c>
      <c r="AB158">
        <v>50</v>
      </c>
      <c r="AC158">
        <v>2.1</v>
      </c>
      <c r="AD158">
        <v>2</v>
      </c>
      <c r="AE158">
        <v>-1.7564</v>
      </c>
      <c r="AF158">
        <v>2</v>
      </c>
      <c r="AG158">
        <v>33.1081</v>
      </c>
      <c r="AH158">
        <v>2</v>
      </c>
      <c r="AI158">
        <v>-999</v>
      </c>
      <c r="AJ158">
        <v>9</v>
      </c>
      <c r="AK158">
        <v>335.4</v>
      </c>
      <c r="AL158">
        <v>2</v>
      </c>
      <c r="AM158">
        <v>-999</v>
      </c>
      <c r="AN158">
        <v>9</v>
      </c>
      <c r="AO158">
        <v>-999</v>
      </c>
      <c r="AP158">
        <v>9</v>
      </c>
      <c r="AQ158">
        <v>43.88</v>
      </c>
      <c r="AR158">
        <v>2</v>
      </c>
      <c r="AS158">
        <v>44.84</v>
      </c>
      <c r="AT158">
        <v>2</v>
      </c>
      <c r="AU158">
        <v>16.72</v>
      </c>
      <c r="AV158">
        <v>2</v>
      </c>
      <c r="AW158">
        <v>17.09</v>
      </c>
      <c r="AX158">
        <v>2</v>
      </c>
      <c r="AY158">
        <v>0.12</v>
      </c>
      <c r="AZ158">
        <v>2</v>
      </c>
      <c r="BA158">
        <v>0.12</v>
      </c>
      <c r="BB158">
        <v>2</v>
      </c>
      <c r="BC158">
        <v>1.92</v>
      </c>
      <c r="BD158">
        <v>2</v>
      </c>
      <c r="BE158">
        <v>1.96</v>
      </c>
      <c r="BF158">
        <v>2</v>
      </c>
      <c r="BG158">
        <v>1.27</v>
      </c>
      <c r="BH158">
        <v>2</v>
      </c>
      <c r="BI158">
        <v>1.3</v>
      </c>
      <c r="BJ158">
        <v>2</v>
      </c>
      <c r="BK158">
        <v>0.13</v>
      </c>
      <c r="BL158">
        <v>2</v>
      </c>
      <c r="BM158">
        <v>0.13</v>
      </c>
      <c r="BN158">
        <v>2</v>
      </c>
      <c r="BO158">
        <v>0.11600000000000001</v>
      </c>
      <c r="BP158">
        <v>2</v>
      </c>
      <c r="BQ158">
        <v>1.1970000000000001</v>
      </c>
      <c r="BR158">
        <v>2</v>
      </c>
      <c r="BS158">
        <v>2.2639999999999998</v>
      </c>
      <c r="BT158">
        <v>2</v>
      </c>
      <c r="BU158">
        <v>-8.59</v>
      </c>
      <c r="BV158">
        <v>2</v>
      </c>
      <c r="BW158">
        <v>0.41</v>
      </c>
      <c r="BX158">
        <v>2</v>
      </c>
      <c r="BY158">
        <v>0.61</v>
      </c>
      <c r="BZ158">
        <v>2</v>
      </c>
    </row>
    <row r="159" spans="1:78">
      <c r="A159" t="s">
        <v>41</v>
      </c>
      <c r="B159">
        <v>114</v>
      </c>
      <c r="C159">
        <v>26</v>
      </c>
      <c r="E159">
        <v>577</v>
      </c>
      <c r="F159" t="s">
        <v>20</v>
      </c>
      <c r="G159">
        <v>200</v>
      </c>
      <c r="H159" s="52">
        <v>926095.38715708011</v>
      </c>
      <c r="I159" s="52">
        <v>153192.86677876065</v>
      </c>
      <c r="J159" s="2">
        <v>8.1805219260952953</v>
      </c>
      <c r="K159" s="2">
        <v>2.9588044995875746</v>
      </c>
      <c r="L159" s="2">
        <v>0.11838141885230843</v>
      </c>
      <c r="M159" s="2">
        <f t="shared" si="4"/>
        <v>3.0771859184398829</v>
      </c>
      <c r="N159" s="1">
        <v>88.333470175332494</v>
      </c>
      <c r="O159" s="1">
        <v>31.949241305158509</v>
      </c>
      <c r="P159" s="1">
        <v>1.2782853742065892</v>
      </c>
      <c r="Q159" s="1">
        <v>121.56099685469759</v>
      </c>
      <c r="R159" t="s">
        <v>42</v>
      </c>
      <c r="S159" t="s">
        <v>51</v>
      </c>
      <c r="T159">
        <v>26</v>
      </c>
      <c r="U159">
        <v>2</v>
      </c>
      <c r="V159">
        <v>9</v>
      </c>
      <c r="W159">
        <v>9</v>
      </c>
      <c r="X159">
        <v>2</v>
      </c>
      <c r="Y159">
        <v>20040614</v>
      </c>
      <c r="Z159">
        <v>72.102000000000004</v>
      </c>
      <c r="AA159">
        <v>-154.44</v>
      </c>
      <c r="AB159">
        <v>1426</v>
      </c>
      <c r="AC159">
        <v>205.3</v>
      </c>
      <c r="AD159">
        <v>2</v>
      </c>
      <c r="AE159">
        <v>-1.6860999999999999</v>
      </c>
      <c r="AF159">
        <v>2</v>
      </c>
      <c r="AG159">
        <v>33.980400000000003</v>
      </c>
      <c r="AH159">
        <v>2</v>
      </c>
      <c r="AI159">
        <v>33.978700000000003</v>
      </c>
      <c r="AJ159">
        <v>2</v>
      </c>
      <c r="AK159">
        <v>374.2</v>
      </c>
      <c r="AL159">
        <v>2</v>
      </c>
      <c r="AM159">
        <v>358.6</v>
      </c>
      <c r="AN159">
        <v>2</v>
      </c>
      <c r="AO159">
        <v>8.2490000000000006</v>
      </c>
      <c r="AP159">
        <v>2</v>
      </c>
      <c r="AQ159">
        <v>23.48</v>
      </c>
      <c r="AR159">
        <v>2</v>
      </c>
      <c r="AS159">
        <v>24.04</v>
      </c>
      <c r="AT159">
        <v>2</v>
      </c>
      <c r="AU159">
        <v>6.78</v>
      </c>
      <c r="AV159">
        <v>2</v>
      </c>
      <c r="AW159">
        <v>6.94</v>
      </c>
      <c r="AX159">
        <v>2</v>
      </c>
      <c r="AY159">
        <v>0.09</v>
      </c>
      <c r="AZ159">
        <v>2</v>
      </c>
      <c r="BA159">
        <v>0.09</v>
      </c>
      <c r="BB159">
        <v>2</v>
      </c>
      <c r="BC159">
        <v>1.34</v>
      </c>
      <c r="BD159">
        <v>2</v>
      </c>
      <c r="BE159">
        <v>1.37</v>
      </c>
      <c r="BF159">
        <v>2</v>
      </c>
      <c r="BG159">
        <v>1.1399999999999999</v>
      </c>
      <c r="BH159">
        <v>2</v>
      </c>
      <c r="BI159">
        <v>1.17</v>
      </c>
      <c r="BJ159">
        <v>2</v>
      </c>
      <c r="BK159">
        <v>0.15</v>
      </c>
      <c r="BL159">
        <v>2</v>
      </c>
      <c r="BM159">
        <v>0.15</v>
      </c>
      <c r="BN159">
        <v>2</v>
      </c>
      <c r="BO159">
        <v>0.155</v>
      </c>
      <c r="BP159">
        <v>2</v>
      </c>
      <c r="BQ159">
        <v>1.1990000000000001</v>
      </c>
      <c r="BR159">
        <v>2</v>
      </c>
      <c r="BS159">
        <v>0.152</v>
      </c>
      <c r="BT159">
        <v>2</v>
      </c>
      <c r="BU159">
        <v>-9.34</v>
      </c>
      <c r="BV159">
        <v>2</v>
      </c>
      <c r="BW159">
        <v>-999</v>
      </c>
      <c r="BX159">
        <v>9</v>
      </c>
      <c r="BY159">
        <v>-999</v>
      </c>
      <c r="BZ159">
        <v>9</v>
      </c>
    </row>
    <row r="160" spans="1:78">
      <c r="A160" t="s">
        <v>27</v>
      </c>
      <c r="B160">
        <v>54</v>
      </c>
      <c r="C160">
        <v>20</v>
      </c>
      <c r="E160">
        <v>1000</v>
      </c>
      <c r="F160" t="s">
        <v>20</v>
      </c>
      <c r="G160">
        <v>8.9</v>
      </c>
      <c r="H160" s="52">
        <v>890336.87943262409</v>
      </c>
      <c r="I160" s="52">
        <v>158840.75806991142</v>
      </c>
      <c r="J160" s="2">
        <v>7.7632680794784799</v>
      </c>
      <c r="K160" s="2">
        <v>0.29682984120002087</v>
      </c>
      <c r="L160" s="2">
        <v>2.8680534053410702</v>
      </c>
      <c r="M160" s="2">
        <f t="shared" si="4"/>
        <v>3.1648832465410912</v>
      </c>
      <c r="N160" s="1">
        <v>87.19472661208529</v>
      </c>
      <c r="O160" s="1">
        <v>3.3339048180187554</v>
      </c>
      <c r="P160" s="1">
        <v>32.213125970573806</v>
      </c>
      <c r="Q160" s="1">
        <v>122.74175740067784</v>
      </c>
      <c r="R160" t="s">
        <v>29</v>
      </c>
      <c r="S160" t="s">
        <v>30</v>
      </c>
      <c r="T160">
        <v>20</v>
      </c>
      <c r="U160">
        <v>6</v>
      </c>
      <c r="V160">
        <v>8</v>
      </c>
      <c r="W160">
        <v>8</v>
      </c>
      <c r="X160">
        <v>2</v>
      </c>
      <c r="Y160">
        <v>20020801</v>
      </c>
      <c r="Z160">
        <v>71.676400000000001</v>
      </c>
      <c r="AA160">
        <v>-152.19479999999999</v>
      </c>
      <c r="AB160">
        <v>1026</v>
      </c>
      <c r="AC160">
        <v>10</v>
      </c>
      <c r="AD160">
        <v>2</v>
      </c>
      <c r="AE160">
        <v>-1.2514000000000001</v>
      </c>
      <c r="AF160">
        <v>2</v>
      </c>
      <c r="AG160">
        <v>28.293399999999998</v>
      </c>
      <c r="AH160">
        <v>2</v>
      </c>
      <c r="AI160">
        <v>-999</v>
      </c>
      <c r="AJ160">
        <v>9</v>
      </c>
      <c r="AK160">
        <v>387.8</v>
      </c>
      <c r="AL160">
        <v>2</v>
      </c>
      <c r="AM160">
        <v>398.9</v>
      </c>
      <c r="AN160">
        <v>2</v>
      </c>
      <c r="AO160">
        <v>9.1340000000000003</v>
      </c>
      <c r="AP160">
        <v>2</v>
      </c>
      <c r="AQ160">
        <v>5.08</v>
      </c>
      <c r="AR160">
        <v>2</v>
      </c>
      <c r="AS160">
        <v>5.17</v>
      </c>
      <c r="AT160">
        <v>2</v>
      </c>
      <c r="AU160">
        <v>0.08</v>
      </c>
      <c r="AV160">
        <v>2</v>
      </c>
      <c r="AW160">
        <v>0.08</v>
      </c>
      <c r="AX160">
        <v>2</v>
      </c>
      <c r="AY160">
        <v>0.01</v>
      </c>
      <c r="AZ160">
        <v>2</v>
      </c>
      <c r="BA160">
        <v>0.01</v>
      </c>
      <c r="BB160">
        <v>2</v>
      </c>
      <c r="BC160">
        <v>0.67</v>
      </c>
      <c r="BD160">
        <v>2</v>
      </c>
      <c r="BE160">
        <v>0.68</v>
      </c>
      <c r="BF160">
        <v>2</v>
      </c>
      <c r="BG160">
        <v>0.05</v>
      </c>
      <c r="BH160">
        <v>2</v>
      </c>
      <c r="BI160">
        <v>0.05</v>
      </c>
      <c r="BJ160">
        <v>2</v>
      </c>
      <c r="BK160">
        <v>0.02</v>
      </c>
      <c r="BL160">
        <v>2</v>
      </c>
      <c r="BM160">
        <v>0.02</v>
      </c>
      <c r="BN160">
        <v>2</v>
      </c>
      <c r="BO160">
        <v>0.10299999999999999</v>
      </c>
      <c r="BP160">
        <v>2</v>
      </c>
      <c r="BQ160">
        <v>1.2270000000000001</v>
      </c>
      <c r="BR160">
        <v>2</v>
      </c>
      <c r="BS160">
        <v>1.867</v>
      </c>
      <c r="BT160">
        <v>2</v>
      </c>
      <c r="BU160">
        <v>-6.75</v>
      </c>
      <c r="BV160">
        <v>2</v>
      </c>
      <c r="BW160">
        <v>0.3</v>
      </c>
      <c r="BX160">
        <v>2</v>
      </c>
      <c r="BY160">
        <v>0.32</v>
      </c>
      <c r="BZ160">
        <v>2</v>
      </c>
    </row>
    <row r="161" spans="1:78">
      <c r="A161" t="s">
        <v>27</v>
      </c>
      <c r="B161">
        <v>26</v>
      </c>
      <c r="C161">
        <v>14</v>
      </c>
      <c r="D161" t="s">
        <v>32</v>
      </c>
      <c r="E161">
        <v>291</v>
      </c>
      <c r="F161" t="s">
        <v>20</v>
      </c>
      <c r="G161">
        <v>3.3</v>
      </c>
      <c r="H161" s="52">
        <v>1424539.0070921984</v>
      </c>
      <c r="I161" s="52">
        <v>289279.42614194809</v>
      </c>
      <c r="J161" s="2">
        <v>12.822438076126469</v>
      </c>
      <c r="K161" s="2">
        <v>3.2917188001064623</v>
      </c>
      <c r="L161" s="2">
        <v>0.10265161975443571</v>
      </c>
      <c r="M161" s="2">
        <f t="shared" si="4"/>
        <v>3.3943704198608979</v>
      </c>
      <c r="N161" s="1">
        <v>91.199610660289437</v>
      </c>
      <c r="O161" s="1">
        <v>23.107256338495034</v>
      </c>
      <c r="P161" s="1">
        <v>0.72059535922410811</v>
      </c>
      <c r="Q161" s="1">
        <v>115.02746235800858</v>
      </c>
      <c r="R161" t="s">
        <v>29</v>
      </c>
      <c r="S161" t="s">
        <v>30</v>
      </c>
      <c r="T161">
        <v>14</v>
      </c>
      <c r="U161">
        <v>1</v>
      </c>
      <c r="V161">
        <v>11</v>
      </c>
      <c r="W161">
        <v>11</v>
      </c>
      <c r="X161">
        <v>2</v>
      </c>
      <c r="Y161">
        <v>20020723</v>
      </c>
      <c r="Z161">
        <v>71.829099999999997</v>
      </c>
      <c r="AA161">
        <v>-155.01580000000001</v>
      </c>
      <c r="AB161">
        <v>281</v>
      </c>
      <c r="AC161">
        <v>4.3</v>
      </c>
      <c r="AD161">
        <v>2</v>
      </c>
      <c r="AE161">
        <v>-1.2816000000000001</v>
      </c>
      <c r="AF161">
        <v>2</v>
      </c>
      <c r="AG161">
        <v>29.1892</v>
      </c>
      <c r="AH161">
        <v>2</v>
      </c>
      <c r="AI161">
        <v>-999</v>
      </c>
      <c r="AJ161">
        <v>9</v>
      </c>
      <c r="AK161">
        <v>406.6</v>
      </c>
      <c r="AL161">
        <v>2</v>
      </c>
      <c r="AM161">
        <v>418.6</v>
      </c>
      <c r="AN161">
        <v>2</v>
      </c>
      <c r="AO161">
        <v>9.5920000000000005</v>
      </c>
      <c r="AP161">
        <v>2</v>
      </c>
      <c r="AQ161">
        <v>7.47</v>
      </c>
      <c r="AR161">
        <v>2</v>
      </c>
      <c r="AS161">
        <v>7.61</v>
      </c>
      <c r="AT161">
        <v>2</v>
      </c>
      <c r="AU161">
        <v>0.01</v>
      </c>
      <c r="AV161">
        <v>2</v>
      </c>
      <c r="AW161">
        <v>0.01</v>
      </c>
      <c r="AX161">
        <v>2</v>
      </c>
      <c r="AY161">
        <v>0.01</v>
      </c>
      <c r="AZ161">
        <v>2</v>
      </c>
      <c r="BA161">
        <v>0.01</v>
      </c>
      <c r="BB161">
        <v>2</v>
      </c>
      <c r="BC161">
        <v>0.67</v>
      </c>
      <c r="BD161">
        <v>2</v>
      </c>
      <c r="BE161">
        <v>0.68</v>
      </c>
      <c r="BF161">
        <v>2</v>
      </c>
      <c r="BG161">
        <v>7.0000000000000007E-2</v>
      </c>
      <c r="BH161">
        <v>2</v>
      </c>
      <c r="BI161">
        <v>7.0000000000000007E-2</v>
      </c>
      <c r="BJ161">
        <v>2</v>
      </c>
      <c r="BK161">
        <v>7.0000000000000007E-2</v>
      </c>
      <c r="BL161">
        <v>2</v>
      </c>
      <c r="BM161">
        <v>7.0000000000000007E-2</v>
      </c>
      <c r="BN161">
        <v>2</v>
      </c>
      <c r="BO161">
        <v>0.122</v>
      </c>
      <c r="BP161">
        <v>2</v>
      </c>
      <c r="BQ161">
        <v>1.3540000000000001</v>
      </c>
      <c r="BR161">
        <v>2</v>
      </c>
      <c r="BS161">
        <v>2.5630000000000002</v>
      </c>
      <c r="BT161">
        <v>2</v>
      </c>
      <c r="BU161">
        <v>-6.79</v>
      </c>
      <c r="BV161">
        <v>2</v>
      </c>
      <c r="BW161">
        <v>0.89</v>
      </c>
      <c r="BX161">
        <v>2</v>
      </c>
      <c r="BY161">
        <v>0.56000000000000005</v>
      </c>
      <c r="BZ161">
        <v>2</v>
      </c>
    </row>
    <row r="162" spans="1:78">
      <c r="A162" t="s">
        <v>52</v>
      </c>
      <c r="B162">
        <v>54</v>
      </c>
      <c r="C162">
        <v>25</v>
      </c>
      <c r="E162">
        <v>56</v>
      </c>
      <c r="F162" t="s">
        <v>11</v>
      </c>
      <c r="G162">
        <v>6</v>
      </c>
      <c r="H162" s="52">
        <v>1975314.1167775313</v>
      </c>
      <c r="I162" s="52"/>
      <c r="J162" s="2">
        <v>15.815705503622917</v>
      </c>
      <c r="K162" s="2">
        <v>4.5944138888904433</v>
      </c>
      <c r="L162" s="2">
        <v>0.36291133726768438</v>
      </c>
      <c r="M162" s="2">
        <f t="shared" si="4"/>
        <v>4.9573252261581278</v>
      </c>
      <c r="N162" s="1">
        <v>80.066787197492346</v>
      </c>
      <c r="O162" s="1">
        <v>23.259155846998315</v>
      </c>
      <c r="P162" s="1">
        <v>1.8372335528069181</v>
      </c>
      <c r="Q162" s="1">
        <v>105.16317659729758</v>
      </c>
      <c r="R162" t="s">
        <v>53</v>
      </c>
      <c r="S162" t="s">
        <v>60</v>
      </c>
      <c r="T162">
        <v>25</v>
      </c>
      <c r="U162">
        <v>3</v>
      </c>
      <c r="V162">
        <v>307</v>
      </c>
      <c r="W162">
        <v>7</v>
      </c>
      <c r="X162">
        <v>2</v>
      </c>
      <c r="Y162">
        <v>20040729</v>
      </c>
      <c r="Z162">
        <v>71.302000000000007</v>
      </c>
      <c r="AA162">
        <v>-152.53100000000001</v>
      </c>
      <c r="AB162">
        <v>54</v>
      </c>
      <c r="AC162">
        <v>7.1</v>
      </c>
      <c r="AD162">
        <v>2</v>
      </c>
      <c r="AE162">
        <v>6.3440000000000003</v>
      </c>
      <c r="AF162">
        <v>2</v>
      </c>
      <c r="AG162">
        <v>29.241</v>
      </c>
      <c r="AH162">
        <v>2</v>
      </c>
      <c r="AI162">
        <v>-999</v>
      </c>
      <c r="AJ162">
        <v>9</v>
      </c>
      <c r="AK162">
        <v>323.39999999999998</v>
      </c>
      <c r="AL162">
        <v>2</v>
      </c>
      <c r="AM162">
        <v>325.89999999999998</v>
      </c>
      <c r="AN162">
        <v>2</v>
      </c>
      <c r="AO162">
        <v>7.4630000000000001</v>
      </c>
      <c r="AP162">
        <v>2</v>
      </c>
      <c r="AQ162">
        <v>9.09</v>
      </c>
      <c r="AR162">
        <v>2</v>
      </c>
      <c r="AS162">
        <v>9.27</v>
      </c>
      <c r="AT162">
        <v>2</v>
      </c>
      <c r="AU162">
        <v>7.0000000000000007E-2</v>
      </c>
      <c r="AV162">
        <v>2</v>
      </c>
      <c r="AW162">
        <v>7.0000000000000007E-2</v>
      </c>
      <c r="AX162">
        <v>2</v>
      </c>
      <c r="AY162">
        <v>0</v>
      </c>
      <c r="AZ162">
        <v>2</v>
      </c>
      <c r="BA162">
        <v>0</v>
      </c>
      <c r="BB162">
        <v>2</v>
      </c>
      <c r="BC162">
        <v>0.62</v>
      </c>
      <c r="BD162">
        <v>2</v>
      </c>
      <c r="BE162">
        <v>0.63</v>
      </c>
      <c r="BF162">
        <v>2</v>
      </c>
      <c r="BG162">
        <v>0.19</v>
      </c>
      <c r="BH162">
        <v>2</v>
      </c>
      <c r="BI162">
        <v>0.19</v>
      </c>
      <c r="BJ162">
        <v>2</v>
      </c>
      <c r="BK162">
        <v>0.08</v>
      </c>
      <c r="BL162">
        <v>2</v>
      </c>
      <c r="BM162">
        <v>0.08</v>
      </c>
      <c r="BN162">
        <v>2</v>
      </c>
      <c r="BO162">
        <v>-999</v>
      </c>
      <c r="BP162">
        <v>9</v>
      </c>
      <c r="BS162">
        <v>1.385</v>
      </c>
      <c r="BT162">
        <v>2</v>
      </c>
      <c r="BU162">
        <v>-5.95</v>
      </c>
      <c r="BV162">
        <v>2</v>
      </c>
      <c r="BW162">
        <v>0.54</v>
      </c>
      <c r="BX162">
        <v>2</v>
      </c>
      <c r="BY162">
        <v>0.21</v>
      </c>
      <c r="BZ162">
        <v>2</v>
      </c>
    </row>
    <row r="163" spans="1:78">
      <c r="A163" t="s">
        <v>10</v>
      </c>
      <c r="B163">
        <v>4</v>
      </c>
      <c r="C163">
        <v>2</v>
      </c>
      <c r="E163">
        <v>50</v>
      </c>
      <c r="F163" t="s">
        <v>11</v>
      </c>
      <c r="G163">
        <v>1</v>
      </c>
      <c r="H163" s="52">
        <v>629858.15602836874</v>
      </c>
      <c r="I163" s="52">
        <v>269914.97617110948</v>
      </c>
      <c r="J163" s="2">
        <v>5.1365055807803079</v>
      </c>
      <c r="K163" s="2"/>
      <c r="L163" s="2"/>
      <c r="M163" s="2"/>
      <c r="N163" s="1">
        <v>72.739094159296258</v>
      </c>
      <c r="O163" s="1"/>
      <c r="P163" s="1"/>
      <c r="Q163" s="1"/>
      <c r="R163" t="s">
        <v>12</v>
      </c>
      <c r="S163" t="s">
        <v>13</v>
      </c>
      <c r="T163">
        <v>2</v>
      </c>
      <c r="U163">
        <v>1</v>
      </c>
      <c r="V163">
        <v>12</v>
      </c>
      <c r="W163">
        <v>12</v>
      </c>
      <c r="X163">
        <v>2</v>
      </c>
      <c r="Y163">
        <v>20020512</v>
      </c>
      <c r="Z163">
        <v>70.6327</v>
      </c>
      <c r="AA163">
        <v>-167.45830000000001</v>
      </c>
      <c r="AB163">
        <v>50</v>
      </c>
      <c r="AC163">
        <v>3.5</v>
      </c>
      <c r="AD163">
        <v>2</v>
      </c>
      <c r="AE163">
        <v>-1.7787999999999999</v>
      </c>
      <c r="AF163">
        <v>2</v>
      </c>
      <c r="AG163">
        <v>33.026699999999998</v>
      </c>
      <c r="AH163">
        <v>2</v>
      </c>
      <c r="AI163">
        <v>-999</v>
      </c>
      <c r="AJ163">
        <v>9</v>
      </c>
      <c r="AK163">
        <v>317.3</v>
      </c>
      <c r="AL163">
        <v>2</v>
      </c>
      <c r="AM163">
        <v>321.8</v>
      </c>
      <c r="AN163">
        <v>2</v>
      </c>
      <c r="AO163">
        <v>7.3979999999999997</v>
      </c>
      <c r="AP163">
        <v>2</v>
      </c>
      <c r="AQ163">
        <v>39.409999999999997</v>
      </c>
      <c r="AR163">
        <v>2</v>
      </c>
      <c r="AS163">
        <v>40.270000000000003</v>
      </c>
      <c r="AT163">
        <v>2</v>
      </c>
      <c r="AU163">
        <v>9.8000000000000007</v>
      </c>
      <c r="AV163">
        <v>2</v>
      </c>
      <c r="AW163">
        <v>10.01</v>
      </c>
      <c r="AX163">
        <v>2</v>
      </c>
      <c r="AY163">
        <v>0.08</v>
      </c>
      <c r="AZ163">
        <v>2</v>
      </c>
      <c r="BA163">
        <v>0.08</v>
      </c>
      <c r="BB163">
        <v>2</v>
      </c>
      <c r="BC163">
        <v>1.74</v>
      </c>
      <c r="BD163">
        <v>2</v>
      </c>
      <c r="BE163">
        <v>1.78</v>
      </c>
      <c r="BF163">
        <v>2</v>
      </c>
      <c r="BG163">
        <v>3.66</v>
      </c>
      <c r="BH163">
        <v>2</v>
      </c>
      <c r="BI163">
        <v>3.74</v>
      </c>
      <c r="BJ163">
        <v>2</v>
      </c>
      <c r="BK163">
        <v>0.08</v>
      </c>
      <c r="BL163">
        <v>2</v>
      </c>
      <c r="BM163">
        <v>0.08</v>
      </c>
      <c r="BN163">
        <v>2</v>
      </c>
      <c r="BO163">
        <v>0.13900000000000001</v>
      </c>
      <c r="BP163">
        <v>2</v>
      </c>
      <c r="BQ163">
        <v>0.92</v>
      </c>
      <c r="BR163">
        <v>2</v>
      </c>
      <c r="BS163">
        <v>2.8940000000000001</v>
      </c>
      <c r="BT163">
        <v>2</v>
      </c>
      <c r="BU163">
        <v>-10.15</v>
      </c>
      <c r="BV163">
        <v>2</v>
      </c>
      <c r="BW163">
        <v>0.16</v>
      </c>
      <c r="BX163">
        <v>2</v>
      </c>
      <c r="BY163">
        <v>0.21</v>
      </c>
      <c r="BZ163">
        <v>2</v>
      </c>
    </row>
    <row r="164" spans="1:78">
      <c r="A164" t="s">
        <v>10</v>
      </c>
      <c r="B164">
        <v>6</v>
      </c>
      <c r="C164">
        <v>3</v>
      </c>
      <c r="D164" t="s">
        <v>14</v>
      </c>
      <c r="E164">
        <v>50</v>
      </c>
      <c r="F164" t="s">
        <v>11</v>
      </c>
      <c r="G164">
        <v>0</v>
      </c>
      <c r="H164" s="52">
        <v>348040.78014184395</v>
      </c>
      <c r="I164" s="52">
        <v>57943.369866061927</v>
      </c>
      <c r="J164" s="2">
        <v>1.9354282290723412</v>
      </c>
      <c r="K164" s="2"/>
      <c r="L164" s="2"/>
      <c r="M164" s="2"/>
      <c r="N164" s="1">
        <v>62.750232853877108</v>
      </c>
      <c r="O164" s="1"/>
      <c r="P164" s="1"/>
      <c r="Q164" s="1"/>
      <c r="R164" t="s">
        <v>12</v>
      </c>
      <c r="S164" t="s">
        <v>13</v>
      </c>
      <c r="T164">
        <v>3</v>
      </c>
      <c r="U164">
        <v>3</v>
      </c>
      <c r="V164">
        <v>12</v>
      </c>
      <c r="W164">
        <v>12</v>
      </c>
      <c r="X164">
        <v>2</v>
      </c>
      <c r="Y164">
        <v>20020514</v>
      </c>
      <c r="Z164">
        <v>71.889899999999997</v>
      </c>
      <c r="AA164">
        <v>-166.1327</v>
      </c>
      <c r="AB164">
        <v>45</v>
      </c>
      <c r="AC164">
        <v>2.2999999999999998</v>
      </c>
      <c r="AD164">
        <v>2</v>
      </c>
      <c r="AE164">
        <v>-1.8187</v>
      </c>
      <c r="AF164">
        <v>2</v>
      </c>
      <c r="AG164">
        <v>33.543599999999998</v>
      </c>
      <c r="AH164">
        <v>2</v>
      </c>
      <c r="AI164">
        <v>-999</v>
      </c>
      <c r="AJ164">
        <v>9</v>
      </c>
      <c r="AK164">
        <v>309.10000000000002</v>
      </c>
      <c r="AL164">
        <v>2</v>
      </c>
      <c r="AM164">
        <v>316.5</v>
      </c>
      <c r="AN164">
        <v>2</v>
      </c>
      <c r="AO164">
        <v>7.2789999999999999</v>
      </c>
      <c r="AP164">
        <v>2</v>
      </c>
      <c r="AQ164">
        <v>45.3</v>
      </c>
      <c r="AR164">
        <v>2</v>
      </c>
      <c r="AS164">
        <v>46.31</v>
      </c>
      <c r="AT164">
        <v>2</v>
      </c>
      <c r="AU164">
        <v>12.57</v>
      </c>
      <c r="AV164">
        <v>2</v>
      </c>
      <c r="AW164">
        <v>12.85</v>
      </c>
      <c r="AX164">
        <v>2</v>
      </c>
      <c r="AY164">
        <v>0.04</v>
      </c>
      <c r="AZ164">
        <v>2</v>
      </c>
      <c r="BA164">
        <v>0.04</v>
      </c>
      <c r="BB164">
        <v>2</v>
      </c>
      <c r="BC164">
        <v>1.98</v>
      </c>
      <c r="BD164">
        <v>2</v>
      </c>
      <c r="BE164">
        <v>2.02</v>
      </c>
      <c r="BF164">
        <v>2</v>
      </c>
      <c r="BG164">
        <v>4.05</v>
      </c>
      <c r="BH164">
        <v>2</v>
      </c>
      <c r="BI164">
        <v>4.1399999999999997</v>
      </c>
      <c r="BJ164">
        <v>2</v>
      </c>
      <c r="BK164">
        <v>0.08</v>
      </c>
      <c r="BL164">
        <v>2</v>
      </c>
      <c r="BM164">
        <v>0.08</v>
      </c>
      <c r="BN164">
        <v>2</v>
      </c>
      <c r="BO164">
        <v>0.153</v>
      </c>
      <c r="BP164">
        <v>2</v>
      </c>
      <c r="BQ164">
        <v>0.82299999999999995</v>
      </c>
      <c r="BR164">
        <v>2</v>
      </c>
      <c r="BS164">
        <v>3.089</v>
      </c>
      <c r="BT164">
        <v>2</v>
      </c>
      <c r="BU164">
        <v>-10.71</v>
      </c>
      <c r="BV164">
        <v>2</v>
      </c>
      <c r="BW164">
        <v>-999</v>
      </c>
      <c r="BX164">
        <v>9</v>
      </c>
      <c r="BY164">
        <v>-999</v>
      </c>
      <c r="BZ164">
        <v>9</v>
      </c>
    </row>
    <row r="165" spans="1:78">
      <c r="A165" t="s">
        <v>10</v>
      </c>
      <c r="B165">
        <v>10</v>
      </c>
      <c r="C165">
        <v>4</v>
      </c>
      <c r="D165" t="s">
        <v>14</v>
      </c>
      <c r="E165">
        <v>50</v>
      </c>
      <c r="F165" t="s">
        <v>11</v>
      </c>
      <c r="G165">
        <v>0</v>
      </c>
      <c r="H165" s="52">
        <v>440017.73049645388</v>
      </c>
      <c r="I165" s="52">
        <v>70218.041626665552</v>
      </c>
      <c r="J165" s="2">
        <v>3.4183322340789535</v>
      </c>
      <c r="K165" s="2"/>
      <c r="L165" s="2"/>
      <c r="M165" s="2"/>
      <c r="N165" s="1">
        <v>70.866902056094901</v>
      </c>
      <c r="O165" s="1"/>
      <c r="P165" s="1"/>
      <c r="Q165" s="1"/>
      <c r="R165" t="s">
        <v>12</v>
      </c>
      <c r="S165" t="s">
        <v>13</v>
      </c>
      <c r="T165">
        <v>4</v>
      </c>
      <c r="U165">
        <v>1</v>
      </c>
      <c r="V165">
        <v>12</v>
      </c>
      <c r="W165">
        <v>12</v>
      </c>
      <c r="X165">
        <v>2</v>
      </c>
      <c r="Y165">
        <v>20020515</v>
      </c>
      <c r="Z165">
        <v>71.617000000000004</v>
      </c>
      <c r="AA165">
        <v>-165.99979999999999</v>
      </c>
      <c r="AB165">
        <v>43</v>
      </c>
      <c r="AC165">
        <v>2</v>
      </c>
      <c r="AD165">
        <v>2</v>
      </c>
      <c r="AE165">
        <v>-1.8158000000000001</v>
      </c>
      <c r="AF165">
        <v>2</v>
      </c>
      <c r="AG165">
        <v>33.556399999999996</v>
      </c>
      <c r="AH165">
        <v>2</v>
      </c>
      <c r="AI165">
        <v>-999</v>
      </c>
      <c r="AJ165">
        <v>9</v>
      </c>
      <c r="AK165">
        <v>313.10000000000002</v>
      </c>
      <c r="AL165">
        <v>2</v>
      </c>
      <c r="AM165">
        <v>318.60000000000002</v>
      </c>
      <c r="AN165">
        <v>2</v>
      </c>
      <c r="AO165">
        <v>7.327</v>
      </c>
      <c r="AP165">
        <v>2</v>
      </c>
      <c r="AQ165">
        <v>46.06</v>
      </c>
      <c r="AR165">
        <v>2</v>
      </c>
      <c r="AS165">
        <v>47.08</v>
      </c>
      <c r="AT165">
        <v>2</v>
      </c>
      <c r="AU165">
        <v>14.4</v>
      </c>
      <c r="AV165">
        <v>2</v>
      </c>
      <c r="AW165">
        <v>14.72</v>
      </c>
      <c r="AX165">
        <v>2</v>
      </c>
      <c r="AY165">
        <v>0.1</v>
      </c>
      <c r="AZ165">
        <v>2</v>
      </c>
      <c r="BA165">
        <v>0.1</v>
      </c>
      <c r="BB165">
        <v>2</v>
      </c>
      <c r="BC165">
        <v>1.94</v>
      </c>
      <c r="BD165">
        <v>2</v>
      </c>
      <c r="BE165">
        <v>1.98</v>
      </c>
      <c r="BF165">
        <v>2</v>
      </c>
      <c r="BG165">
        <v>2.73</v>
      </c>
      <c r="BH165">
        <v>2</v>
      </c>
      <c r="BI165">
        <v>2.79</v>
      </c>
      <c r="BJ165">
        <v>2</v>
      </c>
      <c r="BK165">
        <v>0.09</v>
      </c>
      <c r="BL165">
        <v>2</v>
      </c>
      <c r="BM165">
        <v>0.09</v>
      </c>
      <c r="BN165">
        <v>2</v>
      </c>
      <c r="BO165">
        <v>0.13500000000000001</v>
      </c>
      <c r="BP165">
        <v>2</v>
      </c>
      <c r="BQ165">
        <v>0.92600000000000005</v>
      </c>
      <c r="BR165">
        <v>2</v>
      </c>
      <c r="BS165">
        <v>3.052</v>
      </c>
      <c r="BT165">
        <v>2</v>
      </c>
      <c r="BU165">
        <v>-9.65</v>
      </c>
      <c r="BV165">
        <v>2</v>
      </c>
      <c r="BW165">
        <v>0.12</v>
      </c>
      <c r="BX165">
        <v>2</v>
      </c>
      <c r="BY165">
        <v>0.19</v>
      </c>
      <c r="BZ165">
        <v>2</v>
      </c>
    </row>
    <row r="166" spans="1:78">
      <c r="A166" t="s">
        <v>10</v>
      </c>
      <c r="B166">
        <v>18</v>
      </c>
      <c r="C166">
        <v>7</v>
      </c>
      <c r="E166">
        <v>164</v>
      </c>
      <c r="F166" t="s">
        <v>15</v>
      </c>
      <c r="G166">
        <v>18</v>
      </c>
      <c r="H166" s="52">
        <v>382624.11347517726</v>
      </c>
      <c r="I166" s="52">
        <v>63959.077970664286</v>
      </c>
      <c r="J166" s="2"/>
      <c r="K166" s="2"/>
      <c r="L166" s="2"/>
      <c r="M166" s="2"/>
      <c r="N166" s="1"/>
      <c r="O166" s="1"/>
      <c r="P166" s="1"/>
      <c r="Q166" s="1"/>
      <c r="R166" t="s">
        <v>12</v>
      </c>
      <c r="S166" t="s">
        <v>13</v>
      </c>
      <c r="T166">
        <v>7</v>
      </c>
      <c r="U166">
        <v>4</v>
      </c>
      <c r="V166">
        <v>10</v>
      </c>
      <c r="W166">
        <v>10</v>
      </c>
      <c r="X166">
        <v>2</v>
      </c>
      <c r="Y166">
        <v>20020518</v>
      </c>
      <c r="Z166">
        <v>73.0334</v>
      </c>
      <c r="AA166">
        <v>-160.482</v>
      </c>
      <c r="AB166">
        <v>148</v>
      </c>
      <c r="AC166">
        <v>19.399999999999999</v>
      </c>
      <c r="AD166">
        <v>2</v>
      </c>
      <c r="AE166">
        <v>-1.6714</v>
      </c>
      <c r="AF166">
        <v>2</v>
      </c>
      <c r="AG166">
        <v>30.903199999999998</v>
      </c>
      <c r="AH166">
        <v>2</v>
      </c>
      <c r="AI166">
        <v>-999</v>
      </c>
      <c r="AJ166">
        <v>9</v>
      </c>
      <c r="AK166">
        <v>371</v>
      </c>
      <c r="AL166">
        <v>2</v>
      </c>
      <c r="AM166">
        <v>-999</v>
      </c>
      <c r="AN166">
        <v>9</v>
      </c>
      <c r="AO166">
        <v>-999</v>
      </c>
      <c r="AP166">
        <v>9</v>
      </c>
      <c r="AQ166">
        <v>9.77</v>
      </c>
      <c r="AR166">
        <v>2</v>
      </c>
      <c r="AS166">
        <v>9.9700000000000006</v>
      </c>
      <c r="AT166">
        <v>2</v>
      </c>
      <c r="AU166">
        <v>2.2999999999999998</v>
      </c>
      <c r="AV166">
        <v>2</v>
      </c>
      <c r="AW166">
        <v>2.35</v>
      </c>
      <c r="AX166">
        <v>2</v>
      </c>
      <c r="AY166">
        <v>0.04</v>
      </c>
      <c r="AZ166">
        <v>2</v>
      </c>
      <c r="BA166">
        <v>0.04</v>
      </c>
      <c r="BB166">
        <v>2</v>
      </c>
      <c r="BC166">
        <v>0.97</v>
      </c>
      <c r="BD166">
        <v>2</v>
      </c>
      <c r="BE166">
        <v>0.99</v>
      </c>
      <c r="BF166">
        <v>2</v>
      </c>
      <c r="BG166">
        <v>0.01</v>
      </c>
      <c r="BH166">
        <v>2</v>
      </c>
      <c r="BI166">
        <v>0.01</v>
      </c>
      <c r="BJ166">
        <v>2</v>
      </c>
      <c r="BK166">
        <v>0</v>
      </c>
      <c r="BL166">
        <v>2</v>
      </c>
      <c r="BM166">
        <v>0</v>
      </c>
      <c r="BN166">
        <v>2</v>
      </c>
      <c r="BO166">
        <v>0.14399999999999999</v>
      </c>
      <c r="BP166">
        <v>2</v>
      </c>
      <c r="BQ166">
        <v>1.002</v>
      </c>
      <c r="BR166">
        <v>2</v>
      </c>
      <c r="BS166">
        <v>1.9379999999999999</v>
      </c>
      <c r="BT166">
        <v>2</v>
      </c>
      <c r="BU166">
        <v>-9.1</v>
      </c>
      <c r="BV166">
        <v>2</v>
      </c>
      <c r="BW166">
        <v>0.28000000000000003</v>
      </c>
      <c r="BX166">
        <v>2</v>
      </c>
      <c r="BY166">
        <v>0.24</v>
      </c>
      <c r="BZ166">
        <v>2</v>
      </c>
    </row>
    <row r="167" spans="1:78">
      <c r="A167" t="s">
        <v>10</v>
      </c>
      <c r="B167">
        <v>32</v>
      </c>
      <c r="C167">
        <v>11</v>
      </c>
      <c r="D167" t="s">
        <v>16</v>
      </c>
      <c r="E167">
        <v>2000</v>
      </c>
      <c r="F167" t="s">
        <v>17</v>
      </c>
      <c r="G167">
        <v>0</v>
      </c>
      <c r="H167" s="52">
        <v>204556.7375886525</v>
      </c>
      <c r="I167" s="52">
        <v>47787.118055341729</v>
      </c>
      <c r="J167" s="2">
        <v>1.779733634353502</v>
      </c>
      <c r="K167" s="2"/>
      <c r="L167" s="2"/>
      <c r="M167" s="2"/>
      <c r="N167" s="1">
        <v>87.004400604609074</v>
      </c>
      <c r="O167" s="1"/>
      <c r="P167" s="1"/>
      <c r="Q167" s="1"/>
      <c r="R167" t="s">
        <v>12</v>
      </c>
      <c r="S167" t="s">
        <v>13</v>
      </c>
      <c r="T167">
        <v>11</v>
      </c>
      <c r="U167">
        <v>2</v>
      </c>
      <c r="V167">
        <v>12</v>
      </c>
      <c r="W167">
        <v>12</v>
      </c>
      <c r="X167">
        <v>2</v>
      </c>
      <c r="Y167">
        <v>20020521</v>
      </c>
      <c r="Z167">
        <v>73.608000000000004</v>
      </c>
      <c r="AA167">
        <v>-159.57390000000001</v>
      </c>
      <c r="AB167">
        <v>2524</v>
      </c>
      <c r="AC167">
        <v>2.2000000000000002</v>
      </c>
      <c r="AD167">
        <v>2</v>
      </c>
      <c r="AE167">
        <v>-1.3795999999999999</v>
      </c>
      <c r="AF167">
        <v>2</v>
      </c>
      <c r="AG167">
        <v>29.321200000000001</v>
      </c>
      <c r="AH167">
        <v>2</v>
      </c>
      <c r="AI167">
        <v>-999</v>
      </c>
      <c r="AJ167">
        <v>9</v>
      </c>
      <c r="AK167">
        <v>391.5</v>
      </c>
      <c r="AL167">
        <v>2</v>
      </c>
      <c r="AM167">
        <v>-999</v>
      </c>
      <c r="AN167">
        <v>9</v>
      </c>
      <c r="AO167">
        <v>-999</v>
      </c>
      <c r="AP167">
        <v>9</v>
      </c>
      <c r="AQ167">
        <v>3.82</v>
      </c>
      <c r="AR167">
        <v>3</v>
      </c>
      <c r="AS167">
        <v>3.89</v>
      </c>
      <c r="AT167">
        <v>3</v>
      </c>
      <c r="AU167">
        <v>0.1</v>
      </c>
      <c r="AV167">
        <v>2</v>
      </c>
      <c r="AW167">
        <v>0.1</v>
      </c>
      <c r="AX167">
        <v>2</v>
      </c>
      <c r="AY167">
        <v>0.05</v>
      </c>
      <c r="AZ167">
        <v>2</v>
      </c>
      <c r="BA167">
        <v>0.05</v>
      </c>
      <c r="BB167">
        <v>2</v>
      </c>
      <c r="BC167">
        <v>0.71</v>
      </c>
      <c r="BD167">
        <v>2</v>
      </c>
      <c r="BE167">
        <v>0.72</v>
      </c>
      <c r="BF167">
        <v>2</v>
      </c>
      <c r="BG167">
        <v>0.01</v>
      </c>
      <c r="BH167">
        <v>3</v>
      </c>
      <c r="BI167">
        <v>0.01</v>
      </c>
      <c r="BJ167">
        <v>3</v>
      </c>
      <c r="BK167">
        <v>0</v>
      </c>
      <c r="BL167">
        <v>2</v>
      </c>
      <c r="BM167">
        <v>0</v>
      </c>
      <c r="BN167">
        <v>2</v>
      </c>
      <c r="BO167">
        <v>0.124</v>
      </c>
      <c r="BP167">
        <v>2</v>
      </c>
      <c r="BQ167">
        <v>0.623</v>
      </c>
      <c r="BR167">
        <v>2</v>
      </c>
      <c r="BS167">
        <v>3.492</v>
      </c>
      <c r="BT167">
        <v>2</v>
      </c>
      <c r="BU167">
        <v>-7.29</v>
      </c>
      <c r="BV167">
        <v>2</v>
      </c>
      <c r="BW167">
        <v>0.16</v>
      </c>
      <c r="BX167">
        <v>2</v>
      </c>
      <c r="BY167">
        <v>0.2</v>
      </c>
      <c r="BZ167">
        <v>2</v>
      </c>
    </row>
    <row r="168" spans="1:78">
      <c r="A168" t="s">
        <v>10</v>
      </c>
      <c r="B168">
        <v>36</v>
      </c>
      <c r="C168">
        <v>12</v>
      </c>
      <c r="D168" t="s">
        <v>18</v>
      </c>
      <c r="E168">
        <v>2000</v>
      </c>
      <c r="F168" t="s">
        <v>17</v>
      </c>
      <c r="G168">
        <v>0</v>
      </c>
      <c r="H168" s="52">
        <v>319343.9716312057</v>
      </c>
      <c r="I168" s="52">
        <v>43902.979180306225</v>
      </c>
      <c r="J168" s="2">
        <v>2.6483234782650822</v>
      </c>
      <c r="K168" s="2"/>
      <c r="L168" s="2"/>
      <c r="M168" s="2"/>
      <c r="N168" s="1">
        <v>82.930122799483996</v>
      </c>
      <c r="O168" s="1"/>
      <c r="P168" s="1"/>
      <c r="Q168" s="1"/>
      <c r="R168" t="s">
        <v>12</v>
      </c>
      <c r="S168" t="s">
        <v>13</v>
      </c>
      <c r="T168">
        <v>12</v>
      </c>
      <c r="U168">
        <v>2</v>
      </c>
      <c r="V168">
        <v>12</v>
      </c>
      <c r="W168">
        <v>12</v>
      </c>
      <c r="X168">
        <v>2</v>
      </c>
      <c r="Y168">
        <v>20020523</v>
      </c>
      <c r="Z168">
        <v>73.443299999999994</v>
      </c>
      <c r="AA168">
        <v>-157.55500000000001</v>
      </c>
      <c r="AB168">
        <v>2834</v>
      </c>
      <c r="AC168">
        <v>2.1</v>
      </c>
      <c r="AD168">
        <v>2</v>
      </c>
      <c r="AE168">
        <v>-1.4777</v>
      </c>
      <c r="AF168">
        <v>2</v>
      </c>
      <c r="AG168">
        <v>29.787700000000001</v>
      </c>
      <c r="AH168">
        <v>2</v>
      </c>
      <c r="AI168">
        <v>29.792200000000001</v>
      </c>
      <c r="AJ168">
        <v>2</v>
      </c>
      <c r="AK168">
        <v>393.4</v>
      </c>
      <c r="AL168">
        <v>2</v>
      </c>
      <c r="AM168">
        <v>402.1</v>
      </c>
      <c r="AN168">
        <v>2</v>
      </c>
      <c r="AO168">
        <v>9.218</v>
      </c>
      <c r="AP168">
        <v>2</v>
      </c>
      <c r="AQ168">
        <v>3.66</v>
      </c>
      <c r="AR168">
        <v>2</v>
      </c>
      <c r="AS168">
        <v>3.73</v>
      </c>
      <c r="AT168">
        <v>2</v>
      </c>
      <c r="AU168">
        <v>0.2</v>
      </c>
      <c r="AV168">
        <v>2</v>
      </c>
      <c r="AW168">
        <v>0.2</v>
      </c>
      <c r="AX168">
        <v>2</v>
      </c>
      <c r="AY168">
        <v>0.02</v>
      </c>
      <c r="AZ168">
        <v>2</v>
      </c>
      <c r="BA168">
        <v>0.02</v>
      </c>
      <c r="BB168">
        <v>2</v>
      </c>
      <c r="BC168">
        <v>0.74</v>
      </c>
      <c r="BD168">
        <v>2</v>
      </c>
      <c r="BE168">
        <v>0.75</v>
      </c>
      <c r="BF168">
        <v>2</v>
      </c>
      <c r="BG168">
        <v>0.01</v>
      </c>
      <c r="BH168">
        <v>2</v>
      </c>
      <c r="BI168">
        <v>0.01</v>
      </c>
      <c r="BJ168">
        <v>2</v>
      </c>
      <c r="BK168">
        <v>0</v>
      </c>
      <c r="BL168">
        <v>2</v>
      </c>
      <c r="BM168">
        <v>0</v>
      </c>
      <c r="BN168">
        <v>2</v>
      </c>
      <c r="BO168">
        <v>0.11600000000000001</v>
      </c>
      <c r="BP168">
        <v>2</v>
      </c>
      <c r="BQ168">
        <v>1.042</v>
      </c>
      <c r="BR168">
        <v>2</v>
      </c>
      <c r="BS168">
        <v>0</v>
      </c>
      <c r="BT168">
        <v>2</v>
      </c>
      <c r="BU168">
        <v>-7.65</v>
      </c>
      <c r="BV168">
        <v>2</v>
      </c>
      <c r="BW168">
        <v>0.26</v>
      </c>
      <c r="BX168">
        <v>2</v>
      </c>
      <c r="BY168">
        <v>0.23</v>
      </c>
      <c r="BZ168">
        <v>2</v>
      </c>
    </row>
    <row r="169" spans="1:78">
      <c r="A169" t="s">
        <v>10</v>
      </c>
      <c r="B169">
        <v>41</v>
      </c>
      <c r="C169">
        <v>13</v>
      </c>
      <c r="D169" t="s">
        <v>19</v>
      </c>
      <c r="E169">
        <v>500</v>
      </c>
      <c r="F169" t="s">
        <v>20</v>
      </c>
      <c r="G169">
        <v>0</v>
      </c>
      <c r="H169" s="52">
        <v>403226.95035460993</v>
      </c>
      <c r="I169" s="52">
        <v>76688.162950667203</v>
      </c>
      <c r="J169" s="2">
        <v>3.6314380543142759</v>
      </c>
      <c r="K169" s="2"/>
      <c r="L169" s="2"/>
      <c r="M169" s="2"/>
      <c r="N169" s="1">
        <v>90.059408259311041</v>
      </c>
      <c r="O169" s="1"/>
      <c r="P169" s="1"/>
      <c r="Q169" s="1"/>
      <c r="R169" t="s">
        <v>12</v>
      </c>
      <c r="S169" t="s">
        <v>13</v>
      </c>
      <c r="T169">
        <v>13</v>
      </c>
      <c r="U169">
        <v>1</v>
      </c>
      <c r="V169">
        <v>12</v>
      </c>
      <c r="W169">
        <v>12</v>
      </c>
      <c r="X169">
        <v>2</v>
      </c>
      <c r="Y169">
        <v>20020524</v>
      </c>
      <c r="Z169">
        <v>73.3369</v>
      </c>
      <c r="AA169">
        <v>-158.18860000000001</v>
      </c>
      <c r="AB169">
        <v>2379</v>
      </c>
      <c r="AC169">
        <v>1.8</v>
      </c>
      <c r="AD169">
        <v>2</v>
      </c>
      <c r="AE169">
        <v>-1.5729</v>
      </c>
      <c r="AF169">
        <v>2</v>
      </c>
      <c r="AG169">
        <v>29.9116</v>
      </c>
      <c r="AH169">
        <v>2</v>
      </c>
      <c r="AI169">
        <v>-999</v>
      </c>
      <c r="AJ169">
        <v>9</v>
      </c>
      <c r="AK169">
        <v>393.4</v>
      </c>
      <c r="AL169">
        <v>2</v>
      </c>
      <c r="AM169">
        <v>-999</v>
      </c>
      <c r="AN169">
        <v>9</v>
      </c>
      <c r="AO169">
        <v>-999</v>
      </c>
      <c r="AP169">
        <v>9</v>
      </c>
      <c r="AQ169">
        <v>4.21</v>
      </c>
      <c r="AR169">
        <v>2</v>
      </c>
      <c r="AS169">
        <v>4.29</v>
      </c>
      <c r="AT169">
        <v>2</v>
      </c>
      <c r="AU169">
        <v>0.3</v>
      </c>
      <c r="AV169">
        <v>2</v>
      </c>
      <c r="AW169">
        <v>0.31</v>
      </c>
      <c r="AX169">
        <v>2</v>
      </c>
      <c r="AY169">
        <v>0.02</v>
      </c>
      <c r="AZ169">
        <v>2</v>
      </c>
      <c r="BA169">
        <v>0.02</v>
      </c>
      <c r="BB169">
        <v>2</v>
      </c>
      <c r="BC169">
        <v>0.75</v>
      </c>
      <c r="BD169">
        <v>2</v>
      </c>
      <c r="BE169">
        <v>0.76</v>
      </c>
      <c r="BF169">
        <v>2</v>
      </c>
      <c r="BG169">
        <v>0</v>
      </c>
      <c r="BH169">
        <v>2</v>
      </c>
      <c r="BI169">
        <v>0</v>
      </c>
      <c r="BJ169">
        <v>2</v>
      </c>
      <c r="BK169">
        <v>0</v>
      </c>
      <c r="BL169">
        <v>2</v>
      </c>
      <c r="BM169">
        <v>0</v>
      </c>
      <c r="BN169">
        <v>2</v>
      </c>
      <c r="BO169">
        <v>0.11899999999999999</v>
      </c>
      <c r="BP169">
        <v>2</v>
      </c>
      <c r="BQ169">
        <v>1.0680000000000001</v>
      </c>
      <c r="BR169">
        <v>2</v>
      </c>
      <c r="BS169">
        <v>2.6890000000000001</v>
      </c>
      <c r="BT169">
        <v>2</v>
      </c>
      <c r="BU169">
        <v>-7.7</v>
      </c>
      <c r="BV169">
        <v>2</v>
      </c>
      <c r="BW169">
        <v>0.38</v>
      </c>
      <c r="BX169">
        <v>2</v>
      </c>
      <c r="BY169">
        <v>0.32</v>
      </c>
      <c r="BZ169">
        <v>2</v>
      </c>
    </row>
    <row r="170" spans="1:78">
      <c r="A170" t="s">
        <v>10</v>
      </c>
      <c r="B170">
        <v>87</v>
      </c>
      <c r="C170">
        <v>31</v>
      </c>
      <c r="D170" t="s">
        <v>22</v>
      </c>
      <c r="E170">
        <v>200</v>
      </c>
      <c r="F170" t="s">
        <v>15</v>
      </c>
      <c r="G170">
        <v>43</v>
      </c>
      <c r="H170" s="52">
        <v>610726.95035460999</v>
      </c>
      <c r="I170" s="52">
        <v>99388.083091988708</v>
      </c>
      <c r="J170" s="2"/>
      <c r="K170" s="2"/>
      <c r="L170" s="2"/>
      <c r="M170" s="2"/>
      <c r="N170" s="1"/>
      <c r="O170" s="1"/>
      <c r="P170" s="1"/>
      <c r="Q170" s="1"/>
      <c r="R170" t="s">
        <v>12</v>
      </c>
      <c r="S170" t="s">
        <v>13</v>
      </c>
      <c r="T170">
        <v>31</v>
      </c>
      <c r="U170">
        <v>5</v>
      </c>
      <c r="V170">
        <v>6</v>
      </c>
      <c r="W170">
        <v>6</v>
      </c>
      <c r="X170">
        <v>2</v>
      </c>
      <c r="Y170">
        <v>20020605</v>
      </c>
      <c r="Z170">
        <v>71.948999999999998</v>
      </c>
      <c r="AA170">
        <v>-154.9333</v>
      </c>
      <c r="AB170">
        <v>342</v>
      </c>
      <c r="AC170">
        <v>44.3</v>
      </c>
      <c r="AD170">
        <v>2</v>
      </c>
      <c r="AE170">
        <v>-1.6617999999999999</v>
      </c>
      <c r="AF170">
        <v>2</v>
      </c>
      <c r="AG170">
        <v>31.758500000000002</v>
      </c>
      <c r="AH170">
        <v>2</v>
      </c>
      <c r="AI170">
        <v>-999</v>
      </c>
      <c r="AJ170">
        <v>9</v>
      </c>
      <c r="AK170">
        <v>349.3</v>
      </c>
      <c r="AL170">
        <v>2</v>
      </c>
      <c r="AM170">
        <v>357.3</v>
      </c>
      <c r="AN170">
        <v>2</v>
      </c>
      <c r="AO170">
        <v>8.2040000000000006</v>
      </c>
      <c r="AP170">
        <v>2</v>
      </c>
      <c r="AQ170">
        <v>16.760000000000002</v>
      </c>
      <c r="AR170">
        <v>2</v>
      </c>
      <c r="AS170">
        <v>17.11</v>
      </c>
      <c r="AT170">
        <v>2</v>
      </c>
      <c r="AU170">
        <v>5.5</v>
      </c>
      <c r="AV170">
        <v>2</v>
      </c>
      <c r="AW170">
        <v>5.61</v>
      </c>
      <c r="AX170">
        <v>2</v>
      </c>
      <c r="AY170">
        <v>0.11</v>
      </c>
      <c r="AZ170">
        <v>2</v>
      </c>
      <c r="BA170">
        <v>0.11</v>
      </c>
      <c r="BB170">
        <v>2</v>
      </c>
      <c r="BC170">
        <v>1.2</v>
      </c>
      <c r="BD170">
        <v>2</v>
      </c>
      <c r="BE170">
        <v>1.22</v>
      </c>
      <c r="BF170">
        <v>2</v>
      </c>
      <c r="BG170">
        <v>0.19</v>
      </c>
      <c r="BH170">
        <v>2</v>
      </c>
      <c r="BI170">
        <v>0.19</v>
      </c>
      <c r="BJ170">
        <v>2</v>
      </c>
      <c r="BK170">
        <v>0.03</v>
      </c>
      <c r="BL170">
        <v>2</v>
      </c>
      <c r="BM170">
        <v>0.03</v>
      </c>
      <c r="BN170">
        <v>2</v>
      </c>
      <c r="BO170">
        <v>0.14299999999999999</v>
      </c>
      <c r="BP170">
        <v>2</v>
      </c>
      <c r="BQ170">
        <v>1.0049999999999999</v>
      </c>
      <c r="BR170">
        <v>2</v>
      </c>
      <c r="BS170">
        <v>1.413</v>
      </c>
      <c r="BT170">
        <v>2</v>
      </c>
      <c r="BU170">
        <v>-9.25</v>
      </c>
      <c r="BV170">
        <v>2</v>
      </c>
      <c r="BW170">
        <v>0.13</v>
      </c>
      <c r="BX170">
        <v>2</v>
      </c>
      <c r="BY170">
        <v>0.15</v>
      </c>
      <c r="BZ170">
        <v>2</v>
      </c>
    </row>
    <row r="171" spans="1:78">
      <c r="A171" t="s">
        <v>10</v>
      </c>
      <c r="B171">
        <v>96</v>
      </c>
      <c r="C171">
        <v>33</v>
      </c>
      <c r="D171" t="s">
        <v>23</v>
      </c>
      <c r="E171">
        <v>2132</v>
      </c>
      <c r="F171" t="s">
        <v>17</v>
      </c>
      <c r="G171">
        <v>1600</v>
      </c>
      <c r="H171" s="52">
        <v>67695.035460992905</v>
      </c>
      <c r="I171" s="52">
        <v>13787.682668700731</v>
      </c>
      <c r="J171" s="2"/>
      <c r="K171" s="2"/>
      <c r="L171" s="2"/>
      <c r="M171" s="2"/>
      <c r="N171" s="1">
        <v>36.224863307484938</v>
      </c>
      <c r="O171" s="1"/>
      <c r="P171" s="1"/>
      <c r="Q171" s="1"/>
      <c r="R171" t="s">
        <v>12</v>
      </c>
      <c r="S171" t="s">
        <v>13</v>
      </c>
      <c r="T171">
        <v>33</v>
      </c>
      <c r="U171">
        <v>1</v>
      </c>
      <c r="V171">
        <v>2</v>
      </c>
      <c r="W171">
        <v>2</v>
      </c>
      <c r="X171">
        <v>2</v>
      </c>
      <c r="Y171">
        <v>20020607</v>
      </c>
      <c r="Z171">
        <v>72.187399999999997</v>
      </c>
      <c r="AA171">
        <v>-154.39619999999999</v>
      </c>
      <c r="AB171">
        <v>1805</v>
      </c>
      <c r="AC171">
        <v>1501.4</v>
      </c>
      <c r="AD171">
        <v>2</v>
      </c>
      <c r="AE171">
        <v>-0.32400000000000001</v>
      </c>
      <c r="AF171">
        <v>2</v>
      </c>
      <c r="AG171">
        <v>34.914700000000003</v>
      </c>
      <c r="AH171">
        <v>2</v>
      </c>
      <c r="AI171">
        <v>34.914000000000001</v>
      </c>
      <c r="AJ171">
        <v>2</v>
      </c>
      <c r="AK171">
        <v>286.89999999999998</v>
      </c>
      <c r="AL171">
        <v>2</v>
      </c>
      <c r="AM171">
        <v>297.89999999999998</v>
      </c>
      <c r="AN171">
        <v>2</v>
      </c>
      <c r="AO171">
        <v>6.8570000000000002</v>
      </c>
      <c r="AP171">
        <v>2</v>
      </c>
      <c r="AQ171">
        <v>8.65</v>
      </c>
      <c r="AR171">
        <v>2</v>
      </c>
      <c r="AS171">
        <v>8.85</v>
      </c>
      <c r="AT171">
        <v>2</v>
      </c>
      <c r="AU171">
        <v>13.34</v>
      </c>
      <c r="AV171">
        <v>2</v>
      </c>
      <c r="AW171">
        <v>13.65</v>
      </c>
      <c r="AX171">
        <v>2</v>
      </c>
      <c r="AY171">
        <v>0</v>
      </c>
      <c r="AZ171">
        <v>2</v>
      </c>
      <c r="BA171">
        <v>0</v>
      </c>
      <c r="BB171">
        <v>2</v>
      </c>
      <c r="BC171">
        <v>0.95</v>
      </c>
      <c r="BD171">
        <v>2</v>
      </c>
      <c r="BE171">
        <v>0.97</v>
      </c>
      <c r="BF171">
        <v>2</v>
      </c>
      <c r="BG171">
        <v>0</v>
      </c>
      <c r="BH171">
        <v>2</v>
      </c>
      <c r="BI171">
        <v>0</v>
      </c>
      <c r="BJ171">
        <v>2</v>
      </c>
      <c r="BK171">
        <v>0.03</v>
      </c>
      <c r="BL171">
        <v>2</v>
      </c>
      <c r="BM171">
        <v>0.03</v>
      </c>
      <c r="BN171">
        <v>2</v>
      </c>
      <c r="BO171">
        <v>0.108</v>
      </c>
      <c r="BP171">
        <v>2</v>
      </c>
      <c r="BQ171">
        <v>0.56899999999999995</v>
      </c>
      <c r="BR171">
        <v>2</v>
      </c>
      <c r="BS171">
        <v>0.13700000000000001</v>
      </c>
      <c r="BT171">
        <v>2</v>
      </c>
      <c r="BU171">
        <v>0.97</v>
      </c>
      <c r="BV171">
        <v>2</v>
      </c>
      <c r="BW171">
        <v>-999</v>
      </c>
      <c r="BX171">
        <v>9</v>
      </c>
      <c r="BY171">
        <v>-999</v>
      </c>
      <c r="BZ171">
        <v>9</v>
      </c>
    </row>
    <row r="172" spans="1:78">
      <c r="A172" t="s">
        <v>10</v>
      </c>
      <c r="B172">
        <v>97</v>
      </c>
      <c r="C172">
        <v>33</v>
      </c>
      <c r="D172" t="s">
        <v>23</v>
      </c>
      <c r="E172">
        <v>2132</v>
      </c>
      <c r="F172" t="s">
        <v>17</v>
      </c>
      <c r="G172">
        <v>1600</v>
      </c>
      <c r="H172" s="52">
        <v>67695.035460992905</v>
      </c>
      <c r="I172" s="52">
        <v>13787.682668700731</v>
      </c>
      <c r="J172" s="2"/>
      <c r="K172" s="2"/>
      <c r="L172" s="2"/>
      <c r="M172" s="2"/>
      <c r="N172" s="1"/>
      <c r="O172" s="1"/>
      <c r="P172" s="1"/>
      <c r="Q172" s="1"/>
      <c r="R172" t="s">
        <v>12</v>
      </c>
      <c r="S172" t="s">
        <v>13</v>
      </c>
      <c r="T172">
        <v>33</v>
      </c>
      <c r="U172">
        <v>1</v>
      </c>
      <c r="V172">
        <v>2</v>
      </c>
      <c r="W172">
        <v>2</v>
      </c>
      <c r="X172">
        <v>2</v>
      </c>
      <c r="Y172">
        <v>20020607</v>
      </c>
      <c r="Z172">
        <v>72.187399999999997</v>
      </c>
      <c r="AA172">
        <v>-154.39619999999999</v>
      </c>
      <c r="AB172">
        <v>1805</v>
      </c>
      <c r="AC172">
        <v>1501.4</v>
      </c>
      <c r="AD172">
        <v>2</v>
      </c>
      <c r="AE172">
        <v>-0.32400000000000001</v>
      </c>
      <c r="AF172">
        <v>2</v>
      </c>
      <c r="AG172">
        <v>34.914700000000003</v>
      </c>
      <c r="AH172">
        <v>2</v>
      </c>
      <c r="AI172">
        <v>34.914000000000001</v>
      </c>
      <c r="AJ172">
        <v>2</v>
      </c>
      <c r="AK172">
        <v>286.89999999999998</v>
      </c>
      <c r="AL172">
        <v>2</v>
      </c>
      <c r="AM172">
        <v>297.89999999999998</v>
      </c>
      <c r="AN172">
        <v>2</v>
      </c>
      <c r="AO172">
        <v>6.8570000000000002</v>
      </c>
      <c r="AP172">
        <v>2</v>
      </c>
      <c r="AQ172">
        <v>8.65</v>
      </c>
      <c r="AR172">
        <v>2</v>
      </c>
      <c r="AS172">
        <v>8.85</v>
      </c>
      <c r="AT172">
        <v>2</v>
      </c>
      <c r="AU172">
        <v>13.34</v>
      </c>
      <c r="AV172">
        <v>2</v>
      </c>
      <c r="AW172">
        <v>13.65</v>
      </c>
      <c r="AX172">
        <v>2</v>
      </c>
      <c r="AY172">
        <v>0</v>
      </c>
      <c r="AZ172">
        <v>2</v>
      </c>
      <c r="BA172">
        <v>0</v>
      </c>
      <c r="BB172">
        <v>2</v>
      </c>
      <c r="BC172">
        <v>0.95</v>
      </c>
      <c r="BD172">
        <v>2</v>
      </c>
      <c r="BE172">
        <v>0.97</v>
      </c>
      <c r="BF172">
        <v>2</v>
      </c>
      <c r="BG172">
        <v>0</v>
      </c>
      <c r="BH172">
        <v>2</v>
      </c>
      <c r="BI172">
        <v>0</v>
      </c>
      <c r="BJ172">
        <v>2</v>
      </c>
      <c r="BK172">
        <v>0.03</v>
      </c>
      <c r="BL172">
        <v>2</v>
      </c>
      <c r="BM172">
        <v>0.03</v>
      </c>
      <c r="BN172">
        <v>2</v>
      </c>
      <c r="BO172">
        <v>0.108</v>
      </c>
      <c r="BP172">
        <v>2</v>
      </c>
      <c r="BQ172">
        <v>0.56899999999999995</v>
      </c>
      <c r="BR172">
        <v>2</v>
      </c>
      <c r="BS172">
        <v>0.13700000000000001</v>
      </c>
      <c r="BT172">
        <v>2</v>
      </c>
      <c r="BU172">
        <v>0.97</v>
      </c>
      <c r="BV172">
        <v>2</v>
      </c>
      <c r="BW172">
        <v>-999</v>
      </c>
      <c r="BX172">
        <v>9</v>
      </c>
      <c r="BY172">
        <v>-999</v>
      </c>
      <c r="BZ172">
        <v>9</v>
      </c>
    </row>
    <row r="173" spans="1:78">
      <c r="A173" t="s">
        <v>10</v>
      </c>
      <c r="B173">
        <v>107</v>
      </c>
      <c r="C173">
        <v>34</v>
      </c>
      <c r="D173" t="s">
        <v>25</v>
      </c>
      <c r="E173">
        <v>2000</v>
      </c>
      <c r="F173" t="s">
        <v>17</v>
      </c>
      <c r="G173">
        <v>0</v>
      </c>
      <c r="H173" s="52">
        <v>356134.75177304959</v>
      </c>
      <c r="I173" s="52">
        <v>102850.53983888077</v>
      </c>
      <c r="J173" s="2">
        <v>3.1918333685978824</v>
      </c>
      <c r="K173" s="2"/>
      <c r="L173" s="2"/>
      <c r="M173" s="2"/>
      <c r="N173" s="1">
        <v>89.624316433794988</v>
      </c>
      <c r="O173" s="1"/>
      <c r="P173" s="1"/>
      <c r="Q173" s="1"/>
      <c r="R173" t="s">
        <v>12</v>
      </c>
      <c r="S173" t="s">
        <v>13</v>
      </c>
      <c r="T173">
        <v>34</v>
      </c>
      <c r="U173">
        <v>1</v>
      </c>
      <c r="V173">
        <v>10</v>
      </c>
      <c r="W173">
        <v>10</v>
      </c>
      <c r="X173">
        <v>2</v>
      </c>
      <c r="Y173">
        <v>20020608</v>
      </c>
      <c r="Z173">
        <v>72.534300000000002</v>
      </c>
      <c r="AA173">
        <v>-154.49940000000001</v>
      </c>
      <c r="AB173">
        <v>2936</v>
      </c>
      <c r="AC173">
        <v>1.7</v>
      </c>
      <c r="AD173">
        <v>2</v>
      </c>
      <c r="AE173">
        <v>-1.5729</v>
      </c>
      <c r="AF173">
        <v>2</v>
      </c>
      <c r="AG173">
        <v>29.819099999999999</v>
      </c>
      <c r="AH173">
        <v>2</v>
      </c>
      <c r="AI173">
        <v>-999</v>
      </c>
      <c r="AJ173">
        <v>9</v>
      </c>
      <c r="AK173">
        <v>395.5</v>
      </c>
      <c r="AL173">
        <v>2</v>
      </c>
      <c r="AM173">
        <v>403.9</v>
      </c>
      <c r="AN173">
        <v>2</v>
      </c>
      <c r="AO173">
        <v>9.2609999999999992</v>
      </c>
      <c r="AP173">
        <v>2</v>
      </c>
      <c r="AQ173">
        <v>3.38</v>
      </c>
      <c r="AR173">
        <v>2</v>
      </c>
      <c r="AS173">
        <v>3.45</v>
      </c>
      <c r="AT173">
        <v>2</v>
      </c>
      <c r="AU173">
        <v>0.12</v>
      </c>
      <c r="AV173">
        <v>2</v>
      </c>
      <c r="AW173">
        <v>0.12</v>
      </c>
      <c r="AX173">
        <v>2</v>
      </c>
      <c r="AY173">
        <v>0.01</v>
      </c>
      <c r="AZ173">
        <v>2</v>
      </c>
      <c r="BA173">
        <v>0.01</v>
      </c>
      <c r="BB173">
        <v>2</v>
      </c>
      <c r="BC173">
        <v>0.72</v>
      </c>
      <c r="BD173">
        <v>2</v>
      </c>
      <c r="BE173">
        <v>0.73</v>
      </c>
      <c r="BF173">
        <v>2</v>
      </c>
      <c r="BG173">
        <v>0.02</v>
      </c>
      <c r="BH173">
        <v>2</v>
      </c>
      <c r="BI173">
        <v>0.02</v>
      </c>
      <c r="BJ173">
        <v>2</v>
      </c>
      <c r="BK173">
        <v>0.02</v>
      </c>
      <c r="BL173">
        <v>2</v>
      </c>
      <c r="BM173">
        <v>0.02</v>
      </c>
      <c r="BN173">
        <v>2</v>
      </c>
      <c r="BO173">
        <v>0.112</v>
      </c>
      <c r="BP173">
        <v>2</v>
      </c>
      <c r="BQ173">
        <v>1.1279999999999999</v>
      </c>
      <c r="BR173">
        <v>2</v>
      </c>
      <c r="BS173">
        <v>3.6459999999999999</v>
      </c>
      <c r="BT173">
        <v>2</v>
      </c>
      <c r="BU173">
        <v>-7.44</v>
      </c>
      <c r="BV173">
        <v>2</v>
      </c>
      <c r="BW173">
        <v>0.31</v>
      </c>
      <c r="BX173">
        <v>2</v>
      </c>
      <c r="BY173">
        <v>0.28000000000000003</v>
      </c>
      <c r="BZ173">
        <v>2</v>
      </c>
    </row>
    <row r="174" spans="1:78">
      <c r="A174" t="s">
        <v>10</v>
      </c>
      <c r="B174">
        <v>119</v>
      </c>
      <c r="C174">
        <v>39</v>
      </c>
      <c r="D174" t="s">
        <v>26</v>
      </c>
      <c r="E174">
        <v>100</v>
      </c>
      <c r="F174" t="s">
        <v>11</v>
      </c>
      <c r="G174">
        <v>0</v>
      </c>
      <c r="H174" s="52">
        <v>916826.2411347517</v>
      </c>
      <c r="I174" s="52">
        <v>79113.010257049129</v>
      </c>
      <c r="J174" s="2">
        <v>8.3364903283286562</v>
      </c>
      <c r="K174" s="2"/>
      <c r="L174" s="2"/>
      <c r="M174" s="2"/>
      <c r="N174" s="1">
        <v>90.927702047561596</v>
      </c>
      <c r="O174" s="1"/>
      <c r="P174" s="1"/>
      <c r="Q174" s="1"/>
      <c r="R174" t="s">
        <v>12</v>
      </c>
      <c r="S174" t="s">
        <v>13</v>
      </c>
      <c r="T174">
        <v>39</v>
      </c>
      <c r="U174">
        <v>1</v>
      </c>
      <c r="V174">
        <v>12</v>
      </c>
      <c r="W174">
        <v>12</v>
      </c>
      <c r="X174">
        <v>2</v>
      </c>
      <c r="Y174">
        <v>20020612</v>
      </c>
      <c r="Z174">
        <v>71.403599999999997</v>
      </c>
      <c r="AA174">
        <v>-157.18700000000001</v>
      </c>
      <c r="AB174">
        <v>119</v>
      </c>
      <c r="AC174">
        <v>2.1</v>
      </c>
      <c r="AD174">
        <v>2</v>
      </c>
      <c r="AE174">
        <v>-1.6233</v>
      </c>
      <c r="AF174">
        <v>2</v>
      </c>
      <c r="AG174">
        <v>32.494500000000002</v>
      </c>
      <c r="AH174">
        <v>2</v>
      </c>
      <c r="AI174">
        <v>32.500300000000003</v>
      </c>
      <c r="AJ174">
        <v>2</v>
      </c>
      <c r="AK174">
        <v>389.1</v>
      </c>
      <c r="AL174">
        <v>2</v>
      </c>
      <c r="AM174">
        <v>398.3</v>
      </c>
      <c r="AN174">
        <v>2</v>
      </c>
      <c r="AO174">
        <v>9.1509999999999998</v>
      </c>
      <c r="AP174">
        <v>2</v>
      </c>
      <c r="AQ174">
        <v>22.15</v>
      </c>
      <c r="AR174">
        <v>2</v>
      </c>
      <c r="AS174">
        <v>22.63</v>
      </c>
      <c r="AT174">
        <v>2</v>
      </c>
      <c r="AU174">
        <v>3.43</v>
      </c>
      <c r="AV174">
        <v>2</v>
      </c>
      <c r="AW174">
        <v>3.5</v>
      </c>
      <c r="AX174">
        <v>2</v>
      </c>
      <c r="AY174">
        <v>0.06</v>
      </c>
      <c r="AZ174">
        <v>2</v>
      </c>
      <c r="BA174">
        <v>0.06</v>
      </c>
      <c r="BB174">
        <v>2</v>
      </c>
      <c r="BC174">
        <v>1.1399999999999999</v>
      </c>
      <c r="BD174">
        <v>2</v>
      </c>
      <c r="BE174">
        <v>1.1599999999999999</v>
      </c>
      <c r="BF174">
        <v>2</v>
      </c>
      <c r="BG174">
        <v>0.39</v>
      </c>
      <c r="BH174">
        <v>2</v>
      </c>
      <c r="BI174">
        <v>0.4</v>
      </c>
      <c r="BJ174">
        <v>2</v>
      </c>
      <c r="BK174">
        <v>-999</v>
      </c>
      <c r="BL174">
        <v>9</v>
      </c>
      <c r="BM174">
        <v>-999</v>
      </c>
      <c r="BN174">
        <v>9</v>
      </c>
      <c r="BO174">
        <v>0.13300000000000001</v>
      </c>
      <c r="BP174">
        <v>2</v>
      </c>
      <c r="BQ174">
        <v>2.2570000000000001</v>
      </c>
      <c r="BR174">
        <v>2</v>
      </c>
      <c r="BS174">
        <v>2.806</v>
      </c>
      <c r="BT174">
        <v>2</v>
      </c>
      <c r="BU174">
        <v>-10.11</v>
      </c>
      <c r="BV174">
        <v>2</v>
      </c>
      <c r="BW174">
        <v>5.73</v>
      </c>
      <c r="BX174">
        <v>2</v>
      </c>
      <c r="BY174">
        <v>2.67</v>
      </c>
      <c r="BZ174">
        <v>2</v>
      </c>
    </row>
    <row r="175" spans="1:78">
      <c r="A175" t="s">
        <v>27</v>
      </c>
      <c r="B175">
        <v>9</v>
      </c>
      <c r="C175">
        <v>7</v>
      </c>
      <c r="D175" t="s">
        <v>31</v>
      </c>
      <c r="E175">
        <v>35</v>
      </c>
      <c r="F175" t="s">
        <v>11</v>
      </c>
      <c r="G175">
        <v>0</v>
      </c>
      <c r="H175" s="52">
        <v>1290620.5673758865</v>
      </c>
      <c r="I175" s="52">
        <v>261515.48580252894</v>
      </c>
      <c r="J175" s="2">
        <v>11.800505789134625</v>
      </c>
      <c r="K175" s="2"/>
      <c r="L175" s="2"/>
      <c r="M175" s="2"/>
      <c r="N175" s="1">
        <v>91.432804399883622</v>
      </c>
      <c r="O175" s="1"/>
      <c r="P175" s="1"/>
      <c r="Q175" s="1"/>
      <c r="R175" t="s">
        <v>29</v>
      </c>
      <c r="S175" t="s">
        <v>30</v>
      </c>
      <c r="T175">
        <v>7</v>
      </c>
      <c r="U175">
        <v>2</v>
      </c>
      <c r="V175">
        <v>12</v>
      </c>
      <c r="W175">
        <v>12</v>
      </c>
      <c r="X175">
        <v>2</v>
      </c>
      <c r="Y175">
        <v>20020719</v>
      </c>
      <c r="Z175">
        <v>68.521000000000001</v>
      </c>
      <c r="AA175">
        <v>-167.38650000000001</v>
      </c>
      <c r="AB175">
        <v>45</v>
      </c>
      <c r="AC175">
        <v>1.9</v>
      </c>
      <c r="AD175">
        <v>2</v>
      </c>
      <c r="AE175">
        <v>7.8727</v>
      </c>
      <c r="AF175">
        <v>2</v>
      </c>
      <c r="AG175">
        <v>31.4116</v>
      </c>
      <c r="AH175">
        <v>2</v>
      </c>
      <c r="AI175">
        <v>-999</v>
      </c>
      <c r="AJ175">
        <v>9</v>
      </c>
      <c r="AK175">
        <v>318.10000000000002</v>
      </c>
      <c r="AL175">
        <v>2</v>
      </c>
      <c r="AM175">
        <v>315.5</v>
      </c>
      <c r="AN175">
        <v>2</v>
      </c>
      <c r="AO175">
        <v>7.2350000000000003</v>
      </c>
      <c r="AP175">
        <v>2</v>
      </c>
      <c r="AQ175">
        <v>2.37</v>
      </c>
      <c r="AR175">
        <v>2</v>
      </c>
      <c r="AS175">
        <v>2.42</v>
      </c>
      <c r="AT175">
        <v>2</v>
      </c>
      <c r="AU175">
        <v>0</v>
      </c>
      <c r="AV175">
        <v>2</v>
      </c>
      <c r="AW175">
        <v>0</v>
      </c>
      <c r="AX175">
        <v>2</v>
      </c>
      <c r="AY175">
        <v>0</v>
      </c>
      <c r="AZ175">
        <v>2</v>
      </c>
      <c r="BA175">
        <v>0</v>
      </c>
      <c r="BB175">
        <v>2</v>
      </c>
      <c r="BC175">
        <v>0.48</v>
      </c>
      <c r="BD175">
        <v>2</v>
      </c>
      <c r="BE175">
        <v>0.49</v>
      </c>
      <c r="BF175">
        <v>2</v>
      </c>
      <c r="BG175">
        <v>0.02</v>
      </c>
      <c r="BH175">
        <v>2</v>
      </c>
      <c r="BI175">
        <v>0.02</v>
      </c>
      <c r="BJ175">
        <v>2</v>
      </c>
      <c r="BK175">
        <v>0</v>
      </c>
      <c r="BL175">
        <v>2</v>
      </c>
      <c r="BM175">
        <v>0</v>
      </c>
      <c r="BN175">
        <v>2</v>
      </c>
      <c r="BO175">
        <v>9.4E-2</v>
      </c>
      <c r="BP175">
        <v>2</v>
      </c>
      <c r="BQ175">
        <v>0.86599999999999999</v>
      </c>
      <c r="BR175">
        <v>2</v>
      </c>
      <c r="BS175">
        <v>2.4609999999999999</v>
      </c>
      <c r="BT175">
        <v>2</v>
      </c>
      <c r="BU175">
        <v>-4.21</v>
      </c>
      <c r="BV175">
        <v>2</v>
      </c>
      <c r="BW175">
        <v>0.09</v>
      </c>
      <c r="BX175">
        <v>2</v>
      </c>
      <c r="BY175">
        <v>7.0000000000000007E-2</v>
      </c>
      <c r="BZ175">
        <v>2</v>
      </c>
    </row>
    <row r="176" spans="1:78">
      <c r="A176" t="s">
        <v>27</v>
      </c>
      <c r="B176">
        <v>10</v>
      </c>
      <c r="C176">
        <v>9</v>
      </c>
      <c r="D176" t="s">
        <v>31</v>
      </c>
      <c r="E176">
        <v>35</v>
      </c>
      <c r="F176" t="s">
        <v>11</v>
      </c>
      <c r="G176">
        <v>0</v>
      </c>
      <c r="H176" s="52">
        <v>663705.67375886533</v>
      </c>
      <c r="I176" s="52">
        <v>148862.04133868162</v>
      </c>
      <c r="J176" s="2">
        <v>5.7555925260416743</v>
      </c>
      <c r="K176" s="2"/>
      <c r="L176" s="2"/>
      <c r="M176" s="2"/>
      <c r="N176" s="1">
        <v>86.719049627000345</v>
      </c>
      <c r="O176" s="1"/>
      <c r="P176" s="1"/>
      <c r="Q176" s="1"/>
      <c r="R176" t="s">
        <v>29</v>
      </c>
      <c r="S176" t="s">
        <v>30</v>
      </c>
      <c r="T176">
        <v>9</v>
      </c>
      <c r="U176">
        <v>1</v>
      </c>
      <c r="V176">
        <v>12</v>
      </c>
      <c r="W176">
        <v>12</v>
      </c>
      <c r="X176">
        <v>2</v>
      </c>
      <c r="Y176">
        <v>20020720</v>
      </c>
      <c r="Z176">
        <v>70.467100000000002</v>
      </c>
      <c r="AA176">
        <v>-163.0975</v>
      </c>
      <c r="AB176">
        <v>35</v>
      </c>
      <c r="AC176">
        <v>2</v>
      </c>
      <c r="AD176">
        <v>2</v>
      </c>
      <c r="AE176">
        <v>5.1310000000000002</v>
      </c>
      <c r="AF176">
        <v>2</v>
      </c>
      <c r="AG176">
        <v>28.9514</v>
      </c>
      <c r="AH176">
        <v>2</v>
      </c>
      <c r="AI176">
        <v>-999</v>
      </c>
      <c r="AJ176">
        <v>9</v>
      </c>
      <c r="AK176">
        <v>310.7</v>
      </c>
      <c r="AL176">
        <v>2</v>
      </c>
      <c r="AM176">
        <v>346</v>
      </c>
      <c r="AN176">
        <v>2</v>
      </c>
      <c r="AO176">
        <v>7.923</v>
      </c>
      <c r="AP176">
        <v>2</v>
      </c>
      <c r="AQ176">
        <v>7.1</v>
      </c>
      <c r="AR176">
        <v>2</v>
      </c>
      <c r="AS176">
        <v>7.23</v>
      </c>
      <c r="AT176">
        <v>2</v>
      </c>
      <c r="AU176">
        <v>0.03</v>
      </c>
      <c r="AV176">
        <v>2</v>
      </c>
      <c r="AW176">
        <v>0.03</v>
      </c>
      <c r="AX176">
        <v>2</v>
      </c>
      <c r="AY176">
        <v>0</v>
      </c>
      <c r="AZ176">
        <v>2</v>
      </c>
      <c r="BA176">
        <v>0</v>
      </c>
      <c r="BB176">
        <v>2</v>
      </c>
      <c r="BC176">
        <v>0.5</v>
      </c>
      <c r="BD176">
        <v>2</v>
      </c>
      <c r="BE176">
        <v>0.51</v>
      </c>
      <c r="BF176">
        <v>2</v>
      </c>
      <c r="BG176">
        <v>0.05</v>
      </c>
      <c r="BH176">
        <v>2</v>
      </c>
      <c r="BI176">
        <v>0.05</v>
      </c>
      <c r="BJ176">
        <v>2</v>
      </c>
      <c r="BK176">
        <v>0.01</v>
      </c>
      <c r="BL176">
        <v>2</v>
      </c>
      <c r="BM176">
        <v>0.01</v>
      </c>
      <c r="BN176">
        <v>2</v>
      </c>
      <c r="BO176">
        <v>0.10299999999999999</v>
      </c>
      <c r="BP176">
        <v>2</v>
      </c>
      <c r="BQ176">
        <v>0.91300000000000003</v>
      </c>
      <c r="BR176">
        <v>2</v>
      </c>
      <c r="BS176">
        <v>3.3580000000000001</v>
      </c>
      <c r="BT176">
        <v>2</v>
      </c>
      <c r="BU176">
        <v>-4.4400000000000004</v>
      </c>
      <c r="BV176">
        <v>2</v>
      </c>
      <c r="BW176">
        <v>0.18</v>
      </c>
      <c r="BX176">
        <v>2</v>
      </c>
      <c r="BY176">
        <v>7.0000000000000007E-2</v>
      </c>
      <c r="BZ176">
        <v>2</v>
      </c>
    </row>
    <row r="177" spans="1:78">
      <c r="A177" t="s">
        <v>27</v>
      </c>
      <c r="B177">
        <v>11</v>
      </c>
      <c r="C177">
        <v>9</v>
      </c>
      <c r="D177" t="s">
        <v>31</v>
      </c>
      <c r="E177">
        <v>35</v>
      </c>
      <c r="F177" t="s">
        <v>11</v>
      </c>
      <c r="G177">
        <v>6.5</v>
      </c>
      <c r="H177" s="52">
        <v>682836.87943262409</v>
      </c>
      <c r="I177" s="52">
        <v>163167.55927094514</v>
      </c>
      <c r="J177" s="2">
        <v>5.3401357566702963</v>
      </c>
      <c r="K177" s="2"/>
      <c r="L177" s="2"/>
      <c r="M177" s="2"/>
      <c r="N177" s="1">
        <v>78.205145584805962</v>
      </c>
      <c r="O177" s="1"/>
      <c r="P177" s="1"/>
      <c r="Q177" s="1"/>
      <c r="R177" t="s">
        <v>29</v>
      </c>
      <c r="S177" t="s">
        <v>30</v>
      </c>
      <c r="T177">
        <v>9</v>
      </c>
      <c r="U177">
        <v>1</v>
      </c>
      <c r="V177">
        <v>8</v>
      </c>
      <c r="W177">
        <v>8</v>
      </c>
      <c r="X177">
        <v>2</v>
      </c>
      <c r="Y177">
        <v>20020720</v>
      </c>
      <c r="Z177">
        <v>70.467100000000002</v>
      </c>
      <c r="AA177">
        <v>-163.0975</v>
      </c>
      <c r="AB177">
        <v>35</v>
      </c>
      <c r="AC177">
        <v>7.5</v>
      </c>
      <c r="AD177">
        <v>2</v>
      </c>
      <c r="AE177">
        <v>5.1844000000000001</v>
      </c>
      <c r="AF177">
        <v>2</v>
      </c>
      <c r="AG177">
        <v>29.3123</v>
      </c>
      <c r="AH177">
        <v>2</v>
      </c>
      <c r="AI177">
        <v>-999</v>
      </c>
      <c r="AJ177">
        <v>9</v>
      </c>
      <c r="AK177">
        <v>321.39999999999998</v>
      </c>
      <c r="AL177">
        <v>2</v>
      </c>
      <c r="AM177">
        <v>345.5</v>
      </c>
      <c r="AN177">
        <v>2</v>
      </c>
      <c r="AO177">
        <v>7.9130000000000003</v>
      </c>
      <c r="AP177">
        <v>2</v>
      </c>
      <c r="AQ177">
        <v>7.09</v>
      </c>
      <c r="AR177">
        <v>2</v>
      </c>
      <c r="AS177">
        <v>7.23</v>
      </c>
      <c r="AT177">
        <v>2</v>
      </c>
      <c r="AU177">
        <v>0.03</v>
      </c>
      <c r="AV177">
        <v>2</v>
      </c>
      <c r="AW177">
        <v>0.03</v>
      </c>
      <c r="AX177">
        <v>2</v>
      </c>
      <c r="AY177">
        <v>0</v>
      </c>
      <c r="AZ177">
        <v>2</v>
      </c>
      <c r="BA177">
        <v>0</v>
      </c>
      <c r="BB177">
        <v>2</v>
      </c>
      <c r="BC177">
        <v>0.49</v>
      </c>
      <c r="BD177">
        <v>2</v>
      </c>
      <c r="BE177">
        <v>0.5</v>
      </c>
      <c r="BF177">
        <v>2</v>
      </c>
      <c r="BG177">
        <v>0.03</v>
      </c>
      <c r="BH177">
        <v>2</v>
      </c>
      <c r="BI177">
        <v>0.03</v>
      </c>
      <c r="BJ177">
        <v>2</v>
      </c>
      <c r="BK177">
        <v>0</v>
      </c>
      <c r="BL177">
        <v>2</v>
      </c>
      <c r="BM177">
        <v>0</v>
      </c>
      <c r="BN177">
        <v>2</v>
      </c>
      <c r="BO177">
        <v>0.104</v>
      </c>
      <c r="BP177">
        <v>2</v>
      </c>
      <c r="BQ177">
        <v>0.94399999999999995</v>
      </c>
      <c r="BR177">
        <v>2</v>
      </c>
      <c r="BS177">
        <v>2.7869999999999999</v>
      </c>
      <c r="BT177">
        <v>2</v>
      </c>
      <c r="BU177">
        <v>-4.32</v>
      </c>
      <c r="BV177">
        <v>2</v>
      </c>
      <c r="BW177">
        <v>0.17</v>
      </c>
      <c r="BX177">
        <v>2</v>
      </c>
      <c r="BY177">
        <v>0.08</v>
      </c>
      <c r="BZ177">
        <v>2</v>
      </c>
    </row>
    <row r="178" spans="1:78">
      <c r="A178" t="s">
        <v>27</v>
      </c>
      <c r="B178">
        <v>47</v>
      </c>
      <c r="C178">
        <v>18</v>
      </c>
      <c r="D178" t="s">
        <v>35</v>
      </c>
      <c r="E178">
        <v>2927</v>
      </c>
      <c r="F178" t="s">
        <v>17</v>
      </c>
      <c r="G178">
        <v>10</v>
      </c>
      <c r="H178" s="52">
        <v>1470159.5744680851</v>
      </c>
      <c r="I178" s="52">
        <v>118839.2188442225</v>
      </c>
      <c r="J178" s="2">
        <v>12.48753844545668</v>
      </c>
      <c r="K178" s="2"/>
      <c r="L178" s="2"/>
      <c r="M178" s="2"/>
      <c r="N178" s="1">
        <v>84.940020541476031</v>
      </c>
      <c r="O178" s="1"/>
      <c r="P178" s="1"/>
      <c r="Q178" s="1"/>
      <c r="R178" t="s">
        <v>29</v>
      </c>
      <c r="S178" t="s">
        <v>30</v>
      </c>
      <c r="T178">
        <v>18</v>
      </c>
      <c r="U178">
        <v>6</v>
      </c>
      <c r="V178">
        <v>10</v>
      </c>
      <c r="W178">
        <v>10</v>
      </c>
      <c r="X178">
        <v>2</v>
      </c>
      <c r="Y178">
        <v>20020729</v>
      </c>
      <c r="Z178">
        <v>72.27</v>
      </c>
      <c r="AA178">
        <v>-151.78530000000001</v>
      </c>
      <c r="AB178">
        <v>2935</v>
      </c>
      <c r="AC178">
        <v>7.4</v>
      </c>
      <c r="AD178">
        <v>2</v>
      </c>
      <c r="AE178">
        <v>-1.4766999999999999</v>
      </c>
      <c r="AF178">
        <v>2</v>
      </c>
      <c r="AG178">
        <v>29.0579</v>
      </c>
      <c r="AH178">
        <v>2</v>
      </c>
      <c r="AI178">
        <v>-999</v>
      </c>
      <c r="AJ178">
        <v>9</v>
      </c>
      <c r="AK178">
        <v>384.9</v>
      </c>
      <c r="AL178">
        <v>2</v>
      </c>
      <c r="AM178">
        <v>-999</v>
      </c>
      <c r="AN178">
        <v>9</v>
      </c>
      <c r="AO178">
        <v>-999</v>
      </c>
      <c r="AP178">
        <v>9</v>
      </c>
      <c r="AQ178">
        <v>5.68</v>
      </c>
      <c r="AR178">
        <v>2</v>
      </c>
      <c r="AS178">
        <v>5.79</v>
      </c>
      <c r="AT178">
        <v>2</v>
      </c>
      <c r="AU178">
        <v>0.15</v>
      </c>
      <c r="AV178">
        <v>2</v>
      </c>
      <c r="AW178">
        <v>0.15</v>
      </c>
      <c r="AX178">
        <v>2</v>
      </c>
      <c r="AY178">
        <v>0.01</v>
      </c>
      <c r="AZ178">
        <v>2</v>
      </c>
      <c r="BA178">
        <v>0.01</v>
      </c>
      <c r="BB178">
        <v>2</v>
      </c>
      <c r="BC178">
        <v>0.71</v>
      </c>
      <c r="BD178">
        <v>2</v>
      </c>
      <c r="BE178">
        <v>0.72</v>
      </c>
      <c r="BF178">
        <v>2</v>
      </c>
      <c r="BG178">
        <v>0.75</v>
      </c>
      <c r="BH178">
        <v>2</v>
      </c>
      <c r="BI178">
        <v>0.76</v>
      </c>
      <c r="BJ178">
        <v>2</v>
      </c>
      <c r="BK178">
        <v>0</v>
      </c>
      <c r="BL178">
        <v>2</v>
      </c>
      <c r="BM178">
        <v>0</v>
      </c>
      <c r="BN178">
        <v>2</v>
      </c>
      <c r="BO178">
        <v>0.115</v>
      </c>
      <c r="BP178">
        <v>2</v>
      </c>
      <c r="BQ178">
        <v>0.998</v>
      </c>
      <c r="BR178">
        <v>2</v>
      </c>
      <c r="BS178">
        <v>2.7850000000000001</v>
      </c>
      <c r="BT178">
        <v>2</v>
      </c>
      <c r="BU178">
        <v>-6.63</v>
      </c>
      <c r="BV178">
        <v>2</v>
      </c>
      <c r="BW178">
        <v>0.4</v>
      </c>
      <c r="BX178">
        <v>2</v>
      </c>
      <c r="BY178">
        <v>0.24</v>
      </c>
      <c r="BZ178">
        <v>2</v>
      </c>
    </row>
    <row r="179" spans="1:78">
      <c r="A179" t="s">
        <v>27</v>
      </c>
      <c r="B179">
        <v>47</v>
      </c>
      <c r="C179">
        <v>18</v>
      </c>
      <c r="D179" t="s">
        <v>35</v>
      </c>
      <c r="E179">
        <v>2927</v>
      </c>
      <c r="F179" t="s">
        <v>17</v>
      </c>
      <c r="G179">
        <v>11.3</v>
      </c>
      <c r="H179" s="52">
        <v>1470159.5744680851</v>
      </c>
      <c r="I179" s="52">
        <v>118839.2188442225</v>
      </c>
      <c r="J179" s="2">
        <v>11.607558090796431</v>
      </c>
      <c r="K179" s="2"/>
      <c r="L179" s="2"/>
      <c r="M179" s="2"/>
      <c r="N179" s="1">
        <v>78.954409387811751</v>
      </c>
      <c r="O179" s="1"/>
      <c r="P179" s="1"/>
      <c r="Q179" s="1"/>
      <c r="R179" t="s">
        <v>29</v>
      </c>
      <c r="S179" t="s">
        <v>30</v>
      </c>
      <c r="T179">
        <v>18</v>
      </c>
      <c r="U179">
        <v>2</v>
      </c>
      <c r="V179">
        <v>11</v>
      </c>
      <c r="W179">
        <v>11</v>
      </c>
      <c r="X179">
        <v>2</v>
      </c>
      <c r="Y179">
        <v>20020729</v>
      </c>
      <c r="Z179">
        <v>72.307000000000002</v>
      </c>
      <c r="AA179">
        <v>-151.94239999999999</v>
      </c>
      <c r="AB179">
        <v>3234</v>
      </c>
      <c r="AC179">
        <v>11.6</v>
      </c>
      <c r="AD179">
        <v>2</v>
      </c>
      <c r="AE179">
        <v>-1.4839</v>
      </c>
      <c r="AF179">
        <v>2</v>
      </c>
      <c r="AG179">
        <v>29.424600000000002</v>
      </c>
      <c r="AH179">
        <v>2</v>
      </c>
      <c r="AI179">
        <v>29.538699999999999</v>
      </c>
      <c r="AJ179">
        <v>2</v>
      </c>
      <c r="AK179">
        <v>385</v>
      </c>
      <c r="AL179">
        <v>2</v>
      </c>
      <c r="AM179">
        <v>396.4</v>
      </c>
      <c r="AN179">
        <v>2</v>
      </c>
      <c r="AO179">
        <v>9.0869999999999997</v>
      </c>
      <c r="AP179">
        <v>2</v>
      </c>
      <c r="AQ179">
        <v>8.6</v>
      </c>
      <c r="AR179">
        <v>2</v>
      </c>
      <c r="AS179">
        <v>8.77</v>
      </c>
      <c r="AT179">
        <v>2</v>
      </c>
      <c r="AU179">
        <v>0.28000000000000003</v>
      </c>
      <c r="AV179">
        <v>2</v>
      </c>
      <c r="AW179">
        <v>0.28999999999999998</v>
      </c>
      <c r="AX179">
        <v>2</v>
      </c>
      <c r="AY179">
        <v>0.02</v>
      </c>
      <c r="AZ179">
        <v>2</v>
      </c>
      <c r="BA179">
        <v>0.02</v>
      </c>
      <c r="BB179">
        <v>2</v>
      </c>
      <c r="BC179">
        <v>0.75</v>
      </c>
      <c r="BD179">
        <v>2</v>
      </c>
      <c r="BE179">
        <v>0.76</v>
      </c>
      <c r="BF179">
        <v>2</v>
      </c>
      <c r="BG179">
        <v>0.52</v>
      </c>
      <c r="BH179">
        <v>2</v>
      </c>
      <c r="BI179">
        <v>0.53</v>
      </c>
      <c r="BJ179">
        <v>2</v>
      </c>
      <c r="BK179">
        <v>0.05</v>
      </c>
      <c r="BL179">
        <v>2</v>
      </c>
      <c r="BM179">
        <v>0.05</v>
      </c>
      <c r="BN179">
        <v>2</v>
      </c>
      <c r="BO179">
        <v>0.121</v>
      </c>
      <c r="BP179">
        <v>2</v>
      </c>
      <c r="BQ179">
        <v>1.2889999999999999</v>
      </c>
      <c r="BR179">
        <v>2</v>
      </c>
      <c r="BS179">
        <v>0</v>
      </c>
      <c r="BT179">
        <v>2</v>
      </c>
      <c r="BU179">
        <v>-7.26</v>
      </c>
      <c r="BV179">
        <v>2</v>
      </c>
      <c r="BW179">
        <v>0.56999999999999995</v>
      </c>
      <c r="BX179">
        <v>2</v>
      </c>
      <c r="BY179">
        <v>0.32</v>
      </c>
      <c r="BZ179">
        <v>2</v>
      </c>
    </row>
    <row r="180" spans="1:78">
      <c r="A180" t="s">
        <v>27</v>
      </c>
      <c r="B180">
        <v>58</v>
      </c>
      <c r="C180">
        <v>24</v>
      </c>
      <c r="E180">
        <v>52</v>
      </c>
      <c r="F180" t="s">
        <v>11</v>
      </c>
      <c r="G180">
        <v>21.7</v>
      </c>
      <c r="H180" s="52">
        <v>863847.51773049647</v>
      </c>
      <c r="I180" s="52">
        <v>148635.56124895622</v>
      </c>
      <c r="J180" s="2">
        <v>4.9460415541826555</v>
      </c>
      <c r="K180" s="2"/>
      <c r="L180" s="2"/>
      <c r="M180" s="2"/>
      <c r="N180" s="1">
        <v>57.255956087909063</v>
      </c>
      <c r="O180" s="1"/>
      <c r="P180" s="1"/>
      <c r="Q180" s="1"/>
      <c r="R180" t="s">
        <v>29</v>
      </c>
      <c r="S180" t="s">
        <v>30</v>
      </c>
      <c r="T180">
        <v>24</v>
      </c>
      <c r="U180">
        <v>3</v>
      </c>
      <c r="V180">
        <v>9</v>
      </c>
      <c r="W180">
        <v>9</v>
      </c>
      <c r="X180">
        <v>2</v>
      </c>
      <c r="Y180">
        <v>20020804</v>
      </c>
      <c r="Z180">
        <v>71.270700000000005</v>
      </c>
      <c r="AA180">
        <v>-152.48589999999999</v>
      </c>
      <c r="AB180">
        <v>47</v>
      </c>
      <c r="AC180">
        <v>29.2</v>
      </c>
      <c r="AD180">
        <v>2</v>
      </c>
      <c r="AE180">
        <v>-0.34110000000000001</v>
      </c>
      <c r="AF180">
        <v>2</v>
      </c>
      <c r="AG180">
        <v>30.4161</v>
      </c>
      <c r="AH180">
        <v>2</v>
      </c>
      <c r="AI180">
        <v>30.4421</v>
      </c>
      <c r="AJ180">
        <v>2</v>
      </c>
      <c r="AK180">
        <v>378.6</v>
      </c>
      <c r="AL180">
        <v>2</v>
      </c>
      <c r="AM180">
        <v>396.5</v>
      </c>
      <c r="AN180">
        <v>2</v>
      </c>
      <c r="AO180">
        <v>9.0950000000000006</v>
      </c>
      <c r="AP180">
        <v>2</v>
      </c>
      <c r="AQ180">
        <v>11.46</v>
      </c>
      <c r="AR180">
        <v>2</v>
      </c>
      <c r="AS180">
        <v>11.69</v>
      </c>
      <c r="AT180">
        <v>2</v>
      </c>
      <c r="AU180">
        <v>0.28000000000000003</v>
      </c>
      <c r="AV180">
        <v>2</v>
      </c>
      <c r="AW180">
        <v>0.28999999999999998</v>
      </c>
      <c r="AX180">
        <v>2</v>
      </c>
      <c r="AY180">
        <v>0.02</v>
      </c>
      <c r="AZ180">
        <v>2</v>
      </c>
      <c r="BA180">
        <v>0.02</v>
      </c>
      <c r="BB180">
        <v>2</v>
      </c>
      <c r="BC180">
        <v>0.73</v>
      </c>
      <c r="BD180">
        <v>2</v>
      </c>
      <c r="BE180">
        <v>0.74</v>
      </c>
      <c r="BF180">
        <v>2</v>
      </c>
      <c r="BG180">
        <v>0.96</v>
      </c>
      <c r="BH180">
        <v>2</v>
      </c>
      <c r="BI180">
        <v>0.98</v>
      </c>
      <c r="BJ180">
        <v>2</v>
      </c>
      <c r="BK180">
        <v>7.0000000000000007E-2</v>
      </c>
      <c r="BL180">
        <v>2</v>
      </c>
      <c r="BM180">
        <v>7.0000000000000007E-2</v>
      </c>
      <c r="BN180">
        <v>2</v>
      </c>
      <c r="BO180">
        <v>0.124</v>
      </c>
      <c r="BP180">
        <v>2</v>
      </c>
      <c r="BQ180">
        <v>1.145</v>
      </c>
      <c r="BR180">
        <v>2</v>
      </c>
      <c r="BS180">
        <v>0.89800000000000002</v>
      </c>
      <c r="BT180">
        <v>2</v>
      </c>
      <c r="BU180">
        <v>-6.59</v>
      </c>
      <c r="BV180">
        <v>2</v>
      </c>
      <c r="BW180">
        <v>0.25</v>
      </c>
      <c r="BX180">
        <v>2</v>
      </c>
      <c r="BY180">
        <v>0.18</v>
      </c>
      <c r="BZ180">
        <v>2</v>
      </c>
    </row>
    <row r="181" spans="1:78">
      <c r="A181" t="s">
        <v>27</v>
      </c>
      <c r="B181">
        <v>62</v>
      </c>
      <c r="C181">
        <v>26</v>
      </c>
      <c r="E181">
        <v>165</v>
      </c>
      <c r="F181" t="s">
        <v>15</v>
      </c>
      <c r="G181">
        <v>33</v>
      </c>
      <c r="H181" s="52">
        <v>409113.47517730499</v>
      </c>
      <c r="I181" s="52">
        <v>90929.397039326883</v>
      </c>
      <c r="J181" s="2">
        <v>2.7453900541591296</v>
      </c>
      <c r="K181" s="2"/>
      <c r="L181" s="2"/>
      <c r="M181" s="2"/>
      <c r="N181" s="1">
        <v>67.105832995828592</v>
      </c>
      <c r="O181" s="1">
        <v>3.4728687891229475</v>
      </c>
      <c r="P181" s="1">
        <v>0.69050983627733076</v>
      </c>
      <c r="Q181" s="1">
        <v>71.269211621228862</v>
      </c>
      <c r="R181" t="s">
        <v>29</v>
      </c>
      <c r="S181" t="s">
        <v>30</v>
      </c>
      <c r="T181">
        <v>26</v>
      </c>
      <c r="U181">
        <v>4</v>
      </c>
      <c r="V181">
        <v>9</v>
      </c>
      <c r="W181">
        <v>9</v>
      </c>
      <c r="X181">
        <v>2</v>
      </c>
      <c r="Y181">
        <v>20020806</v>
      </c>
      <c r="Z181">
        <v>72.609200000000001</v>
      </c>
      <c r="AA181">
        <v>-158.7167</v>
      </c>
      <c r="AB181">
        <v>86</v>
      </c>
      <c r="AC181">
        <v>31.2</v>
      </c>
      <c r="AD181">
        <v>2</v>
      </c>
      <c r="AE181">
        <v>-1.524</v>
      </c>
      <c r="AF181">
        <v>2</v>
      </c>
      <c r="AG181">
        <v>31.452500000000001</v>
      </c>
      <c r="AH181">
        <v>2</v>
      </c>
      <c r="AI181">
        <v>31.355699999999999</v>
      </c>
      <c r="AJ181">
        <v>2</v>
      </c>
      <c r="AK181">
        <v>358.1</v>
      </c>
      <c r="AL181">
        <v>2</v>
      </c>
      <c r="AM181">
        <v>392.8</v>
      </c>
      <c r="AN181">
        <v>2</v>
      </c>
      <c r="AO181">
        <v>9.0180000000000007</v>
      </c>
      <c r="AP181">
        <v>2</v>
      </c>
      <c r="AQ181">
        <v>10.039999999999999</v>
      </c>
      <c r="AR181">
        <v>2</v>
      </c>
      <c r="AS181">
        <v>10.25</v>
      </c>
      <c r="AT181">
        <v>2</v>
      </c>
      <c r="AU181">
        <v>0.49</v>
      </c>
      <c r="AV181">
        <v>2</v>
      </c>
      <c r="AW181">
        <v>0.5</v>
      </c>
      <c r="AX181">
        <v>2</v>
      </c>
      <c r="AY181">
        <v>0.02</v>
      </c>
      <c r="AZ181">
        <v>2</v>
      </c>
      <c r="BA181">
        <v>0.02</v>
      </c>
      <c r="BB181">
        <v>2</v>
      </c>
      <c r="BC181">
        <v>0.95</v>
      </c>
      <c r="BD181">
        <v>2</v>
      </c>
      <c r="BE181">
        <v>0.97</v>
      </c>
      <c r="BF181">
        <v>2</v>
      </c>
      <c r="BG181">
        <v>0.1</v>
      </c>
      <c r="BH181">
        <v>2</v>
      </c>
      <c r="BI181">
        <v>0.1</v>
      </c>
      <c r="BJ181">
        <v>2</v>
      </c>
      <c r="BK181">
        <v>0.03</v>
      </c>
      <c r="BL181">
        <v>2</v>
      </c>
      <c r="BM181">
        <v>0.03</v>
      </c>
      <c r="BN181">
        <v>2</v>
      </c>
      <c r="BO181">
        <v>0.13</v>
      </c>
      <c r="BP181">
        <v>2</v>
      </c>
      <c r="BQ181">
        <v>2.4729999999999999</v>
      </c>
      <c r="BR181">
        <v>2</v>
      </c>
      <c r="BS181">
        <v>1.4179999999999999</v>
      </c>
      <c r="BT181">
        <v>2</v>
      </c>
      <c r="BU181">
        <v>-10.37</v>
      </c>
      <c r="BV181">
        <v>2</v>
      </c>
      <c r="BW181">
        <v>11.54</v>
      </c>
      <c r="BX181">
        <v>2</v>
      </c>
      <c r="BY181">
        <v>3.72</v>
      </c>
      <c r="BZ181">
        <v>2</v>
      </c>
    </row>
    <row r="182" spans="1:78">
      <c r="A182" t="s">
        <v>27</v>
      </c>
      <c r="B182">
        <v>69</v>
      </c>
      <c r="C182">
        <v>28</v>
      </c>
      <c r="E182">
        <v>455</v>
      </c>
      <c r="F182" t="s">
        <v>20</v>
      </c>
      <c r="G182">
        <v>14.2</v>
      </c>
      <c r="H182" s="52">
        <v>1141985.8156028367</v>
      </c>
      <c r="I182" s="52">
        <v>318150.79885259602</v>
      </c>
      <c r="J182" s="2">
        <v>6.766854791102527</v>
      </c>
      <c r="K182" s="2"/>
      <c r="L182" s="2"/>
      <c r="M182" s="2"/>
      <c r="N182" s="1">
        <v>59.255156225652492</v>
      </c>
      <c r="O182" s="1"/>
      <c r="P182" s="1"/>
      <c r="Q182" s="1"/>
      <c r="R182" t="s">
        <v>29</v>
      </c>
      <c r="S182" t="s">
        <v>30</v>
      </c>
      <c r="T182">
        <v>28</v>
      </c>
      <c r="U182">
        <v>6</v>
      </c>
      <c r="V182">
        <v>9</v>
      </c>
      <c r="W182">
        <v>9</v>
      </c>
      <c r="X182">
        <v>2</v>
      </c>
      <c r="Y182">
        <v>20020808</v>
      </c>
      <c r="Z182">
        <v>72.831500000000005</v>
      </c>
      <c r="AA182">
        <v>-158.29560000000001</v>
      </c>
      <c r="AB182">
        <v>404</v>
      </c>
      <c r="AC182">
        <v>15.2</v>
      </c>
      <c r="AD182">
        <v>2</v>
      </c>
      <c r="AE182">
        <v>-1.1435999999999999</v>
      </c>
      <c r="AF182">
        <v>2</v>
      </c>
      <c r="AG182">
        <v>29.3492</v>
      </c>
      <c r="AH182">
        <v>2</v>
      </c>
      <c r="AI182">
        <v>-999</v>
      </c>
      <c r="AJ182">
        <v>9</v>
      </c>
      <c r="AK182">
        <v>391</v>
      </c>
      <c r="AL182">
        <v>2</v>
      </c>
      <c r="AM182">
        <v>405.4</v>
      </c>
      <c r="AN182">
        <v>2</v>
      </c>
      <c r="AO182">
        <v>9.2919999999999998</v>
      </c>
      <c r="AP182">
        <v>2</v>
      </c>
      <c r="AQ182">
        <v>5.15</v>
      </c>
      <c r="AR182">
        <v>2</v>
      </c>
      <c r="AS182">
        <v>5.25</v>
      </c>
      <c r="AT182">
        <v>2</v>
      </c>
      <c r="AU182">
        <v>0.06</v>
      </c>
      <c r="AV182">
        <v>2</v>
      </c>
      <c r="AW182">
        <v>0.06</v>
      </c>
      <c r="AX182">
        <v>2</v>
      </c>
      <c r="AY182">
        <v>0</v>
      </c>
      <c r="AZ182">
        <v>2</v>
      </c>
      <c r="BA182">
        <v>0</v>
      </c>
      <c r="BB182">
        <v>2</v>
      </c>
      <c r="BC182">
        <v>0.73</v>
      </c>
      <c r="BD182">
        <v>2</v>
      </c>
      <c r="BE182">
        <v>0.74</v>
      </c>
      <c r="BF182">
        <v>2</v>
      </c>
      <c r="BG182">
        <v>0</v>
      </c>
      <c r="BH182">
        <v>2</v>
      </c>
      <c r="BI182">
        <v>0</v>
      </c>
      <c r="BJ182">
        <v>2</v>
      </c>
      <c r="BK182">
        <v>0</v>
      </c>
      <c r="BL182">
        <v>2</v>
      </c>
      <c r="BM182">
        <v>0</v>
      </c>
      <c r="BN182">
        <v>2</v>
      </c>
      <c r="BO182">
        <v>0.106</v>
      </c>
      <c r="BP182">
        <v>2</v>
      </c>
      <c r="BQ182">
        <v>1.194</v>
      </c>
      <c r="BR182">
        <v>2</v>
      </c>
      <c r="BS182">
        <v>1.988</v>
      </c>
      <c r="BT182">
        <v>2</v>
      </c>
      <c r="BU182">
        <v>-7.66</v>
      </c>
      <c r="BV182">
        <v>2</v>
      </c>
      <c r="BW182">
        <v>0.4</v>
      </c>
      <c r="BX182">
        <v>2</v>
      </c>
      <c r="BY182">
        <v>0.33</v>
      </c>
      <c r="BZ182">
        <v>2</v>
      </c>
    </row>
    <row r="183" spans="1:78">
      <c r="A183" t="s">
        <v>27</v>
      </c>
      <c r="B183">
        <v>79</v>
      </c>
      <c r="C183">
        <v>31</v>
      </c>
      <c r="D183" t="s">
        <v>38</v>
      </c>
      <c r="E183">
        <v>3232</v>
      </c>
      <c r="F183" t="s">
        <v>17</v>
      </c>
      <c r="G183">
        <v>0</v>
      </c>
      <c r="H183" s="52">
        <v>467242.90780141845</v>
      </c>
      <c r="I183" s="52">
        <v>122560.96671076011</v>
      </c>
      <c r="J183" s="2">
        <v>4.4576061208140807</v>
      </c>
      <c r="K183" s="2"/>
      <c r="L183" s="2"/>
      <c r="M183" s="2"/>
      <c r="N183" s="1">
        <v>95.40232813354109</v>
      </c>
      <c r="O183" s="1"/>
      <c r="P183" s="1"/>
      <c r="Q183" s="1"/>
      <c r="R183" t="s">
        <v>29</v>
      </c>
      <c r="S183" t="s">
        <v>30</v>
      </c>
      <c r="T183">
        <v>31</v>
      </c>
      <c r="U183">
        <v>8</v>
      </c>
      <c r="V183">
        <v>11</v>
      </c>
      <c r="W183">
        <v>11</v>
      </c>
      <c r="X183">
        <v>2</v>
      </c>
      <c r="Y183">
        <v>20020812</v>
      </c>
      <c r="Z183">
        <v>73.412899999999993</v>
      </c>
      <c r="AA183">
        <v>-157.33090000000001</v>
      </c>
      <c r="AB183">
        <v>3245</v>
      </c>
      <c r="AC183">
        <v>1.9</v>
      </c>
      <c r="AD183">
        <v>2</v>
      </c>
      <c r="AE183">
        <v>-0.53269999999999995</v>
      </c>
      <c r="AF183">
        <v>2</v>
      </c>
      <c r="AG183">
        <v>26.9041</v>
      </c>
      <c r="AH183">
        <v>2</v>
      </c>
      <c r="AI183">
        <v>26.904399999999999</v>
      </c>
      <c r="AJ183">
        <v>2</v>
      </c>
      <c r="AK183">
        <v>366.5</v>
      </c>
      <c r="AL183">
        <v>2</v>
      </c>
      <c r="AM183">
        <v>376.6</v>
      </c>
      <c r="AN183">
        <v>2</v>
      </c>
      <c r="AO183">
        <v>8.6150000000000002</v>
      </c>
      <c r="AP183">
        <v>2</v>
      </c>
      <c r="AQ183">
        <v>2.9</v>
      </c>
      <c r="AR183">
        <v>2</v>
      </c>
      <c r="AS183">
        <v>2.95</v>
      </c>
      <c r="AT183">
        <v>2</v>
      </c>
      <c r="AU183">
        <v>0</v>
      </c>
      <c r="AV183">
        <v>2</v>
      </c>
      <c r="AW183">
        <v>0</v>
      </c>
      <c r="AX183">
        <v>2</v>
      </c>
      <c r="AY183">
        <v>0</v>
      </c>
      <c r="AZ183">
        <v>2</v>
      </c>
      <c r="BA183">
        <v>0</v>
      </c>
      <c r="BB183">
        <v>2</v>
      </c>
      <c r="BC183">
        <v>0.64</v>
      </c>
      <c r="BD183">
        <v>2</v>
      </c>
      <c r="BE183">
        <v>0.65</v>
      </c>
      <c r="BF183">
        <v>2</v>
      </c>
      <c r="BG183">
        <v>0.02</v>
      </c>
      <c r="BH183">
        <v>2</v>
      </c>
      <c r="BI183">
        <v>0.02</v>
      </c>
      <c r="BJ183">
        <v>2</v>
      </c>
      <c r="BK183">
        <v>0.01</v>
      </c>
      <c r="BL183">
        <v>2</v>
      </c>
      <c r="BM183">
        <v>0.01</v>
      </c>
      <c r="BN183">
        <v>2</v>
      </c>
      <c r="BO183">
        <v>0.09</v>
      </c>
      <c r="BP183">
        <v>2</v>
      </c>
      <c r="BQ183">
        <v>0.91600000000000004</v>
      </c>
      <c r="BR183">
        <v>2</v>
      </c>
      <c r="BS183">
        <v>2.2480000000000002</v>
      </c>
      <c r="BT183">
        <v>2</v>
      </c>
      <c r="BU183">
        <v>-6.44</v>
      </c>
      <c r="BV183">
        <v>2</v>
      </c>
      <c r="BW183">
        <v>0.08</v>
      </c>
      <c r="BX183">
        <v>2</v>
      </c>
      <c r="BY183">
        <v>0.11</v>
      </c>
      <c r="BZ183">
        <v>2</v>
      </c>
    </row>
    <row r="184" spans="1:78">
      <c r="A184" t="s">
        <v>27</v>
      </c>
      <c r="B184">
        <v>80</v>
      </c>
      <c r="C184">
        <v>31</v>
      </c>
      <c r="E184">
        <v>3232</v>
      </c>
      <c r="F184" t="s">
        <v>17</v>
      </c>
      <c r="G184">
        <v>14.2</v>
      </c>
      <c r="H184" s="52">
        <v>808170.80378250603</v>
      </c>
      <c r="I184" s="52">
        <v>80407.369117717783</v>
      </c>
      <c r="J184" s="2">
        <v>5.5599602549271507</v>
      </c>
      <c r="K184" s="2"/>
      <c r="L184" s="2"/>
      <c r="M184" s="2"/>
      <c r="N184" s="1">
        <v>68.79684627191061</v>
      </c>
      <c r="O184" s="1"/>
      <c r="P184" s="1"/>
      <c r="Q184" s="1"/>
      <c r="R184" t="s">
        <v>29</v>
      </c>
      <c r="S184" t="s">
        <v>30</v>
      </c>
      <c r="T184">
        <v>31</v>
      </c>
      <c r="U184">
        <v>8</v>
      </c>
      <c r="V184">
        <v>9</v>
      </c>
      <c r="W184">
        <v>9</v>
      </c>
      <c r="X184">
        <v>2</v>
      </c>
      <c r="Y184">
        <v>20020812</v>
      </c>
      <c r="Z184">
        <v>73.412899999999993</v>
      </c>
      <c r="AA184">
        <v>-157.33090000000001</v>
      </c>
      <c r="AB184">
        <v>3245</v>
      </c>
      <c r="AC184">
        <v>15.1</v>
      </c>
      <c r="AD184">
        <v>2</v>
      </c>
      <c r="AE184">
        <v>-0.87050000000000005</v>
      </c>
      <c r="AF184">
        <v>2</v>
      </c>
      <c r="AG184">
        <v>28.780899999999999</v>
      </c>
      <c r="AH184">
        <v>2</v>
      </c>
      <c r="AI184">
        <v>-999</v>
      </c>
      <c r="AJ184">
        <v>9</v>
      </c>
      <c r="AK184">
        <v>389.4</v>
      </c>
      <c r="AL184">
        <v>2</v>
      </c>
      <c r="AM184">
        <v>404.1</v>
      </c>
      <c r="AN184">
        <v>2</v>
      </c>
      <c r="AO184">
        <v>9.2569999999999997</v>
      </c>
      <c r="AP184">
        <v>2</v>
      </c>
      <c r="AQ184">
        <v>4</v>
      </c>
      <c r="AR184">
        <v>2</v>
      </c>
      <c r="AS184">
        <v>4.07</v>
      </c>
      <c r="AT184">
        <v>2</v>
      </c>
      <c r="AU184">
        <v>0</v>
      </c>
      <c r="AV184">
        <v>2</v>
      </c>
      <c r="AW184">
        <v>0</v>
      </c>
      <c r="AX184">
        <v>2</v>
      </c>
      <c r="AY184">
        <v>0</v>
      </c>
      <c r="AZ184">
        <v>2</v>
      </c>
      <c r="BA184">
        <v>0</v>
      </c>
      <c r="BB184">
        <v>2</v>
      </c>
      <c r="BC184">
        <v>0.71</v>
      </c>
      <c r="BD184">
        <v>2</v>
      </c>
      <c r="BE184">
        <v>0.72</v>
      </c>
      <c r="BF184">
        <v>2</v>
      </c>
      <c r="BG184">
        <v>0</v>
      </c>
      <c r="BH184">
        <v>2</v>
      </c>
      <c r="BI184">
        <v>0</v>
      </c>
      <c r="BJ184">
        <v>2</v>
      </c>
      <c r="BK184">
        <v>0</v>
      </c>
      <c r="BL184">
        <v>2</v>
      </c>
      <c r="BM184">
        <v>0</v>
      </c>
      <c r="BN184">
        <v>2</v>
      </c>
      <c r="BO184">
        <v>9.7000000000000003E-2</v>
      </c>
      <c r="BP184">
        <v>2</v>
      </c>
      <c r="BQ184">
        <v>0.98899999999999999</v>
      </c>
      <c r="BR184">
        <v>2</v>
      </c>
      <c r="BS184">
        <v>1.613</v>
      </c>
      <c r="BT184">
        <v>2</v>
      </c>
      <c r="BU184">
        <v>-7.43</v>
      </c>
      <c r="BV184">
        <v>2</v>
      </c>
      <c r="BW184">
        <v>0.12</v>
      </c>
      <c r="BX184">
        <v>2</v>
      </c>
      <c r="BY184">
        <v>0.13</v>
      </c>
      <c r="BZ184">
        <v>2</v>
      </c>
    </row>
    <row r="185" spans="1:78">
      <c r="A185" t="s">
        <v>27</v>
      </c>
      <c r="B185">
        <v>105</v>
      </c>
      <c r="C185">
        <v>39</v>
      </c>
      <c r="D185" t="s">
        <v>40</v>
      </c>
      <c r="E185">
        <v>54</v>
      </c>
      <c r="F185" t="s">
        <v>11</v>
      </c>
      <c r="G185">
        <v>6.5</v>
      </c>
      <c r="H185" s="52">
        <v>803510.63829787239</v>
      </c>
      <c r="I185" s="52">
        <v>102944.08286852953</v>
      </c>
      <c r="J185" s="2">
        <v>6.5929678394503419</v>
      </c>
      <c r="K185" s="2"/>
      <c r="L185" s="2"/>
      <c r="M185" s="2"/>
      <c r="N185" s="1">
        <v>82.052029247760117</v>
      </c>
      <c r="O185" s="1"/>
      <c r="P185" s="1"/>
      <c r="Q185" s="1"/>
      <c r="R185" t="s">
        <v>29</v>
      </c>
      <c r="S185" t="s">
        <v>30</v>
      </c>
      <c r="T185">
        <v>39</v>
      </c>
      <c r="U185">
        <v>3</v>
      </c>
      <c r="V185">
        <v>11</v>
      </c>
      <c r="W185">
        <v>11</v>
      </c>
      <c r="X185">
        <v>2</v>
      </c>
      <c r="Y185">
        <v>20020818</v>
      </c>
      <c r="Z185">
        <v>72.755700000000004</v>
      </c>
      <c r="AA185">
        <v>-161.23079999999999</v>
      </c>
      <c r="AB185">
        <v>50</v>
      </c>
      <c r="AC185">
        <v>6.6</v>
      </c>
      <c r="AD185">
        <v>2</v>
      </c>
      <c r="AE185">
        <v>-0.41260000000000002</v>
      </c>
      <c r="AF185">
        <v>2</v>
      </c>
      <c r="AG185">
        <v>28.854500000000002</v>
      </c>
      <c r="AH185">
        <v>2</v>
      </c>
      <c r="AI185">
        <v>28.811399999999999</v>
      </c>
      <c r="AJ185">
        <v>2</v>
      </c>
      <c r="AK185">
        <v>386.5</v>
      </c>
      <c r="AL185">
        <v>2</v>
      </c>
      <c r="AM185">
        <v>399.9</v>
      </c>
      <c r="AN185">
        <v>2</v>
      </c>
      <c r="AO185">
        <v>9.1620000000000008</v>
      </c>
      <c r="AP185">
        <v>2</v>
      </c>
      <c r="AQ185">
        <v>7.85</v>
      </c>
      <c r="AR185">
        <v>2</v>
      </c>
      <c r="AS185">
        <v>8</v>
      </c>
      <c r="AT185">
        <v>2</v>
      </c>
      <c r="AU185">
        <v>0.05</v>
      </c>
      <c r="AV185">
        <v>2</v>
      </c>
      <c r="AW185">
        <v>0.05</v>
      </c>
      <c r="AX185">
        <v>2</v>
      </c>
      <c r="AY185">
        <v>0.02</v>
      </c>
      <c r="AZ185">
        <v>2</v>
      </c>
      <c r="BA185">
        <v>0.02</v>
      </c>
      <c r="BB185">
        <v>2</v>
      </c>
      <c r="BC185">
        <v>0.75</v>
      </c>
      <c r="BD185">
        <v>2</v>
      </c>
      <c r="BE185">
        <v>0.76</v>
      </c>
      <c r="BF185">
        <v>2</v>
      </c>
      <c r="BG185">
        <v>0.09</v>
      </c>
      <c r="BH185">
        <v>2</v>
      </c>
      <c r="BI185">
        <v>0.09</v>
      </c>
      <c r="BJ185">
        <v>2</v>
      </c>
      <c r="BK185">
        <v>0.01</v>
      </c>
      <c r="BL185">
        <v>2</v>
      </c>
      <c r="BM185">
        <v>0.01</v>
      </c>
      <c r="BN185">
        <v>2</v>
      </c>
      <c r="BO185">
        <v>9.8000000000000004E-2</v>
      </c>
      <c r="BP185">
        <v>2</v>
      </c>
      <c r="BQ185">
        <v>1.143</v>
      </c>
      <c r="BR185">
        <v>2</v>
      </c>
      <c r="BS185">
        <v>2.532</v>
      </c>
      <c r="BT185">
        <v>2</v>
      </c>
      <c r="BU185">
        <v>-7.85</v>
      </c>
      <c r="BV185">
        <v>2</v>
      </c>
      <c r="BW185">
        <v>0.26</v>
      </c>
      <c r="BX185">
        <v>2</v>
      </c>
      <c r="BY185">
        <v>0.17</v>
      </c>
      <c r="BZ185">
        <v>2</v>
      </c>
    </row>
    <row r="186" spans="1:78">
      <c r="A186" t="s">
        <v>41</v>
      </c>
      <c r="B186">
        <v>56</v>
      </c>
      <c r="C186">
        <v>19</v>
      </c>
      <c r="E186">
        <v>1379</v>
      </c>
      <c r="F186" t="s">
        <v>20</v>
      </c>
      <c r="G186">
        <v>5</v>
      </c>
      <c r="H186" s="52">
        <v>453908.39593606244</v>
      </c>
      <c r="I186" s="52">
        <v>78776.140793268671</v>
      </c>
      <c r="J186" s="2">
        <v>1.0512026585401706</v>
      </c>
      <c r="K186" s="2"/>
      <c r="L186" s="2"/>
      <c r="M186" s="2"/>
      <c r="N186" s="1">
        <v>23.158916379423903</v>
      </c>
      <c r="O186" s="1"/>
      <c r="P186" s="1"/>
      <c r="Q186" s="1"/>
      <c r="R186" t="s">
        <v>42</v>
      </c>
      <c r="S186" t="s">
        <v>45</v>
      </c>
      <c r="T186">
        <v>19</v>
      </c>
      <c r="U186">
        <v>2</v>
      </c>
      <c r="V186">
        <v>11</v>
      </c>
      <c r="W186">
        <v>11</v>
      </c>
      <c r="X186">
        <v>2</v>
      </c>
      <c r="Y186">
        <v>20040603</v>
      </c>
      <c r="Z186">
        <v>72.867999999999995</v>
      </c>
      <c r="AA186">
        <v>-158.244</v>
      </c>
      <c r="AB186">
        <v>1056</v>
      </c>
      <c r="AC186">
        <v>7</v>
      </c>
      <c r="AD186">
        <v>2</v>
      </c>
      <c r="AE186">
        <v>-1.5485</v>
      </c>
      <c r="AF186">
        <v>2</v>
      </c>
      <c r="AG186">
        <v>29.2272</v>
      </c>
      <c r="AH186">
        <v>2</v>
      </c>
      <c r="AI186">
        <v>29.242799999999999</v>
      </c>
      <c r="AJ186">
        <v>2</v>
      </c>
      <c r="AK186">
        <v>415.2</v>
      </c>
      <c r="AL186">
        <v>2</v>
      </c>
      <c r="AM186">
        <v>400.4</v>
      </c>
      <c r="AN186">
        <v>2</v>
      </c>
      <c r="AO186">
        <v>9.1769999999999996</v>
      </c>
      <c r="AP186">
        <v>2</v>
      </c>
      <c r="AQ186">
        <v>3.24</v>
      </c>
      <c r="AR186">
        <v>2</v>
      </c>
      <c r="AS186">
        <v>3.31</v>
      </c>
      <c r="AT186">
        <v>2</v>
      </c>
      <c r="AU186">
        <v>0.05</v>
      </c>
      <c r="AV186">
        <v>2</v>
      </c>
      <c r="AW186">
        <v>0.05</v>
      </c>
      <c r="AX186">
        <v>2</v>
      </c>
      <c r="AY186">
        <v>0</v>
      </c>
      <c r="AZ186">
        <v>2</v>
      </c>
      <c r="BA186">
        <v>0</v>
      </c>
      <c r="BB186">
        <v>2</v>
      </c>
      <c r="BC186">
        <v>0.68</v>
      </c>
      <c r="BD186">
        <v>2</v>
      </c>
      <c r="BE186">
        <v>0.69</v>
      </c>
      <c r="BF186">
        <v>2</v>
      </c>
      <c r="BG186">
        <v>0</v>
      </c>
      <c r="BH186">
        <v>2</v>
      </c>
      <c r="BI186">
        <v>0</v>
      </c>
      <c r="BJ186">
        <v>2</v>
      </c>
      <c r="BK186">
        <v>0.04</v>
      </c>
      <c r="BL186">
        <v>2</v>
      </c>
      <c r="BM186">
        <v>0.04</v>
      </c>
      <c r="BN186">
        <v>2</v>
      </c>
      <c r="BO186">
        <v>0.108</v>
      </c>
      <c r="BP186">
        <v>2</v>
      </c>
      <c r="BQ186">
        <v>1.117</v>
      </c>
      <c r="BR186">
        <v>2</v>
      </c>
      <c r="BS186">
        <v>2.468</v>
      </c>
      <c r="BT186">
        <v>2</v>
      </c>
      <c r="BU186">
        <v>-6.97</v>
      </c>
      <c r="BV186">
        <v>2</v>
      </c>
      <c r="BW186">
        <v>0.24</v>
      </c>
      <c r="BX186">
        <v>2</v>
      </c>
      <c r="BY186">
        <v>0.21</v>
      </c>
      <c r="BZ186">
        <v>2</v>
      </c>
    </row>
    <row r="187" spans="1:78">
      <c r="A187" t="s">
        <v>41</v>
      </c>
      <c r="B187">
        <v>69</v>
      </c>
      <c r="C187">
        <v>20</v>
      </c>
      <c r="E187">
        <v>2386</v>
      </c>
      <c r="F187" t="s">
        <v>17</v>
      </c>
      <c r="G187">
        <v>150</v>
      </c>
      <c r="H187" s="52">
        <v>159656.75123103059</v>
      </c>
      <c r="I187" s="52">
        <v>34443.897927589205</v>
      </c>
      <c r="J187" s="2"/>
      <c r="K187" s="2"/>
      <c r="L187" s="2"/>
      <c r="M187" s="2"/>
      <c r="N187" s="1"/>
      <c r="O187" s="1"/>
      <c r="P187" s="1"/>
      <c r="Q187" s="1"/>
      <c r="R187" t="s">
        <v>42</v>
      </c>
      <c r="S187" t="s">
        <v>46</v>
      </c>
      <c r="T187">
        <v>20</v>
      </c>
      <c r="U187">
        <v>5</v>
      </c>
      <c r="V187">
        <v>4</v>
      </c>
      <c r="W187">
        <v>4</v>
      </c>
      <c r="X187">
        <v>2</v>
      </c>
      <c r="Y187">
        <v>20040605</v>
      </c>
      <c r="Z187">
        <v>73.156999999999996</v>
      </c>
      <c r="AA187">
        <v>-157.815</v>
      </c>
      <c r="AB187">
        <v>2541</v>
      </c>
      <c r="AC187">
        <v>153.4</v>
      </c>
      <c r="AD187">
        <v>2</v>
      </c>
      <c r="AE187">
        <v>-1.4536</v>
      </c>
      <c r="AF187">
        <v>2</v>
      </c>
      <c r="AG187">
        <v>33.162399999999998</v>
      </c>
      <c r="AH187">
        <v>2</v>
      </c>
      <c r="AI187">
        <v>-999</v>
      </c>
      <c r="AJ187">
        <v>9</v>
      </c>
      <c r="AK187">
        <v>306.8</v>
      </c>
      <c r="AL187">
        <v>2</v>
      </c>
      <c r="AM187">
        <v>-999</v>
      </c>
      <c r="AN187">
        <v>9</v>
      </c>
      <c r="AO187">
        <v>-999</v>
      </c>
      <c r="AP187">
        <v>9</v>
      </c>
      <c r="AQ187">
        <v>31.74</v>
      </c>
      <c r="AR187">
        <v>2</v>
      </c>
      <c r="AS187">
        <v>32.450000000000003</v>
      </c>
      <c r="AT187">
        <v>2</v>
      </c>
      <c r="AU187">
        <v>14.55</v>
      </c>
      <c r="AV187">
        <v>2</v>
      </c>
      <c r="AW187">
        <v>14.87</v>
      </c>
      <c r="AX187">
        <v>2</v>
      </c>
      <c r="AY187">
        <v>0</v>
      </c>
      <c r="AZ187">
        <v>2</v>
      </c>
      <c r="BA187">
        <v>0</v>
      </c>
      <c r="BB187">
        <v>2</v>
      </c>
      <c r="BC187">
        <v>1.75</v>
      </c>
      <c r="BD187">
        <v>2</v>
      </c>
      <c r="BE187">
        <v>1.79</v>
      </c>
      <c r="BF187">
        <v>2</v>
      </c>
      <c r="BG187">
        <v>0.11</v>
      </c>
      <c r="BH187">
        <v>2</v>
      </c>
      <c r="BI187">
        <v>0.11</v>
      </c>
      <c r="BJ187">
        <v>2</v>
      </c>
      <c r="BK187">
        <v>0.15</v>
      </c>
      <c r="BL187">
        <v>2</v>
      </c>
      <c r="BM187">
        <v>0.15</v>
      </c>
      <c r="BN187">
        <v>2</v>
      </c>
      <c r="BO187">
        <v>0.16800000000000001</v>
      </c>
      <c r="BP187">
        <v>2</v>
      </c>
      <c r="BQ187">
        <v>0.72099999999999997</v>
      </c>
      <c r="BR187">
        <v>2</v>
      </c>
      <c r="BS187">
        <v>0.154</v>
      </c>
      <c r="BT187">
        <v>2</v>
      </c>
      <c r="BU187">
        <v>-9.2899999999999991</v>
      </c>
      <c r="BV187">
        <v>2</v>
      </c>
      <c r="BW187">
        <v>-999</v>
      </c>
      <c r="BX187">
        <v>9</v>
      </c>
      <c r="BY187">
        <v>-999</v>
      </c>
      <c r="BZ187">
        <v>9</v>
      </c>
    </row>
    <row r="188" spans="1:78">
      <c r="A188" t="s">
        <v>41</v>
      </c>
      <c r="B188">
        <v>94</v>
      </c>
      <c r="C188">
        <v>24</v>
      </c>
      <c r="E188">
        <v>167</v>
      </c>
      <c r="F188" t="s">
        <v>15</v>
      </c>
      <c r="G188">
        <v>6.5</v>
      </c>
      <c r="H188" s="52">
        <v>703956.33022779471</v>
      </c>
      <c r="I188" s="52">
        <v>126708.91908301311</v>
      </c>
      <c r="J188" s="2">
        <v>5.7564245848368465</v>
      </c>
      <c r="K188" s="2"/>
      <c r="L188" s="2"/>
      <c r="M188" s="2"/>
      <c r="N188" s="1">
        <v>81.772467092868013</v>
      </c>
      <c r="O188" s="1"/>
      <c r="P188" s="1"/>
      <c r="Q188" s="1"/>
      <c r="R188" t="s">
        <v>42</v>
      </c>
      <c r="S188" t="s">
        <v>49</v>
      </c>
      <c r="T188">
        <v>24</v>
      </c>
      <c r="U188">
        <v>3</v>
      </c>
      <c r="V188">
        <v>10</v>
      </c>
      <c r="W188">
        <v>10</v>
      </c>
      <c r="X188">
        <v>2</v>
      </c>
      <c r="Y188">
        <v>20040612</v>
      </c>
      <c r="Z188">
        <v>71.781000000000006</v>
      </c>
      <c r="AA188">
        <v>-154.72900000000001</v>
      </c>
      <c r="AB188">
        <v>163</v>
      </c>
      <c r="AC188">
        <v>6.5</v>
      </c>
      <c r="AD188">
        <v>2</v>
      </c>
      <c r="AE188">
        <v>-1.4677</v>
      </c>
      <c r="AF188">
        <v>2</v>
      </c>
      <c r="AG188">
        <v>30.8688</v>
      </c>
      <c r="AH188">
        <v>2</v>
      </c>
      <c r="AI188">
        <v>-999</v>
      </c>
      <c r="AJ188">
        <v>9</v>
      </c>
      <c r="AK188">
        <v>416.3</v>
      </c>
      <c r="AL188">
        <v>2</v>
      </c>
      <c r="AM188">
        <v>401</v>
      </c>
      <c r="AN188">
        <v>2</v>
      </c>
      <c r="AO188">
        <v>9.2010000000000005</v>
      </c>
      <c r="AP188">
        <v>2</v>
      </c>
      <c r="AQ188">
        <v>6.83</v>
      </c>
      <c r="AR188">
        <v>2</v>
      </c>
      <c r="AS188">
        <v>6.97</v>
      </c>
      <c r="AT188">
        <v>2</v>
      </c>
      <c r="AU188">
        <v>0.21</v>
      </c>
      <c r="AV188">
        <v>2</v>
      </c>
      <c r="AW188">
        <v>0.21</v>
      </c>
      <c r="AX188">
        <v>2</v>
      </c>
      <c r="AY188">
        <v>0.01</v>
      </c>
      <c r="AZ188">
        <v>2</v>
      </c>
      <c r="BA188">
        <v>0.01</v>
      </c>
      <c r="BB188">
        <v>2</v>
      </c>
      <c r="BC188">
        <v>0.77</v>
      </c>
      <c r="BD188">
        <v>2</v>
      </c>
      <c r="BE188">
        <v>0.79</v>
      </c>
      <c r="BF188">
        <v>2</v>
      </c>
      <c r="BG188">
        <v>0.1</v>
      </c>
      <c r="BH188">
        <v>2</v>
      </c>
      <c r="BI188">
        <v>0.1</v>
      </c>
      <c r="BJ188">
        <v>2</v>
      </c>
      <c r="BK188">
        <v>0.09</v>
      </c>
      <c r="BL188">
        <v>2</v>
      </c>
      <c r="BM188">
        <v>0.09</v>
      </c>
      <c r="BN188">
        <v>2</v>
      </c>
      <c r="BO188">
        <v>0.129</v>
      </c>
      <c r="BP188">
        <v>2</v>
      </c>
      <c r="BQ188">
        <v>2.2109999999999999</v>
      </c>
      <c r="BR188">
        <v>2</v>
      </c>
      <c r="BS188">
        <v>2.6659999999999999</v>
      </c>
      <c r="BT188">
        <v>2</v>
      </c>
      <c r="BU188">
        <v>-8.1300000000000008</v>
      </c>
      <c r="BV188">
        <v>2</v>
      </c>
      <c r="BW188">
        <v>6.19</v>
      </c>
      <c r="BX188">
        <v>2</v>
      </c>
      <c r="BY188">
        <v>0.43</v>
      </c>
      <c r="BZ188">
        <v>2</v>
      </c>
    </row>
    <row r="189" spans="1:78">
      <c r="A189" t="s">
        <v>41</v>
      </c>
      <c r="B189">
        <v>99</v>
      </c>
      <c r="C189">
        <v>25</v>
      </c>
      <c r="E189">
        <v>577</v>
      </c>
      <c r="F189" t="s">
        <v>20</v>
      </c>
      <c r="G189">
        <v>9.9</v>
      </c>
      <c r="H189" s="52">
        <v>581977.8601449515</v>
      </c>
      <c r="I189" s="52">
        <v>68560.185090086423</v>
      </c>
      <c r="J189" s="2">
        <v>4.7912019539722461</v>
      </c>
      <c r="K189" s="2"/>
      <c r="L189" s="2"/>
      <c r="M189" s="2"/>
      <c r="N189" s="1">
        <v>82.326189397976691</v>
      </c>
      <c r="O189" s="1"/>
      <c r="P189" s="1"/>
      <c r="Q189" s="1"/>
      <c r="R189" t="s">
        <v>42</v>
      </c>
      <c r="S189" t="s">
        <v>50</v>
      </c>
      <c r="T189">
        <v>25</v>
      </c>
      <c r="U189">
        <v>1</v>
      </c>
      <c r="V189">
        <v>9</v>
      </c>
      <c r="W189">
        <v>9</v>
      </c>
      <c r="X189">
        <v>2</v>
      </c>
      <c r="Y189">
        <v>20040613</v>
      </c>
      <c r="Z189">
        <v>71.974999999999994</v>
      </c>
      <c r="AA189">
        <v>-154.61699999999999</v>
      </c>
      <c r="AB189">
        <v>547</v>
      </c>
      <c r="AC189">
        <v>11</v>
      </c>
      <c r="AD189">
        <v>2</v>
      </c>
      <c r="AE189">
        <v>-1.5425</v>
      </c>
      <c r="AF189">
        <v>2</v>
      </c>
      <c r="AG189">
        <v>30.391200000000001</v>
      </c>
      <c r="AH189">
        <v>2</v>
      </c>
      <c r="AI189">
        <v>-999</v>
      </c>
      <c r="AJ189">
        <v>9</v>
      </c>
      <c r="AK189">
        <v>420.8</v>
      </c>
      <c r="AL189">
        <v>2</v>
      </c>
      <c r="AM189">
        <v>407</v>
      </c>
      <c r="AN189">
        <v>2</v>
      </c>
      <c r="AO189">
        <v>9.3360000000000003</v>
      </c>
      <c r="AP189">
        <v>2</v>
      </c>
      <c r="AQ189">
        <v>3.97</v>
      </c>
      <c r="AR189">
        <v>2</v>
      </c>
      <c r="AS189">
        <v>4.05</v>
      </c>
      <c r="AT189">
        <v>2</v>
      </c>
      <c r="AU189">
        <v>0.08</v>
      </c>
      <c r="AV189">
        <v>2</v>
      </c>
      <c r="AW189">
        <v>0.08</v>
      </c>
      <c r="AX189">
        <v>2</v>
      </c>
      <c r="AY189">
        <v>0</v>
      </c>
      <c r="AZ189">
        <v>2</v>
      </c>
      <c r="BA189">
        <v>0</v>
      </c>
      <c r="BB189">
        <v>2</v>
      </c>
      <c r="BC189">
        <v>0.71</v>
      </c>
      <c r="BD189">
        <v>2</v>
      </c>
      <c r="BE189">
        <v>0.72</v>
      </c>
      <c r="BF189">
        <v>2</v>
      </c>
      <c r="BG189">
        <v>0.17</v>
      </c>
      <c r="BH189">
        <v>2</v>
      </c>
      <c r="BI189">
        <v>0.17</v>
      </c>
      <c r="BJ189">
        <v>2</v>
      </c>
      <c r="BK189">
        <v>0.04</v>
      </c>
      <c r="BL189">
        <v>2</v>
      </c>
      <c r="BM189">
        <v>0.04</v>
      </c>
      <c r="BN189">
        <v>2</v>
      </c>
      <c r="BO189">
        <v>0.123</v>
      </c>
      <c r="BP189">
        <v>2</v>
      </c>
      <c r="BQ189">
        <v>2.145</v>
      </c>
      <c r="BR189">
        <v>2</v>
      </c>
      <c r="BS189">
        <v>2.0790000000000002</v>
      </c>
      <c r="BT189">
        <v>2</v>
      </c>
      <c r="BU189">
        <v>-7.21</v>
      </c>
      <c r="BV189">
        <v>2</v>
      </c>
      <c r="BW189">
        <v>2.35</v>
      </c>
      <c r="BX189">
        <v>2</v>
      </c>
      <c r="BY189">
        <v>0.41</v>
      </c>
      <c r="BZ189">
        <v>2</v>
      </c>
    </row>
    <row r="190" spans="1:78">
      <c r="A190" t="s">
        <v>41</v>
      </c>
      <c r="B190">
        <v>101</v>
      </c>
      <c r="C190">
        <v>25</v>
      </c>
      <c r="E190">
        <v>577</v>
      </c>
      <c r="F190" t="s">
        <v>20</v>
      </c>
      <c r="G190">
        <v>24</v>
      </c>
      <c r="H190" s="52">
        <v>363607.40642684582</v>
      </c>
      <c r="I190" s="52">
        <v>46895.149060283577</v>
      </c>
      <c r="J190" s="2">
        <v>2.9339005742258699</v>
      </c>
      <c r="K190" s="2"/>
      <c r="L190" s="2"/>
      <c r="M190" s="2"/>
      <c r="N190" s="1">
        <v>80.688691219389156</v>
      </c>
      <c r="O190" s="1"/>
      <c r="P190" s="1"/>
      <c r="Q190" s="1"/>
      <c r="R190" t="s">
        <v>42</v>
      </c>
      <c r="S190" t="s">
        <v>50</v>
      </c>
      <c r="T190">
        <v>25</v>
      </c>
      <c r="U190">
        <v>1</v>
      </c>
      <c r="V190">
        <v>6</v>
      </c>
      <c r="W190">
        <v>6</v>
      </c>
      <c r="X190">
        <v>2</v>
      </c>
      <c r="Y190">
        <v>20040613</v>
      </c>
      <c r="Z190">
        <v>71.974999999999994</v>
      </c>
      <c r="AA190">
        <v>-154.61699999999999</v>
      </c>
      <c r="AB190">
        <v>547</v>
      </c>
      <c r="AC190">
        <v>25.3</v>
      </c>
      <c r="AD190">
        <v>2</v>
      </c>
      <c r="AE190">
        <v>-1.2228000000000001</v>
      </c>
      <c r="AF190">
        <v>2</v>
      </c>
      <c r="AG190">
        <v>31.679300000000001</v>
      </c>
      <c r="AH190">
        <v>2</v>
      </c>
      <c r="AI190">
        <v>-999</v>
      </c>
      <c r="AJ190">
        <v>9</v>
      </c>
      <c r="AK190">
        <v>364.3</v>
      </c>
      <c r="AL190">
        <v>2</v>
      </c>
      <c r="AM190">
        <v>344.4</v>
      </c>
      <c r="AN190">
        <v>2</v>
      </c>
      <c r="AO190">
        <v>7.907</v>
      </c>
      <c r="AP190">
        <v>2</v>
      </c>
      <c r="AQ190">
        <v>13.22</v>
      </c>
      <c r="AR190">
        <v>2</v>
      </c>
      <c r="AS190">
        <v>13.51</v>
      </c>
      <c r="AT190">
        <v>2</v>
      </c>
      <c r="AU190">
        <v>5.88</v>
      </c>
      <c r="AV190">
        <v>2</v>
      </c>
      <c r="AW190">
        <v>6.01</v>
      </c>
      <c r="AX190">
        <v>2</v>
      </c>
      <c r="AY190">
        <v>0.03</v>
      </c>
      <c r="AZ190">
        <v>2</v>
      </c>
      <c r="BA190">
        <v>0.03</v>
      </c>
      <c r="BB190">
        <v>2</v>
      </c>
      <c r="BC190">
        <v>1.18</v>
      </c>
      <c r="BD190">
        <v>2</v>
      </c>
      <c r="BE190">
        <v>1.21</v>
      </c>
      <c r="BF190">
        <v>2</v>
      </c>
      <c r="BG190">
        <v>0.28000000000000003</v>
      </c>
      <c r="BH190">
        <v>2</v>
      </c>
      <c r="BI190">
        <v>0.28999999999999998</v>
      </c>
      <c r="BJ190">
        <v>2</v>
      </c>
      <c r="BK190">
        <v>0.05</v>
      </c>
      <c r="BL190">
        <v>2</v>
      </c>
      <c r="BM190">
        <v>0.05</v>
      </c>
      <c r="BN190">
        <v>2</v>
      </c>
      <c r="BO190">
        <v>0.13500000000000001</v>
      </c>
      <c r="BP190">
        <v>2</v>
      </c>
      <c r="BQ190">
        <v>1.2110000000000001</v>
      </c>
      <c r="BR190">
        <v>2</v>
      </c>
      <c r="BS190">
        <v>1.016</v>
      </c>
      <c r="BT190">
        <v>2</v>
      </c>
      <c r="BU190">
        <v>-8.74</v>
      </c>
      <c r="BV190">
        <v>2</v>
      </c>
      <c r="BW190">
        <v>0.38</v>
      </c>
      <c r="BX190">
        <v>2</v>
      </c>
      <c r="BY190">
        <v>0.24</v>
      </c>
      <c r="BZ190">
        <v>2</v>
      </c>
    </row>
    <row r="191" spans="1:78">
      <c r="A191" t="s">
        <v>41</v>
      </c>
      <c r="B191">
        <v>107</v>
      </c>
      <c r="C191">
        <v>26</v>
      </c>
      <c r="E191">
        <v>577</v>
      </c>
      <c r="F191" t="s">
        <v>20</v>
      </c>
      <c r="G191">
        <v>30</v>
      </c>
      <c r="H191" s="52">
        <v>134249.76006883543</v>
      </c>
      <c r="I191" s="52">
        <v>18557.12952899692</v>
      </c>
      <c r="J191" s="2">
        <v>0.86647589760253441</v>
      </c>
      <c r="K191" s="2"/>
      <c r="L191" s="2"/>
      <c r="M191" s="2"/>
      <c r="N191" s="1">
        <v>64.542081651263757</v>
      </c>
      <c r="O191" s="1"/>
      <c r="P191" s="1"/>
      <c r="Q191" s="1"/>
      <c r="R191" t="s">
        <v>42</v>
      </c>
      <c r="S191" t="s">
        <v>51</v>
      </c>
      <c r="T191">
        <v>26</v>
      </c>
      <c r="U191">
        <v>1</v>
      </c>
      <c r="V191">
        <v>8</v>
      </c>
      <c r="W191">
        <v>8</v>
      </c>
      <c r="X191">
        <v>2</v>
      </c>
      <c r="Y191">
        <v>20040613</v>
      </c>
      <c r="Z191">
        <v>72.096999999999994</v>
      </c>
      <c r="AA191">
        <v>-154.39099999999999</v>
      </c>
      <c r="AB191">
        <v>1306</v>
      </c>
      <c r="AC191">
        <v>31.8</v>
      </c>
      <c r="AD191">
        <v>2</v>
      </c>
      <c r="AE191">
        <v>-1.1847000000000001</v>
      </c>
      <c r="AF191">
        <v>2</v>
      </c>
      <c r="AG191">
        <v>31.982399999999998</v>
      </c>
      <c r="AH191">
        <v>2</v>
      </c>
      <c r="AI191">
        <v>31.980399999999999</v>
      </c>
      <c r="AJ191">
        <v>2</v>
      </c>
      <c r="AK191">
        <v>348.8</v>
      </c>
      <c r="AL191">
        <v>2</v>
      </c>
      <c r="AM191">
        <v>330.9</v>
      </c>
      <c r="AN191">
        <v>2</v>
      </c>
      <c r="AO191">
        <v>7.601</v>
      </c>
      <c r="AP191">
        <v>2</v>
      </c>
      <c r="AQ191">
        <v>15.51</v>
      </c>
      <c r="AR191">
        <v>2</v>
      </c>
      <c r="AS191">
        <v>15.85</v>
      </c>
      <c r="AT191">
        <v>2</v>
      </c>
      <c r="AU191">
        <v>7.45</v>
      </c>
      <c r="AV191">
        <v>2</v>
      </c>
      <c r="AW191">
        <v>7.61</v>
      </c>
      <c r="AX191">
        <v>2</v>
      </c>
      <c r="AY191">
        <v>0.02</v>
      </c>
      <c r="AZ191">
        <v>2</v>
      </c>
      <c r="BA191">
        <v>0.02</v>
      </c>
      <c r="BB191">
        <v>2</v>
      </c>
      <c r="BC191">
        <v>1.31</v>
      </c>
      <c r="BD191">
        <v>2</v>
      </c>
      <c r="BE191">
        <v>1.34</v>
      </c>
      <c r="BF191">
        <v>2</v>
      </c>
      <c r="BG191">
        <v>0.14000000000000001</v>
      </c>
      <c r="BH191">
        <v>2</v>
      </c>
      <c r="BI191">
        <v>0.14000000000000001</v>
      </c>
      <c r="BJ191">
        <v>2</v>
      </c>
      <c r="BK191">
        <v>7.0000000000000007E-2</v>
      </c>
      <c r="BL191">
        <v>2</v>
      </c>
      <c r="BM191">
        <v>7.0000000000000007E-2</v>
      </c>
      <c r="BN191">
        <v>2</v>
      </c>
      <c r="BO191">
        <v>0.13900000000000001</v>
      </c>
      <c r="BP191">
        <v>2</v>
      </c>
      <c r="BQ191">
        <v>1.075</v>
      </c>
      <c r="BR191">
        <v>2</v>
      </c>
      <c r="BS191">
        <v>0.89200000000000002</v>
      </c>
      <c r="BT191">
        <v>2</v>
      </c>
      <c r="BU191">
        <v>-9.3000000000000007</v>
      </c>
      <c r="BV191">
        <v>2</v>
      </c>
      <c r="BW191">
        <v>0.16</v>
      </c>
      <c r="BX191">
        <v>2</v>
      </c>
      <c r="BY191">
        <v>0.08</v>
      </c>
      <c r="BZ191">
        <v>2</v>
      </c>
    </row>
    <row r="192" spans="1:78">
      <c r="A192" t="s">
        <v>52</v>
      </c>
      <c r="B192">
        <v>18</v>
      </c>
      <c r="C192">
        <v>15</v>
      </c>
      <c r="E192">
        <v>131</v>
      </c>
      <c r="F192" t="s">
        <v>15</v>
      </c>
      <c r="G192">
        <v>6.9</v>
      </c>
      <c r="H192" s="52">
        <v>1222404.5331362402</v>
      </c>
      <c r="I192" s="52"/>
      <c r="J192" s="2">
        <v>10.699942605725484</v>
      </c>
      <c r="K192" s="2"/>
      <c r="L192" s="2"/>
      <c r="M192" s="2"/>
      <c r="N192" s="1">
        <v>87.53192838931453</v>
      </c>
      <c r="O192" s="1"/>
      <c r="P192" s="1"/>
      <c r="Q192" s="1"/>
      <c r="R192" t="s">
        <v>53</v>
      </c>
      <c r="S192" t="s">
        <v>57</v>
      </c>
      <c r="T192">
        <v>15</v>
      </c>
      <c r="U192">
        <v>3</v>
      </c>
      <c r="V192">
        <v>310</v>
      </c>
      <c r="W192">
        <v>10</v>
      </c>
      <c r="X192">
        <v>2</v>
      </c>
      <c r="Y192">
        <v>20040723</v>
      </c>
      <c r="Z192">
        <v>71.438999999999993</v>
      </c>
      <c r="AA192">
        <v>-157.267</v>
      </c>
      <c r="AB192">
        <v>126</v>
      </c>
      <c r="AC192">
        <v>8</v>
      </c>
      <c r="AD192">
        <v>2</v>
      </c>
      <c r="AE192">
        <v>-0.73199999999999998</v>
      </c>
      <c r="AF192">
        <v>2</v>
      </c>
      <c r="AG192">
        <v>29.099</v>
      </c>
      <c r="AH192">
        <v>2</v>
      </c>
      <c r="AI192">
        <v>-999</v>
      </c>
      <c r="AJ192">
        <v>9</v>
      </c>
      <c r="AK192">
        <v>457.8</v>
      </c>
      <c r="AL192">
        <v>2</v>
      </c>
      <c r="AM192">
        <v>499.8</v>
      </c>
      <c r="AN192">
        <v>2</v>
      </c>
      <c r="AO192">
        <v>11.454000000000001</v>
      </c>
      <c r="AP192">
        <v>2</v>
      </c>
      <c r="AQ192">
        <v>1.18</v>
      </c>
      <c r="AR192">
        <v>2</v>
      </c>
      <c r="AS192">
        <v>1.2</v>
      </c>
      <c r="AT192">
        <v>2</v>
      </c>
      <c r="AU192">
        <v>0.04</v>
      </c>
      <c r="AV192">
        <v>2</v>
      </c>
      <c r="AW192">
        <v>0.04</v>
      </c>
      <c r="AX192">
        <v>2</v>
      </c>
      <c r="AY192">
        <v>0.01</v>
      </c>
      <c r="AZ192">
        <v>2</v>
      </c>
      <c r="BA192">
        <v>0.01</v>
      </c>
      <c r="BB192">
        <v>2</v>
      </c>
      <c r="BC192">
        <v>0.52</v>
      </c>
      <c r="BD192">
        <v>2</v>
      </c>
      <c r="BE192">
        <v>0.53</v>
      </c>
      <c r="BF192">
        <v>2</v>
      </c>
      <c r="BG192">
        <v>0.28000000000000003</v>
      </c>
      <c r="BH192">
        <v>2</v>
      </c>
      <c r="BI192">
        <v>0.28999999999999998</v>
      </c>
      <c r="BJ192">
        <v>2</v>
      </c>
      <c r="BK192">
        <v>0.04</v>
      </c>
      <c r="BL192">
        <v>2</v>
      </c>
      <c r="BM192">
        <v>0.04</v>
      </c>
      <c r="BN192">
        <v>2</v>
      </c>
      <c r="BO192">
        <v>0.109</v>
      </c>
      <c r="BP192">
        <v>2</v>
      </c>
      <c r="BS192">
        <v>2.1150000000000002</v>
      </c>
      <c r="BT192">
        <v>2</v>
      </c>
      <c r="BU192">
        <v>-4.49</v>
      </c>
      <c r="BV192">
        <v>2</v>
      </c>
      <c r="BW192">
        <v>1.94</v>
      </c>
      <c r="BX192">
        <v>2</v>
      </c>
      <c r="BY192">
        <v>0.09</v>
      </c>
      <c r="BZ192">
        <v>2</v>
      </c>
    </row>
    <row r="193" spans="1:78">
      <c r="A193" t="s">
        <v>52</v>
      </c>
      <c r="B193">
        <v>32</v>
      </c>
      <c r="C193">
        <v>22</v>
      </c>
      <c r="E193">
        <v>426</v>
      </c>
      <c r="F193" t="s">
        <v>20</v>
      </c>
      <c r="G193">
        <v>9</v>
      </c>
      <c r="H193" s="52">
        <v>999108.1547179108</v>
      </c>
      <c r="I193" s="52"/>
      <c r="J193" s="2">
        <v>6.9796998617646659</v>
      </c>
      <c r="K193" s="2"/>
      <c r="L193" s="2"/>
      <c r="M193" s="2"/>
      <c r="N193" s="1">
        <v>69.859302306819032</v>
      </c>
      <c r="O193" s="1"/>
      <c r="P193" s="1"/>
      <c r="Q193" s="1"/>
      <c r="R193" t="s">
        <v>53</v>
      </c>
      <c r="S193" t="s">
        <v>58</v>
      </c>
      <c r="T193">
        <v>22</v>
      </c>
      <c r="U193">
        <v>5</v>
      </c>
      <c r="V193">
        <v>510</v>
      </c>
      <c r="W193">
        <v>10</v>
      </c>
      <c r="X193">
        <v>2</v>
      </c>
      <c r="Y193">
        <v>20040726</v>
      </c>
      <c r="Z193">
        <v>71.938999999999993</v>
      </c>
      <c r="AA193">
        <v>-154.886</v>
      </c>
      <c r="AB193">
        <v>605</v>
      </c>
      <c r="AC193">
        <v>9.5</v>
      </c>
      <c r="AD193">
        <v>2</v>
      </c>
      <c r="AE193">
        <v>1.7549999999999999</v>
      </c>
      <c r="AF193">
        <v>2</v>
      </c>
      <c r="AG193">
        <v>29.216000000000001</v>
      </c>
      <c r="AH193">
        <v>2</v>
      </c>
      <c r="AI193">
        <v>-999</v>
      </c>
      <c r="AJ193">
        <v>9</v>
      </c>
      <c r="AK193">
        <v>463.5</v>
      </c>
      <c r="AL193">
        <v>2</v>
      </c>
      <c r="AM193">
        <v>438.5</v>
      </c>
      <c r="AN193">
        <v>2</v>
      </c>
      <c r="AO193">
        <v>10.045999999999999</v>
      </c>
      <c r="AP193">
        <v>2</v>
      </c>
      <c r="AQ193">
        <v>4.9000000000000004</v>
      </c>
      <c r="AR193">
        <v>2</v>
      </c>
      <c r="AS193">
        <v>5</v>
      </c>
      <c r="AT193">
        <v>2</v>
      </c>
      <c r="AU193">
        <v>0.08</v>
      </c>
      <c r="AV193">
        <v>2</v>
      </c>
      <c r="AW193">
        <v>0.08</v>
      </c>
      <c r="AX193">
        <v>2</v>
      </c>
      <c r="AY193">
        <v>0</v>
      </c>
      <c r="AZ193">
        <v>2</v>
      </c>
      <c r="BA193">
        <v>0</v>
      </c>
      <c r="BB193">
        <v>2</v>
      </c>
      <c r="BC193">
        <v>0.49</v>
      </c>
      <c r="BD193">
        <v>2</v>
      </c>
      <c r="BE193">
        <v>0.5</v>
      </c>
      <c r="BF193">
        <v>2</v>
      </c>
      <c r="BG193">
        <v>0.14000000000000001</v>
      </c>
      <c r="BH193">
        <v>2</v>
      </c>
      <c r="BI193">
        <v>0.14000000000000001</v>
      </c>
      <c r="BJ193">
        <v>2</v>
      </c>
      <c r="BK193">
        <v>0.09</v>
      </c>
      <c r="BL193">
        <v>2</v>
      </c>
      <c r="BM193">
        <v>0.09</v>
      </c>
      <c r="BN193">
        <v>2</v>
      </c>
      <c r="BO193">
        <v>-999</v>
      </c>
      <c r="BP193">
        <v>9</v>
      </c>
      <c r="BS193">
        <v>2.2799999999999998</v>
      </c>
      <c r="BT193">
        <v>2</v>
      </c>
      <c r="BU193">
        <v>-4.18</v>
      </c>
      <c r="BV193">
        <v>2</v>
      </c>
      <c r="BW193">
        <v>0.17</v>
      </c>
      <c r="BX193">
        <v>2</v>
      </c>
      <c r="BY193">
        <v>0.03</v>
      </c>
      <c r="BZ193">
        <v>2</v>
      </c>
    </row>
    <row r="194" spans="1:78">
      <c r="A194" t="s">
        <v>52</v>
      </c>
      <c r="B194">
        <v>119</v>
      </c>
      <c r="C194">
        <v>42</v>
      </c>
      <c r="E194">
        <v>174</v>
      </c>
      <c r="F194" t="s">
        <v>15</v>
      </c>
      <c r="G194">
        <v>9.3000000000000007</v>
      </c>
      <c r="H194" s="52">
        <v>388928.30746489286</v>
      </c>
      <c r="I194" s="52"/>
      <c r="J194" s="2"/>
      <c r="K194" s="2"/>
      <c r="L194" s="2"/>
      <c r="M194" s="2"/>
      <c r="N194" s="1"/>
      <c r="O194" s="1"/>
      <c r="P194" s="1"/>
      <c r="Q194" s="1"/>
      <c r="R194" t="s">
        <v>53</v>
      </c>
      <c r="S194" t="s">
        <v>65</v>
      </c>
      <c r="T194">
        <v>42</v>
      </c>
      <c r="U194">
        <v>3</v>
      </c>
      <c r="V194">
        <v>310</v>
      </c>
      <c r="W194">
        <v>10</v>
      </c>
      <c r="X194">
        <v>2</v>
      </c>
      <c r="Y194">
        <v>20040811</v>
      </c>
      <c r="Z194">
        <v>72.652000000000001</v>
      </c>
      <c r="AA194">
        <v>-158.499</v>
      </c>
      <c r="AB194">
        <v>175</v>
      </c>
      <c r="AC194">
        <v>10.5</v>
      </c>
      <c r="AD194">
        <v>2</v>
      </c>
      <c r="AE194">
        <v>0.98899999999999999</v>
      </c>
      <c r="AF194">
        <v>2</v>
      </c>
      <c r="AG194">
        <v>27.259</v>
      </c>
      <c r="AH194">
        <v>2</v>
      </c>
      <c r="AI194">
        <v>-999</v>
      </c>
      <c r="AJ194">
        <v>9</v>
      </c>
      <c r="AK194">
        <v>355</v>
      </c>
      <c r="AL194">
        <v>2</v>
      </c>
      <c r="AM194">
        <v>373.2</v>
      </c>
      <c r="AN194">
        <v>2</v>
      </c>
      <c r="AO194">
        <v>8.5389999999999997</v>
      </c>
      <c r="AP194">
        <v>2</v>
      </c>
      <c r="AQ194">
        <v>2.42</v>
      </c>
      <c r="AR194">
        <v>2</v>
      </c>
      <c r="AS194">
        <v>2.46</v>
      </c>
      <c r="AT194">
        <v>2</v>
      </c>
      <c r="AU194">
        <v>0.02</v>
      </c>
      <c r="AV194">
        <v>2</v>
      </c>
      <c r="AW194">
        <v>0.02</v>
      </c>
      <c r="AX194">
        <v>2</v>
      </c>
      <c r="AY194">
        <v>0</v>
      </c>
      <c r="AZ194">
        <v>2</v>
      </c>
      <c r="BA194">
        <v>0</v>
      </c>
      <c r="BB194">
        <v>2</v>
      </c>
      <c r="BC194">
        <v>0.55000000000000004</v>
      </c>
      <c r="BD194">
        <v>2</v>
      </c>
      <c r="BE194">
        <v>0.56000000000000005</v>
      </c>
      <c r="BF194">
        <v>2</v>
      </c>
      <c r="BG194">
        <v>0.04</v>
      </c>
      <c r="BH194">
        <v>2</v>
      </c>
      <c r="BI194">
        <v>0.04</v>
      </c>
      <c r="BJ194">
        <v>2</v>
      </c>
      <c r="BK194">
        <v>0</v>
      </c>
      <c r="BL194">
        <v>2</v>
      </c>
      <c r="BM194">
        <v>0</v>
      </c>
      <c r="BN194">
        <v>2</v>
      </c>
      <c r="BO194">
        <v>-999</v>
      </c>
      <c r="BP194">
        <v>9</v>
      </c>
      <c r="BS194">
        <v>1.8859999999999999</v>
      </c>
      <c r="BT194">
        <v>2</v>
      </c>
      <c r="BU194">
        <v>-5.15</v>
      </c>
      <c r="BV194">
        <v>2</v>
      </c>
      <c r="BW194">
        <v>0.1</v>
      </c>
      <c r="BX194">
        <v>2</v>
      </c>
      <c r="BY194">
        <v>0.06</v>
      </c>
      <c r="BZ194">
        <v>2</v>
      </c>
    </row>
    <row r="195" spans="1:78">
      <c r="A195" t="s">
        <v>52</v>
      </c>
      <c r="B195">
        <v>162</v>
      </c>
      <c r="C195">
        <v>50</v>
      </c>
      <c r="E195">
        <v>3320</v>
      </c>
      <c r="F195" t="s">
        <v>17</v>
      </c>
      <c r="G195">
        <v>7.7</v>
      </c>
      <c r="H195" s="52">
        <v>585641.7836905641</v>
      </c>
      <c r="I195" s="52"/>
      <c r="J195" s="2">
        <v>4.6881811791351859</v>
      </c>
      <c r="K195" s="2"/>
      <c r="L195" s="2"/>
      <c r="M195" s="2"/>
      <c r="N195" s="1">
        <v>80.052026848075499</v>
      </c>
      <c r="O195" s="1"/>
      <c r="P195" s="1"/>
      <c r="Q195" s="1"/>
      <c r="R195" t="s">
        <v>53</v>
      </c>
      <c r="S195" t="s">
        <v>67</v>
      </c>
      <c r="T195">
        <v>50</v>
      </c>
      <c r="U195">
        <v>5</v>
      </c>
      <c r="V195">
        <v>510</v>
      </c>
      <c r="W195">
        <v>10</v>
      </c>
      <c r="X195">
        <v>2</v>
      </c>
      <c r="Y195">
        <v>20040816</v>
      </c>
      <c r="Z195">
        <v>73.429000000000002</v>
      </c>
      <c r="AA195">
        <v>-157.16</v>
      </c>
      <c r="AB195">
        <v>3373</v>
      </c>
      <c r="AC195">
        <v>8.8000000000000007</v>
      </c>
      <c r="AD195">
        <v>2</v>
      </c>
      <c r="AE195">
        <v>2.4910000000000001</v>
      </c>
      <c r="AF195">
        <v>2</v>
      </c>
      <c r="AG195">
        <v>26.234000000000002</v>
      </c>
      <c r="AH195">
        <v>2</v>
      </c>
      <c r="AI195">
        <v>-999</v>
      </c>
      <c r="AJ195">
        <v>9</v>
      </c>
      <c r="AK195">
        <v>336.7</v>
      </c>
      <c r="AL195">
        <v>2</v>
      </c>
      <c r="AM195">
        <v>360.2</v>
      </c>
      <c r="AN195">
        <v>2</v>
      </c>
      <c r="AO195">
        <v>8.2349999999999994</v>
      </c>
      <c r="AP195">
        <v>2</v>
      </c>
      <c r="AQ195">
        <v>3.81</v>
      </c>
      <c r="AR195">
        <v>2</v>
      </c>
      <c r="AS195">
        <v>3.88</v>
      </c>
      <c r="AT195">
        <v>2</v>
      </c>
      <c r="AU195">
        <v>7.0000000000000007E-2</v>
      </c>
      <c r="AV195">
        <v>2</v>
      </c>
      <c r="AW195">
        <v>7.0000000000000007E-2</v>
      </c>
      <c r="AX195">
        <v>2</v>
      </c>
      <c r="AY195">
        <v>0</v>
      </c>
      <c r="AZ195">
        <v>2</v>
      </c>
      <c r="BA195">
        <v>0</v>
      </c>
      <c r="BB195">
        <v>2</v>
      </c>
      <c r="BC195">
        <v>0.56000000000000005</v>
      </c>
      <c r="BD195">
        <v>2</v>
      </c>
      <c r="BE195">
        <v>0.56999999999999995</v>
      </c>
      <c r="BF195">
        <v>2</v>
      </c>
      <c r="BG195">
        <v>0.18</v>
      </c>
      <c r="BH195">
        <v>2</v>
      </c>
      <c r="BI195">
        <v>0.18</v>
      </c>
      <c r="BJ195">
        <v>2</v>
      </c>
      <c r="BK195">
        <v>0.04</v>
      </c>
      <c r="BL195">
        <v>2</v>
      </c>
      <c r="BM195">
        <v>0.04</v>
      </c>
      <c r="BN195">
        <v>2</v>
      </c>
      <c r="BO195">
        <v>-999</v>
      </c>
      <c r="BP195">
        <v>9</v>
      </c>
      <c r="BS195">
        <v>1.4710000000000001</v>
      </c>
      <c r="BT195">
        <v>2</v>
      </c>
      <c r="BU195">
        <v>-5.12</v>
      </c>
      <c r="BV195">
        <v>2</v>
      </c>
      <c r="BW195">
        <v>0.2</v>
      </c>
      <c r="BX195">
        <v>2</v>
      </c>
      <c r="BY195">
        <v>0.05</v>
      </c>
      <c r="BZ195">
        <v>2</v>
      </c>
    </row>
    <row r="196" spans="1:78">
      <c r="A196" t="s">
        <v>52</v>
      </c>
      <c r="B196">
        <v>184</v>
      </c>
      <c r="C196">
        <v>51</v>
      </c>
      <c r="E196">
        <v>3703</v>
      </c>
      <c r="F196" t="s">
        <v>17</v>
      </c>
      <c r="G196">
        <v>12.5</v>
      </c>
      <c r="H196" s="52">
        <v>383202.75930032029</v>
      </c>
      <c r="I196" s="52"/>
      <c r="J196" s="2">
        <v>2.3828321697238106</v>
      </c>
      <c r="K196" s="2"/>
      <c r="L196" s="2"/>
      <c r="M196" s="2"/>
      <c r="N196" s="1">
        <v>62.182020141884166</v>
      </c>
      <c r="O196" s="1"/>
      <c r="P196" s="1"/>
      <c r="Q196" s="1"/>
      <c r="R196" t="s">
        <v>53</v>
      </c>
      <c r="S196" t="s">
        <v>68</v>
      </c>
      <c r="T196">
        <v>51</v>
      </c>
      <c r="U196">
        <v>4</v>
      </c>
      <c r="V196">
        <v>409</v>
      </c>
      <c r="W196">
        <v>9</v>
      </c>
      <c r="X196">
        <v>2</v>
      </c>
      <c r="Y196">
        <v>20040817</v>
      </c>
      <c r="Z196">
        <v>73.787000000000006</v>
      </c>
      <c r="AA196">
        <v>-156.78100000000001</v>
      </c>
      <c r="AB196">
        <v>3707</v>
      </c>
      <c r="AC196">
        <v>13.5</v>
      </c>
      <c r="AD196">
        <v>2</v>
      </c>
      <c r="AE196">
        <v>-0.67</v>
      </c>
      <c r="AF196">
        <v>2</v>
      </c>
      <c r="AG196">
        <v>28.129000000000001</v>
      </c>
      <c r="AH196">
        <v>2</v>
      </c>
      <c r="AI196">
        <v>-999</v>
      </c>
      <c r="AJ196">
        <v>9</v>
      </c>
      <c r="AK196">
        <v>380.8</v>
      </c>
      <c r="AL196">
        <v>2</v>
      </c>
      <c r="AM196">
        <v>394.3</v>
      </c>
      <c r="AN196">
        <v>2</v>
      </c>
      <c r="AO196">
        <v>9.0280000000000005</v>
      </c>
      <c r="AP196">
        <v>2</v>
      </c>
      <c r="AQ196">
        <v>2.33</v>
      </c>
      <c r="AR196">
        <v>2</v>
      </c>
      <c r="AS196">
        <v>2.37</v>
      </c>
      <c r="AT196">
        <v>2</v>
      </c>
      <c r="AU196">
        <v>0.06</v>
      </c>
      <c r="AV196">
        <v>2</v>
      </c>
      <c r="AW196">
        <v>0.06</v>
      </c>
      <c r="AX196">
        <v>2</v>
      </c>
      <c r="AY196">
        <v>0.02</v>
      </c>
      <c r="AZ196">
        <v>2</v>
      </c>
      <c r="BA196">
        <v>0.02</v>
      </c>
      <c r="BB196">
        <v>2</v>
      </c>
      <c r="BC196">
        <v>0.67</v>
      </c>
      <c r="BD196">
        <v>2</v>
      </c>
      <c r="BE196">
        <v>0.68</v>
      </c>
      <c r="BF196">
        <v>2</v>
      </c>
      <c r="BG196">
        <v>0.13</v>
      </c>
      <c r="BH196">
        <v>2</v>
      </c>
      <c r="BI196">
        <v>0.13</v>
      </c>
      <c r="BJ196">
        <v>2</v>
      </c>
      <c r="BK196">
        <v>0.02</v>
      </c>
      <c r="BL196">
        <v>2</v>
      </c>
      <c r="BM196">
        <v>0.02</v>
      </c>
      <c r="BN196">
        <v>2</v>
      </c>
      <c r="BO196">
        <v>-999</v>
      </c>
      <c r="BP196">
        <v>9</v>
      </c>
      <c r="BS196">
        <v>1.91</v>
      </c>
      <c r="BT196">
        <v>2</v>
      </c>
      <c r="BU196">
        <v>-6.69</v>
      </c>
      <c r="BV196">
        <v>2</v>
      </c>
      <c r="BW196">
        <v>0.06</v>
      </c>
      <c r="BX196">
        <v>2</v>
      </c>
      <c r="BY196">
        <v>0.01</v>
      </c>
      <c r="BZ196">
        <v>2</v>
      </c>
    </row>
    <row r="197" spans="1:78">
      <c r="A197" t="s">
        <v>52</v>
      </c>
      <c r="B197">
        <v>197</v>
      </c>
      <c r="C197">
        <v>54</v>
      </c>
      <c r="E197">
        <v>2158</v>
      </c>
      <c r="F197" t="s">
        <v>17</v>
      </c>
      <c r="G197">
        <v>1000</v>
      </c>
      <c r="H197" s="52">
        <v>138640.05912786402</v>
      </c>
      <c r="I197" s="52">
        <v>19495.081556030604</v>
      </c>
      <c r="J197" s="2"/>
      <c r="K197" s="2"/>
      <c r="L197" s="2"/>
      <c r="M197" s="2"/>
      <c r="N197" s="1"/>
      <c r="O197" s="1">
        <v>46.542234673060264</v>
      </c>
      <c r="P197" s="1">
        <v>1.5020241072244038</v>
      </c>
      <c r="Q197" s="1"/>
      <c r="R197" t="s">
        <v>53</v>
      </c>
      <c r="S197" t="s">
        <v>69</v>
      </c>
      <c r="T197">
        <v>54</v>
      </c>
      <c r="U197">
        <v>3</v>
      </c>
      <c r="V197">
        <v>303</v>
      </c>
      <c r="W197">
        <v>3</v>
      </c>
      <c r="X197">
        <v>2</v>
      </c>
      <c r="Y197">
        <v>20040819</v>
      </c>
      <c r="Z197">
        <v>73.485100000000003</v>
      </c>
      <c r="AA197">
        <v>-159.59829999999999</v>
      </c>
      <c r="AB197">
        <v>2112</v>
      </c>
      <c r="AC197">
        <v>1001.5</v>
      </c>
      <c r="AD197">
        <v>2</v>
      </c>
      <c r="AE197">
        <v>-6.0000000000000001E-3</v>
      </c>
      <c r="AF197">
        <v>2</v>
      </c>
      <c r="AG197">
        <v>34.880000000000003</v>
      </c>
      <c r="AH197">
        <v>2</v>
      </c>
      <c r="AI197">
        <v>-999</v>
      </c>
      <c r="AJ197">
        <v>9</v>
      </c>
      <c r="AK197">
        <v>282.60000000000002</v>
      </c>
      <c r="AL197">
        <v>2</v>
      </c>
      <c r="AM197">
        <v>299.10000000000002</v>
      </c>
      <c r="AN197">
        <v>2</v>
      </c>
      <c r="AO197">
        <v>6.8840000000000003</v>
      </c>
      <c r="AP197">
        <v>2</v>
      </c>
      <c r="AQ197">
        <v>7.67</v>
      </c>
      <c r="AR197">
        <v>2</v>
      </c>
      <c r="AS197">
        <v>7.85</v>
      </c>
      <c r="AT197">
        <v>2</v>
      </c>
      <c r="AU197">
        <v>12.72</v>
      </c>
      <c r="AV197">
        <v>2</v>
      </c>
      <c r="AW197">
        <v>13.03</v>
      </c>
      <c r="AX197">
        <v>2</v>
      </c>
      <c r="AY197">
        <v>0</v>
      </c>
      <c r="AZ197">
        <v>2</v>
      </c>
      <c r="BA197">
        <v>0</v>
      </c>
      <c r="BB197">
        <v>2</v>
      </c>
      <c r="BC197">
        <v>0.93</v>
      </c>
      <c r="BD197">
        <v>2</v>
      </c>
      <c r="BE197">
        <v>0.95</v>
      </c>
      <c r="BF197">
        <v>2</v>
      </c>
      <c r="BG197">
        <v>0.06</v>
      </c>
      <c r="BH197">
        <v>2</v>
      </c>
      <c r="BI197">
        <v>0.06</v>
      </c>
      <c r="BJ197">
        <v>2</v>
      </c>
      <c r="BK197">
        <v>0.08</v>
      </c>
      <c r="BL197">
        <v>2</v>
      </c>
      <c r="BM197">
        <v>0.08</v>
      </c>
      <c r="BN197">
        <v>2</v>
      </c>
      <c r="BO197">
        <v>-999</v>
      </c>
      <c r="BP197">
        <v>9</v>
      </c>
      <c r="BS197">
        <v>0.153</v>
      </c>
      <c r="BT197">
        <v>2</v>
      </c>
      <c r="BU197">
        <v>0.76</v>
      </c>
      <c r="BV197">
        <v>2</v>
      </c>
      <c r="BW197">
        <v>-999</v>
      </c>
      <c r="BX197">
        <v>9</v>
      </c>
      <c r="BY197">
        <v>-999</v>
      </c>
      <c r="BZ197">
        <v>9</v>
      </c>
    </row>
    <row r="198" spans="1:78">
      <c r="A198" t="s">
        <v>52</v>
      </c>
      <c r="B198">
        <v>198</v>
      </c>
      <c r="C198">
        <v>54</v>
      </c>
      <c r="E198">
        <v>2158</v>
      </c>
      <c r="F198" t="s">
        <v>17</v>
      </c>
      <c r="G198">
        <v>2000</v>
      </c>
      <c r="H198" s="52">
        <v>69933.48115299335</v>
      </c>
      <c r="I198" s="52">
        <v>4818.7668302442044</v>
      </c>
      <c r="J198" s="2"/>
      <c r="K198" s="2"/>
      <c r="L198" s="2"/>
      <c r="M198" s="2"/>
      <c r="N198" s="1"/>
      <c r="O198" s="1"/>
      <c r="P198" s="1"/>
      <c r="Q198" s="1"/>
      <c r="R198" t="s">
        <v>53</v>
      </c>
      <c r="S198" t="s">
        <v>69</v>
      </c>
      <c r="T198">
        <v>54</v>
      </c>
      <c r="U198">
        <v>4</v>
      </c>
      <c r="V198">
        <v>403</v>
      </c>
      <c r="W198">
        <v>3</v>
      </c>
      <c r="X198">
        <v>2</v>
      </c>
      <c r="Y198">
        <v>20040820</v>
      </c>
      <c r="Z198">
        <v>73.510999999999996</v>
      </c>
      <c r="AA198">
        <v>-159.55000000000001</v>
      </c>
      <c r="AB198">
        <v>2187</v>
      </c>
      <c r="AC198">
        <v>2213</v>
      </c>
      <c r="AD198">
        <v>2</v>
      </c>
      <c r="AE198">
        <v>-0.39500000000000002</v>
      </c>
      <c r="AF198">
        <v>2</v>
      </c>
      <c r="AG198">
        <v>34.951000000000001</v>
      </c>
      <c r="AH198">
        <v>2</v>
      </c>
      <c r="AI198">
        <v>-999</v>
      </c>
      <c r="AJ198">
        <v>9</v>
      </c>
      <c r="AK198">
        <v>269.60000000000002</v>
      </c>
      <c r="AL198">
        <v>2</v>
      </c>
      <c r="AM198">
        <v>-999</v>
      </c>
      <c r="AN198">
        <v>9</v>
      </c>
      <c r="AO198">
        <v>-999</v>
      </c>
      <c r="AP198">
        <v>9</v>
      </c>
      <c r="AQ198">
        <v>13.18</v>
      </c>
      <c r="AR198">
        <v>2</v>
      </c>
      <c r="AS198">
        <v>13.5</v>
      </c>
      <c r="AT198">
        <v>2</v>
      </c>
      <c r="AU198">
        <v>14.47</v>
      </c>
      <c r="AV198">
        <v>2</v>
      </c>
      <c r="AW198">
        <v>14.82</v>
      </c>
      <c r="AX198">
        <v>2</v>
      </c>
      <c r="AY198">
        <v>0.01</v>
      </c>
      <c r="AZ198">
        <v>2</v>
      </c>
      <c r="BA198">
        <v>0.01</v>
      </c>
      <c r="BB198">
        <v>2</v>
      </c>
      <c r="BC198">
        <v>1.06</v>
      </c>
      <c r="BD198">
        <v>2</v>
      </c>
      <c r="BE198">
        <v>1.0900000000000001</v>
      </c>
      <c r="BF198">
        <v>2</v>
      </c>
      <c r="BG198">
        <v>0.04</v>
      </c>
      <c r="BH198">
        <v>2</v>
      </c>
      <c r="BI198">
        <v>0.04</v>
      </c>
      <c r="BJ198">
        <v>2</v>
      </c>
      <c r="BK198">
        <v>7.0000000000000007E-2</v>
      </c>
      <c r="BL198">
        <v>2</v>
      </c>
      <c r="BM198">
        <v>7.0000000000000007E-2</v>
      </c>
      <c r="BN198">
        <v>2</v>
      </c>
      <c r="BO198">
        <v>0</v>
      </c>
      <c r="BP198">
        <v>2</v>
      </c>
      <c r="BS198">
        <v>-999</v>
      </c>
      <c r="BT198">
        <v>9</v>
      </c>
      <c r="BU198">
        <v>0.36</v>
      </c>
      <c r="BV198">
        <v>2</v>
      </c>
      <c r="BW198">
        <v>-999</v>
      </c>
      <c r="BX198">
        <v>9</v>
      </c>
      <c r="BY198">
        <v>-999</v>
      </c>
      <c r="BZ198">
        <v>9</v>
      </c>
    </row>
    <row r="199" spans="1:78">
      <c r="A199" t="s">
        <v>52</v>
      </c>
      <c r="B199">
        <v>199</v>
      </c>
      <c r="C199">
        <v>55</v>
      </c>
      <c r="E199">
        <v>1104</v>
      </c>
      <c r="F199" t="s">
        <v>20</v>
      </c>
      <c r="G199">
        <v>0</v>
      </c>
      <c r="H199" s="52">
        <v>460906.62724809069</v>
      </c>
      <c r="I199" s="52"/>
      <c r="J199" s="2">
        <v>3.745980663829847</v>
      </c>
      <c r="K199" s="2"/>
      <c r="L199" s="2"/>
      <c r="M199" s="2"/>
      <c r="N199" s="1">
        <v>81.27417664171513</v>
      </c>
      <c r="O199" s="1"/>
      <c r="P199" s="1"/>
      <c r="Q199" s="1"/>
      <c r="R199" t="s">
        <v>53</v>
      </c>
      <c r="S199" t="s">
        <v>70</v>
      </c>
      <c r="T199">
        <v>55</v>
      </c>
      <c r="U199">
        <v>6</v>
      </c>
      <c r="V199">
        <v>610</v>
      </c>
      <c r="W199">
        <v>10</v>
      </c>
      <c r="X199">
        <v>2</v>
      </c>
      <c r="Y199">
        <v>20040821</v>
      </c>
      <c r="Z199">
        <v>73.295299999999997</v>
      </c>
      <c r="AA199">
        <v>-160.19399999999999</v>
      </c>
      <c r="AB199">
        <v>1135</v>
      </c>
      <c r="AC199">
        <v>1.9</v>
      </c>
      <c r="AD199">
        <v>2</v>
      </c>
      <c r="AE199">
        <v>3.351</v>
      </c>
      <c r="AF199">
        <v>2</v>
      </c>
      <c r="AG199">
        <v>26.719000000000001</v>
      </c>
      <c r="AH199">
        <v>2</v>
      </c>
      <c r="AI199">
        <v>-999</v>
      </c>
      <c r="AJ199">
        <v>9</v>
      </c>
      <c r="AK199">
        <v>346.7</v>
      </c>
      <c r="AL199">
        <v>2</v>
      </c>
      <c r="AM199">
        <v>354</v>
      </c>
      <c r="AN199">
        <v>2</v>
      </c>
      <c r="AO199">
        <v>8.0960000000000001</v>
      </c>
      <c r="AP199">
        <v>2</v>
      </c>
      <c r="AQ199">
        <v>3.82</v>
      </c>
      <c r="AR199">
        <v>2</v>
      </c>
      <c r="AS199">
        <v>3.89</v>
      </c>
      <c r="AT199">
        <v>2</v>
      </c>
      <c r="AU199">
        <v>0.03</v>
      </c>
      <c r="AV199">
        <v>2</v>
      </c>
      <c r="AW199">
        <v>0.03</v>
      </c>
      <c r="AX199">
        <v>2</v>
      </c>
      <c r="AY199">
        <v>0</v>
      </c>
      <c r="AZ199">
        <v>2</v>
      </c>
      <c r="BA199">
        <v>0</v>
      </c>
      <c r="BB199">
        <v>2</v>
      </c>
      <c r="BC199">
        <v>0.56000000000000005</v>
      </c>
      <c r="BD199">
        <v>2</v>
      </c>
      <c r="BE199">
        <v>0.56999999999999995</v>
      </c>
      <c r="BF199">
        <v>2</v>
      </c>
      <c r="BG199">
        <v>0.14000000000000001</v>
      </c>
      <c r="BH199">
        <v>2</v>
      </c>
      <c r="BI199">
        <v>0.14000000000000001</v>
      </c>
      <c r="BJ199">
        <v>2</v>
      </c>
      <c r="BK199">
        <v>0.12</v>
      </c>
      <c r="BL199">
        <v>2</v>
      </c>
      <c r="BM199">
        <v>0.12</v>
      </c>
      <c r="BN199">
        <v>2</v>
      </c>
      <c r="BO199">
        <v>-999</v>
      </c>
      <c r="BP199">
        <v>9</v>
      </c>
      <c r="BS199">
        <v>2.9649999999999999</v>
      </c>
      <c r="BT199">
        <v>2</v>
      </c>
      <c r="BU199">
        <v>-5.19</v>
      </c>
      <c r="BV199">
        <v>2</v>
      </c>
      <c r="BW199">
        <v>0.18</v>
      </c>
      <c r="BX199">
        <v>2</v>
      </c>
      <c r="BY199">
        <v>0.04</v>
      </c>
      <c r="BZ199">
        <v>2</v>
      </c>
    </row>
    <row r="200" spans="1:78">
      <c r="A200" t="s">
        <v>52</v>
      </c>
      <c r="B200">
        <v>207</v>
      </c>
      <c r="C200">
        <v>57</v>
      </c>
      <c r="E200">
        <v>271</v>
      </c>
      <c r="F200" t="s">
        <v>20</v>
      </c>
      <c r="G200">
        <v>7.3</v>
      </c>
      <c r="H200" s="52">
        <v>415920.17738359206</v>
      </c>
      <c r="I200" s="52"/>
      <c r="J200" s="2"/>
      <c r="K200" s="2"/>
      <c r="L200" s="2"/>
      <c r="M200" s="2"/>
      <c r="N200" s="1">
        <v>80.501779156378291</v>
      </c>
      <c r="O200" s="1"/>
      <c r="P200" s="1"/>
      <c r="Q200" s="1"/>
      <c r="R200" t="s">
        <v>53</v>
      </c>
      <c r="S200" t="s">
        <v>71</v>
      </c>
      <c r="T200">
        <v>57</v>
      </c>
      <c r="U200">
        <v>1</v>
      </c>
      <c r="V200">
        <v>109</v>
      </c>
      <c r="W200">
        <v>9</v>
      </c>
      <c r="X200">
        <v>2</v>
      </c>
      <c r="Y200">
        <v>20040822</v>
      </c>
      <c r="Z200">
        <v>73.144000000000005</v>
      </c>
      <c r="AA200">
        <v>-160.43100000000001</v>
      </c>
      <c r="AB200">
        <v>267</v>
      </c>
      <c r="AC200">
        <v>8.1999999999999993</v>
      </c>
      <c r="AD200">
        <v>2</v>
      </c>
      <c r="AE200">
        <v>1.5269999999999999</v>
      </c>
      <c r="AF200">
        <v>2</v>
      </c>
      <c r="AG200">
        <v>26.882999999999999</v>
      </c>
      <c r="AH200">
        <v>2</v>
      </c>
      <c r="AI200">
        <v>-999</v>
      </c>
      <c r="AJ200">
        <v>9</v>
      </c>
      <c r="AK200">
        <v>364</v>
      </c>
      <c r="AL200">
        <v>2</v>
      </c>
      <c r="AM200">
        <v>374</v>
      </c>
      <c r="AN200">
        <v>2</v>
      </c>
      <c r="AO200">
        <v>8.5549999999999997</v>
      </c>
      <c r="AP200">
        <v>2</v>
      </c>
      <c r="AQ200">
        <v>5.0599999999999996</v>
      </c>
      <c r="AR200">
        <v>2</v>
      </c>
      <c r="AS200">
        <v>5.15</v>
      </c>
      <c r="AT200">
        <v>2</v>
      </c>
      <c r="AU200">
        <v>0.06</v>
      </c>
      <c r="AV200">
        <v>2</v>
      </c>
      <c r="AW200">
        <v>0.06</v>
      </c>
      <c r="AX200">
        <v>2</v>
      </c>
      <c r="AY200">
        <v>0</v>
      </c>
      <c r="AZ200">
        <v>2</v>
      </c>
      <c r="BA200">
        <v>0</v>
      </c>
      <c r="BB200">
        <v>2</v>
      </c>
      <c r="BC200">
        <v>0.57999999999999996</v>
      </c>
      <c r="BD200">
        <v>2</v>
      </c>
      <c r="BE200">
        <v>0.59</v>
      </c>
      <c r="BF200">
        <v>2</v>
      </c>
      <c r="BG200">
        <v>0.16</v>
      </c>
      <c r="BH200">
        <v>2</v>
      </c>
      <c r="BI200">
        <v>0.16</v>
      </c>
      <c r="BJ200">
        <v>2</v>
      </c>
      <c r="BK200">
        <v>0.05</v>
      </c>
      <c r="BL200">
        <v>2</v>
      </c>
      <c r="BM200">
        <v>0.05</v>
      </c>
      <c r="BN200">
        <v>2</v>
      </c>
      <c r="BO200">
        <v>-999</v>
      </c>
      <c r="BP200">
        <v>9</v>
      </c>
      <c r="BS200">
        <v>1.9950000000000001</v>
      </c>
      <c r="BT200">
        <v>2</v>
      </c>
      <c r="BU200">
        <v>-5.43</v>
      </c>
      <c r="BV200">
        <v>2</v>
      </c>
      <c r="BW200">
        <v>0.2</v>
      </c>
      <c r="BX200">
        <v>2</v>
      </c>
      <c r="BY200">
        <v>0.02</v>
      </c>
      <c r="BZ200">
        <v>2</v>
      </c>
    </row>
  </sheetData>
  <sortState ref="A13:XFD195">
    <sortCondition ref="M13:M195"/>
  </sortState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G25" sqref="G25"/>
    </sheetView>
  </sheetViews>
  <sheetFormatPr baseColWidth="10" defaultRowHeight="13" x14ac:dyDescent="0"/>
  <sheetData>
    <row r="1" spans="1:10">
      <c r="A1" t="s">
        <v>917</v>
      </c>
    </row>
    <row r="2" spans="1:10">
      <c r="A2" t="s">
        <v>918</v>
      </c>
    </row>
    <row r="3" spans="1:10">
      <c r="D3" s="99" t="s">
        <v>921</v>
      </c>
      <c r="E3" s="99"/>
      <c r="F3" s="99"/>
      <c r="G3" s="99"/>
    </row>
    <row r="4" spans="1:10">
      <c r="B4" t="s">
        <v>395</v>
      </c>
      <c r="C4" t="s">
        <v>520</v>
      </c>
      <c r="D4" t="s">
        <v>535</v>
      </c>
      <c r="E4" t="s">
        <v>922</v>
      </c>
      <c r="F4" t="s">
        <v>923</v>
      </c>
      <c r="G4" t="s">
        <v>87</v>
      </c>
      <c r="H4" t="s">
        <v>106</v>
      </c>
      <c r="I4" t="s">
        <v>210</v>
      </c>
      <c r="J4" t="s">
        <v>108</v>
      </c>
    </row>
    <row r="5" spans="1:10">
      <c r="B5" t="s">
        <v>919</v>
      </c>
      <c r="C5">
        <v>0</v>
      </c>
      <c r="D5">
        <v>147</v>
      </c>
      <c r="E5">
        <v>10.1</v>
      </c>
      <c r="F5">
        <v>18.7</v>
      </c>
      <c r="G5">
        <v>113</v>
      </c>
      <c r="H5" s="52">
        <f>D5*10000</f>
        <v>1470000</v>
      </c>
      <c r="I5" s="52">
        <f>G5*10000</f>
        <v>1130000</v>
      </c>
      <c r="J5" s="52">
        <f>E5*10000+F5*10000</f>
        <v>288000</v>
      </c>
    </row>
    <row r="6" spans="1:10">
      <c r="B6" t="s">
        <v>919</v>
      </c>
      <c r="C6">
        <v>10</v>
      </c>
      <c r="D6">
        <v>120</v>
      </c>
      <c r="E6">
        <v>6.9</v>
      </c>
      <c r="F6">
        <v>13.2</v>
      </c>
      <c r="G6">
        <v>98.8</v>
      </c>
      <c r="H6" s="52">
        <f t="shared" ref="H6:H25" si="0">D6*10000</f>
        <v>1200000</v>
      </c>
      <c r="I6" s="52">
        <f t="shared" ref="I6:I25" si="1">G6*10000</f>
        <v>988000</v>
      </c>
      <c r="J6" s="52">
        <f t="shared" ref="J6:J25" si="2">E6*10000+F6*10000</f>
        <v>201000</v>
      </c>
    </row>
    <row r="7" spans="1:10">
      <c r="B7" t="s">
        <v>919</v>
      </c>
      <c r="C7">
        <v>20</v>
      </c>
      <c r="D7">
        <v>143</v>
      </c>
      <c r="E7">
        <v>7</v>
      </c>
      <c r="F7">
        <v>13.8</v>
      </c>
      <c r="G7">
        <v>107</v>
      </c>
      <c r="H7" s="52">
        <f t="shared" si="0"/>
        <v>1430000</v>
      </c>
      <c r="I7" s="52">
        <f t="shared" si="1"/>
        <v>1070000</v>
      </c>
      <c r="J7" s="52">
        <f t="shared" si="2"/>
        <v>208000</v>
      </c>
    </row>
    <row r="8" spans="1:10">
      <c r="B8" t="s">
        <v>919</v>
      </c>
      <c r="C8">
        <v>30</v>
      </c>
      <c r="D8">
        <v>149</v>
      </c>
      <c r="E8">
        <v>7.8</v>
      </c>
      <c r="F8">
        <v>16.7</v>
      </c>
      <c r="G8">
        <v>132</v>
      </c>
      <c r="H8" s="52">
        <f t="shared" si="0"/>
        <v>1490000</v>
      </c>
      <c r="I8" s="52">
        <f t="shared" si="1"/>
        <v>1320000</v>
      </c>
      <c r="J8" s="52">
        <f t="shared" si="2"/>
        <v>245000</v>
      </c>
    </row>
    <row r="9" spans="1:10">
      <c r="B9" t="s">
        <v>919</v>
      </c>
      <c r="C9">
        <v>40</v>
      </c>
      <c r="D9">
        <v>140</v>
      </c>
      <c r="E9">
        <v>8.6</v>
      </c>
      <c r="F9">
        <v>14.6</v>
      </c>
      <c r="G9">
        <v>112</v>
      </c>
      <c r="H9" s="52">
        <f t="shared" si="0"/>
        <v>1400000</v>
      </c>
      <c r="I9" s="52">
        <f t="shared" si="1"/>
        <v>1120000</v>
      </c>
      <c r="J9" s="52">
        <f t="shared" si="2"/>
        <v>232000</v>
      </c>
    </row>
    <row r="10" spans="1:10">
      <c r="B10" t="s">
        <v>919</v>
      </c>
      <c r="C10">
        <v>60</v>
      </c>
      <c r="D10">
        <v>95.5</v>
      </c>
      <c r="E10">
        <v>11.7</v>
      </c>
      <c r="F10">
        <v>7.5</v>
      </c>
      <c r="G10">
        <v>73.2</v>
      </c>
      <c r="H10" s="52">
        <f t="shared" si="0"/>
        <v>955000</v>
      </c>
      <c r="I10" s="52">
        <f t="shared" si="1"/>
        <v>732000</v>
      </c>
      <c r="J10" s="52">
        <f t="shared" si="2"/>
        <v>192000</v>
      </c>
    </row>
    <row r="11" spans="1:10">
      <c r="B11" t="s">
        <v>919</v>
      </c>
      <c r="C11">
        <v>80</v>
      </c>
      <c r="D11">
        <v>53.9</v>
      </c>
      <c r="E11">
        <v>11.6</v>
      </c>
      <c r="F11">
        <v>7.9</v>
      </c>
      <c r="G11">
        <v>36.4</v>
      </c>
      <c r="H11" s="52">
        <f t="shared" si="0"/>
        <v>539000</v>
      </c>
      <c r="I11" s="52">
        <f t="shared" si="1"/>
        <v>364000</v>
      </c>
      <c r="J11" s="52">
        <f t="shared" si="2"/>
        <v>195000</v>
      </c>
    </row>
    <row r="12" spans="1:10">
      <c r="B12" t="s">
        <v>919</v>
      </c>
      <c r="C12">
        <v>100</v>
      </c>
      <c r="D12">
        <v>45.6</v>
      </c>
      <c r="E12">
        <v>10.6</v>
      </c>
      <c r="F12">
        <v>4.9000000000000004</v>
      </c>
      <c r="G12">
        <v>31.6</v>
      </c>
      <c r="H12" s="52">
        <f t="shared" si="0"/>
        <v>456000</v>
      </c>
      <c r="I12" s="52">
        <f t="shared" si="1"/>
        <v>316000</v>
      </c>
      <c r="J12" s="52">
        <f t="shared" si="2"/>
        <v>155000</v>
      </c>
    </row>
    <row r="13" spans="1:10">
      <c r="B13" t="s">
        <v>919</v>
      </c>
      <c r="C13">
        <v>150</v>
      </c>
      <c r="D13">
        <v>42</v>
      </c>
      <c r="E13">
        <v>7.9</v>
      </c>
      <c r="F13">
        <v>3.9</v>
      </c>
      <c r="G13">
        <v>31.3</v>
      </c>
      <c r="H13" s="52">
        <f t="shared" si="0"/>
        <v>420000</v>
      </c>
      <c r="I13" s="52">
        <f t="shared" si="1"/>
        <v>313000</v>
      </c>
      <c r="J13" s="52">
        <f t="shared" si="2"/>
        <v>118000</v>
      </c>
    </row>
    <row r="14" spans="1:10">
      <c r="B14" t="s">
        <v>919</v>
      </c>
      <c r="C14">
        <v>200</v>
      </c>
      <c r="D14">
        <v>34</v>
      </c>
      <c r="E14">
        <v>6.7</v>
      </c>
      <c r="F14">
        <v>2.2000000000000002</v>
      </c>
      <c r="G14">
        <v>24</v>
      </c>
      <c r="H14" s="52">
        <f t="shared" si="0"/>
        <v>340000</v>
      </c>
      <c r="I14" s="52">
        <f t="shared" si="1"/>
        <v>240000</v>
      </c>
      <c r="J14" s="52">
        <f t="shared" si="2"/>
        <v>89000</v>
      </c>
    </row>
    <row r="15" spans="1:10">
      <c r="B15" t="s">
        <v>919</v>
      </c>
      <c r="C15">
        <v>500</v>
      </c>
      <c r="D15">
        <v>18.600000000000001</v>
      </c>
      <c r="E15">
        <v>4.3</v>
      </c>
      <c r="F15">
        <v>1.7</v>
      </c>
      <c r="G15">
        <v>14.2</v>
      </c>
      <c r="H15" s="52">
        <f t="shared" si="0"/>
        <v>186000</v>
      </c>
      <c r="I15" s="52">
        <f t="shared" si="1"/>
        <v>142000</v>
      </c>
      <c r="J15" s="52">
        <f t="shared" si="2"/>
        <v>60000</v>
      </c>
    </row>
    <row r="16" spans="1:10">
      <c r="B16" t="s">
        <v>919</v>
      </c>
      <c r="C16" s="98">
        <v>1000</v>
      </c>
      <c r="D16">
        <v>13.8</v>
      </c>
      <c r="E16">
        <v>4.4000000000000004</v>
      </c>
      <c r="F16">
        <v>1.8</v>
      </c>
      <c r="G16">
        <v>3.9</v>
      </c>
      <c r="H16" s="52">
        <f t="shared" si="0"/>
        <v>138000</v>
      </c>
      <c r="I16" s="52">
        <f t="shared" si="1"/>
        <v>39000</v>
      </c>
      <c r="J16" s="52">
        <f t="shared" si="2"/>
        <v>62000</v>
      </c>
    </row>
    <row r="17" spans="2:10">
      <c r="B17" t="s">
        <v>920</v>
      </c>
      <c r="C17">
        <v>0</v>
      </c>
      <c r="D17">
        <v>131</v>
      </c>
      <c r="E17">
        <v>1.8</v>
      </c>
      <c r="F17">
        <v>10.8</v>
      </c>
      <c r="G17">
        <v>111</v>
      </c>
      <c r="H17" s="52">
        <f t="shared" si="0"/>
        <v>1310000</v>
      </c>
      <c r="I17" s="52">
        <f t="shared" si="1"/>
        <v>1110000</v>
      </c>
      <c r="J17" s="52">
        <f t="shared" si="2"/>
        <v>126000</v>
      </c>
    </row>
    <row r="18" spans="2:10">
      <c r="B18" t="s">
        <v>920</v>
      </c>
      <c r="C18">
        <v>20</v>
      </c>
      <c r="D18">
        <v>132</v>
      </c>
      <c r="E18">
        <v>0.8</v>
      </c>
      <c r="F18">
        <v>14.7</v>
      </c>
      <c r="G18">
        <v>128</v>
      </c>
      <c r="H18" s="52">
        <f t="shared" si="0"/>
        <v>1320000</v>
      </c>
      <c r="I18" s="52">
        <f t="shared" si="1"/>
        <v>1280000</v>
      </c>
      <c r="J18" s="52">
        <f t="shared" si="2"/>
        <v>155000</v>
      </c>
    </row>
    <row r="19" spans="2:10">
      <c r="B19" t="s">
        <v>920</v>
      </c>
      <c r="C19">
        <v>40</v>
      </c>
      <c r="D19">
        <v>98.1</v>
      </c>
      <c r="E19">
        <v>8.1999999999999993</v>
      </c>
      <c r="F19">
        <v>10.7</v>
      </c>
      <c r="G19">
        <v>74.7</v>
      </c>
      <c r="H19" s="52">
        <f t="shared" si="0"/>
        <v>981000</v>
      </c>
      <c r="I19" s="52">
        <f t="shared" si="1"/>
        <v>747000</v>
      </c>
      <c r="J19" s="52">
        <f t="shared" si="2"/>
        <v>189000</v>
      </c>
    </row>
    <row r="20" spans="2:10">
      <c r="B20" t="s">
        <v>920</v>
      </c>
      <c r="C20">
        <v>60</v>
      </c>
      <c r="D20">
        <v>78.099999999999994</v>
      </c>
      <c r="E20">
        <v>17.399999999999999</v>
      </c>
      <c r="F20">
        <v>9.1</v>
      </c>
      <c r="G20">
        <v>50.5</v>
      </c>
      <c r="H20" s="52">
        <f t="shared" si="0"/>
        <v>781000</v>
      </c>
      <c r="I20" s="52">
        <f t="shared" si="1"/>
        <v>505000</v>
      </c>
      <c r="J20" s="52">
        <f t="shared" si="2"/>
        <v>265000</v>
      </c>
    </row>
    <row r="21" spans="2:10">
      <c r="B21" t="s">
        <v>920</v>
      </c>
      <c r="C21">
        <v>80</v>
      </c>
      <c r="D21">
        <v>61.4</v>
      </c>
      <c r="E21">
        <v>15.1</v>
      </c>
      <c r="F21">
        <v>4.5</v>
      </c>
      <c r="G21">
        <v>30</v>
      </c>
      <c r="H21" s="52">
        <f t="shared" si="0"/>
        <v>614000</v>
      </c>
      <c r="I21" s="52">
        <f t="shared" si="1"/>
        <v>300000</v>
      </c>
      <c r="J21" s="52">
        <f t="shared" si="2"/>
        <v>196000</v>
      </c>
    </row>
    <row r="22" spans="2:10">
      <c r="B22" t="s">
        <v>920</v>
      </c>
      <c r="C22">
        <v>100</v>
      </c>
      <c r="D22">
        <v>57.3</v>
      </c>
      <c r="E22">
        <v>11.6</v>
      </c>
      <c r="F22">
        <v>2.9</v>
      </c>
      <c r="G22">
        <v>39</v>
      </c>
      <c r="H22" s="52">
        <f t="shared" si="0"/>
        <v>573000</v>
      </c>
      <c r="I22" s="52">
        <f t="shared" si="1"/>
        <v>390000</v>
      </c>
      <c r="J22" s="52">
        <f t="shared" si="2"/>
        <v>145000</v>
      </c>
    </row>
    <row r="23" spans="2:10">
      <c r="B23" t="s">
        <v>920</v>
      </c>
      <c r="C23">
        <v>150</v>
      </c>
      <c r="D23">
        <v>47.6</v>
      </c>
      <c r="E23">
        <v>12.4</v>
      </c>
      <c r="F23">
        <v>2.1</v>
      </c>
      <c r="G23">
        <v>22</v>
      </c>
      <c r="H23" s="52">
        <f t="shared" si="0"/>
        <v>476000</v>
      </c>
      <c r="I23" s="52">
        <f t="shared" si="1"/>
        <v>220000</v>
      </c>
      <c r="J23" s="52">
        <f t="shared" si="2"/>
        <v>145000</v>
      </c>
    </row>
    <row r="24" spans="2:10">
      <c r="B24" t="s">
        <v>920</v>
      </c>
      <c r="C24">
        <v>200</v>
      </c>
      <c r="D24">
        <v>37.200000000000003</v>
      </c>
      <c r="E24">
        <v>9.9</v>
      </c>
      <c r="F24">
        <v>0.9</v>
      </c>
      <c r="G24">
        <v>22.1</v>
      </c>
      <c r="H24" s="52">
        <f t="shared" si="0"/>
        <v>372000</v>
      </c>
      <c r="I24" s="52">
        <f t="shared" si="1"/>
        <v>221000</v>
      </c>
      <c r="J24" s="52">
        <f t="shared" si="2"/>
        <v>108000</v>
      </c>
    </row>
    <row r="25" spans="2:10">
      <c r="B25" t="s">
        <v>920</v>
      </c>
      <c r="C25">
        <v>500</v>
      </c>
      <c r="D25">
        <v>18.600000000000001</v>
      </c>
      <c r="E25">
        <v>5.6</v>
      </c>
      <c r="F25">
        <v>0.9</v>
      </c>
      <c r="G25">
        <v>8.8000000000000007</v>
      </c>
      <c r="H25" s="52">
        <f t="shared" si="0"/>
        <v>186000</v>
      </c>
      <c r="I25" s="52">
        <f t="shared" si="1"/>
        <v>88000</v>
      </c>
      <c r="J25" s="52">
        <f t="shared" si="2"/>
        <v>65000</v>
      </c>
    </row>
  </sheetData>
  <mergeCells count="1">
    <mergeCell ref="D3:G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8" sqref="F18"/>
    </sheetView>
  </sheetViews>
  <sheetFormatPr baseColWidth="10" defaultRowHeight="13" x14ac:dyDescent="0"/>
  <sheetData>
    <row r="1" spans="1:6">
      <c r="A1" t="s">
        <v>105</v>
      </c>
    </row>
    <row r="2" spans="1:6">
      <c r="A2" t="s">
        <v>107</v>
      </c>
      <c r="B2" t="s">
        <v>109</v>
      </c>
    </row>
    <row r="3" spans="1:6">
      <c r="C3" t="s">
        <v>520</v>
      </c>
      <c r="D3" t="s">
        <v>106</v>
      </c>
      <c r="E3" t="s">
        <v>210</v>
      </c>
      <c r="F3" t="s">
        <v>108</v>
      </c>
    </row>
    <row r="4" spans="1:6">
      <c r="C4">
        <v>43.807860618779799</v>
      </c>
      <c r="D4" s="52">
        <v>8150658.2855469901</v>
      </c>
      <c r="E4" s="52">
        <v>4829531.3619659804</v>
      </c>
      <c r="F4" s="52">
        <v>2298690.4074987499</v>
      </c>
    </row>
    <row r="5" spans="1:6">
      <c r="C5">
        <v>145.00273186374301</v>
      </c>
      <c r="D5" s="52">
        <v>10607043.953219499</v>
      </c>
      <c r="E5" s="52">
        <v>5344070.1535801003</v>
      </c>
      <c r="F5" s="52">
        <v>4205758.3602689896</v>
      </c>
    </row>
    <row r="6" spans="1:6">
      <c r="C6">
        <v>251.99409032341501</v>
      </c>
      <c r="D6" s="52">
        <v>3515881.74519285</v>
      </c>
      <c r="E6" s="52">
        <v>1520541.5728386301</v>
      </c>
      <c r="F6" s="52">
        <v>1614208.0744020001</v>
      </c>
    </row>
    <row r="7" spans="1:6">
      <c r="C7">
        <v>304.02903094580302</v>
      </c>
      <c r="D7" s="52">
        <v>2487750.5272241598</v>
      </c>
      <c r="E7" s="52">
        <v>1858228.3565754499</v>
      </c>
      <c r="F7" s="52">
        <v>452237.14960230398</v>
      </c>
    </row>
    <row r="8" spans="1:6">
      <c r="C8">
        <v>402.97679532808701</v>
      </c>
      <c r="D8" s="52">
        <v>2399691.23982359</v>
      </c>
      <c r="E8" s="52">
        <v>1328263.8112307601</v>
      </c>
      <c r="F8" s="52">
        <v>859505.43904709595</v>
      </c>
    </row>
    <row r="9" spans="1:6">
      <c r="C9">
        <v>503.27568334890702</v>
      </c>
      <c r="D9" s="52">
        <v>1026160.3612528</v>
      </c>
      <c r="E9" s="52">
        <v>677850.62747760897</v>
      </c>
      <c r="F9" s="52">
        <v>289722.57540709502</v>
      </c>
    </row>
    <row r="10" spans="1:6">
      <c r="C10">
        <v>604.47770339619103</v>
      </c>
      <c r="D10" s="52">
        <v>3402199.6183901201</v>
      </c>
      <c r="E10" s="52">
        <v>1661005.8364864599</v>
      </c>
      <c r="F10" s="52">
        <v>1433499.6280920601</v>
      </c>
    </row>
    <row r="11" spans="1:6">
      <c r="C11">
        <v>719.88558512095995</v>
      </c>
      <c r="D11" s="52">
        <v>12916530.073479399</v>
      </c>
      <c r="E11" s="52">
        <v>7613596.0007557198</v>
      </c>
      <c r="F11" s="52">
        <v>4212406.57621729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>
      <selection sqref="A1:XFD46"/>
    </sheetView>
  </sheetViews>
  <sheetFormatPr baseColWidth="10" defaultRowHeight="13" x14ac:dyDescent="0"/>
  <sheetData>
    <row r="1" spans="1:22" s="20" customFormat="1">
      <c r="A1" s="20" t="s">
        <v>373</v>
      </c>
      <c r="B1" s="20" t="str">
        <f>'Church 2003'!A95</f>
        <v>Southern Ocean Summer</v>
      </c>
      <c r="C1" s="20">
        <f>'Church 2003'!B95</f>
        <v>0.98882648996223999</v>
      </c>
      <c r="D1" s="20">
        <f>'Church 2003'!C95</f>
        <v>443026.65889663924</v>
      </c>
      <c r="E1" s="20">
        <f>'Church 2003'!D95</f>
        <v>0.96800865994244401</v>
      </c>
      <c r="F1" s="20">
        <f>'Church 2003'!E95</f>
        <v>4238.64362992102</v>
      </c>
      <c r="G1" s="20">
        <f>'Church 2003'!F95</f>
        <v>0.99517226899272204</v>
      </c>
      <c r="H1" s="20">
        <f>'Church 2003'!G95</f>
        <v>6124.3870426528201</v>
      </c>
      <c r="I1" s="51">
        <f>'Church 2003'!C95</f>
        <v>443026.65889663924</v>
      </c>
      <c r="J1" s="51">
        <f>'Church 2003'!J95</f>
        <v>454628.05485924095</v>
      </c>
      <c r="K1" s="51">
        <f>'Church 2003'!H95</f>
        <v>10363.030672573841</v>
      </c>
      <c r="L1" s="51">
        <f t="shared" ref="L1:L41" si="0">J1+K1</f>
        <v>464991.08553181478</v>
      </c>
      <c r="M1" s="63">
        <f t="shared" ref="M1:M41" si="1">L1/I1</f>
        <v>1.0495781149826922</v>
      </c>
      <c r="N1" s="63">
        <f t="shared" ref="N1:N41" si="2">K1/L1</f>
        <v>2.2286514720430702E-2</v>
      </c>
      <c r="O1" s="63" t="s">
        <v>376</v>
      </c>
      <c r="P1" s="51" t="s">
        <v>535</v>
      </c>
      <c r="Q1" s="51"/>
      <c r="R1" s="51" t="s">
        <v>247</v>
      </c>
      <c r="S1" s="51" t="s">
        <v>247</v>
      </c>
      <c r="T1" s="51"/>
      <c r="U1" s="51" t="s">
        <v>377</v>
      </c>
      <c r="V1" s="51" t="s">
        <v>536</v>
      </c>
    </row>
    <row r="2" spans="1:22" s="20" customFormat="1">
      <c r="A2" s="20" t="s">
        <v>373</v>
      </c>
      <c r="B2" s="20" t="str">
        <f>'Church 2003'!A73</f>
        <v>Southern Ocean Winter</v>
      </c>
      <c r="C2" s="20">
        <f>'Church 2003'!B73</f>
        <v>2.0097711959402802</v>
      </c>
      <c r="D2" s="20">
        <f>'Church 2003'!C73</f>
        <v>106268.78236075731</v>
      </c>
      <c r="E2" s="20">
        <f>'Church 2003'!D73</f>
        <v>1.90836084791281</v>
      </c>
      <c r="F2" s="20">
        <f>'Church 2003'!E73</f>
        <v>11428.689194718143</v>
      </c>
      <c r="G2" s="20">
        <f>'Church 2003'!F73</f>
        <v>2.0078541604504001</v>
      </c>
      <c r="H2" s="20">
        <f>'Church 2003'!G73</f>
        <v>5774.6320055391298</v>
      </c>
      <c r="I2" s="51">
        <f>'Church 2003'!C73</f>
        <v>106268.78236075731</v>
      </c>
      <c r="J2" s="51">
        <f>'Church 2003'!J73</f>
        <v>65549.027909129858</v>
      </c>
      <c r="K2" s="51">
        <f>'Church 2003'!H73</f>
        <v>17203.321200257273</v>
      </c>
      <c r="L2" s="51">
        <f t="shared" si="0"/>
        <v>82752.349109387127</v>
      </c>
      <c r="M2" s="63">
        <f t="shared" si="1"/>
        <v>0.77870798244834061</v>
      </c>
      <c r="N2" s="63">
        <f t="shared" si="2"/>
        <v>0.20788921867966392</v>
      </c>
      <c r="O2" s="63" t="s">
        <v>376</v>
      </c>
      <c r="P2" s="51" t="s">
        <v>535</v>
      </c>
      <c r="Q2" s="51"/>
      <c r="R2" s="51" t="s">
        <v>247</v>
      </c>
      <c r="S2" s="51" t="s">
        <v>247</v>
      </c>
      <c r="T2" s="51"/>
      <c r="U2" s="51" t="s">
        <v>377</v>
      </c>
      <c r="V2" s="51" t="s">
        <v>536</v>
      </c>
    </row>
    <row r="3" spans="1:22" s="20" customFormat="1">
      <c r="A3" s="20" t="s">
        <v>373</v>
      </c>
      <c r="B3" s="20" t="str">
        <f>'Church 2003'!A74</f>
        <v>Southern Ocean Winter</v>
      </c>
      <c r="C3" s="20">
        <f>'Church 2003'!B74</f>
        <v>4.8802476347854498</v>
      </c>
      <c r="D3" s="20">
        <f>'Church 2003'!C74</f>
        <v>80934.523171543697</v>
      </c>
      <c r="E3" s="20">
        <f>'Church 2003'!D74</f>
        <v>4.87986505731602</v>
      </c>
      <c r="F3" s="20">
        <f>'Church 2003'!E74</f>
        <v>7065.4387568775801</v>
      </c>
      <c r="G3" s="20">
        <f>'Church 2003'!F74</f>
        <v>4.96973729023955</v>
      </c>
      <c r="H3" s="20">
        <f>'Church 2003'!G74</f>
        <v>2285.4557412272184</v>
      </c>
      <c r="I3" s="51">
        <f>'Church 2003'!C74</f>
        <v>80934.523171543697</v>
      </c>
      <c r="J3" s="51">
        <f>'Church 2003'!J74</f>
        <v>60428.270660163398</v>
      </c>
      <c r="K3" s="51">
        <f>'Church 2003'!H74</f>
        <v>9350.8944981047989</v>
      </c>
      <c r="L3" s="51">
        <f t="shared" si="0"/>
        <v>69779.165158268195</v>
      </c>
      <c r="M3" s="63">
        <f t="shared" si="1"/>
        <v>0.86216811348067979</v>
      </c>
      <c r="N3" s="63">
        <f t="shared" si="2"/>
        <v>0.13400697008764376</v>
      </c>
      <c r="O3" s="63" t="s">
        <v>376</v>
      </c>
      <c r="P3" s="51" t="s">
        <v>535</v>
      </c>
      <c r="Q3" s="51"/>
      <c r="R3" s="51" t="s">
        <v>247</v>
      </c>
      <c r="S3" s="51" t="s">
        <v>247</v>
      </c>
      <c r="T3" s="51"/>
      <c r="U3" s="51" t="s">
        <v>377</v>
      </c>
      <c r="V3" s="51" t="s">
        <v>536</v>
      </c>
    </row>
    <row r="4" spans="1:22" s="20" customFormat="1">
      <c r="A4" s="20" t="s">
        <v>373</v>
      </c>
      <c r="B4" s="20" t="str">
        <f>'Church 2003'!A96</f>
        <v>Southern Ocean Summer</v>
      </c>
      <c r="C4" s="20">
        <f>'Church 2003'!B96</f>
        <v>4.9311349427055804</v>
      </c>
      <c r="D4" s="20">
        <f>'Church 2003'!C96</f>
        <v>454962.02971159137</v>
      </c>
      <c r="E4" s="20">
        <f>'Church 2003'!D96</f>
        <v>4.7694114952781499</v>
      </c>
      <c r="F4" s="20">
        <f>'Church 2003'!E96</f>
        <v>7413.7361527198336</v>
      </c>
      <c r="G4" s="20">
        <f>'Church 2003'!F96</f>
        <v>5.1341508562685103</v>
      </c>
      <c r="H4" s="20">
        <f>'Church 2003'!G96</f>
        <v>4641.2401078746998</v>
      </c>
      <c r="I4" s="51">
        <f>'Church 2003'!C96</f>
        <v>454962.02971159137</v>
      </c>
      <c r="J4" s="51">
        <f>'Church 2003'!J96</f>
        <v>358474.06970750802</v>
      </c>
      <c r="K4" s="51">
        <f>'Church 2003'!H96</f>
        <v>12054.976260594533</v>
      </c>
      <c r="L4" s="51">
        <f t="shared" si="0"/>
        <v>370529.04596810258</v>
      </c>
      <c r="M4" s="63">
        <f t="shared" si="1"/>
        <v>0.81441751568364429</v>
      </c>
      <c r="N4" s="63">
        <f t="shared" si="2"/>
        <v>3.2534497340411736E-2</v>
      </c>
      <c r="O4" s="63" t="s">
        <v>376</v>
      </c>
      <c r="P4" s="51" t="s">
        <v>535</v>
      </c>
      <c r="Q4" s="51"/>
      <c r="R4" s="51" t="s">
        <v>247</v>
      </c>
      <c r="S4" s="51" t="s">
        <v>247</v>
      </c>
      <c r="T4" s="51"/>
      <c r="U4" s="51" t="s">
        <v>377</v>
      </c>
      <c r="V4" s="51" t="s">
        <v>536</v>
      </c>
    </row>
    <row r="5" spans="1:22" s="20" customFormat="1">
      <c r="A5" s="20" t="s">
        <v>373</v>
      </c>
      <c r="B5" s="20" t="str">
        <f>'Church 2003'!A97</f>
        <v>Southern Ocean Summer</v>
      </c>
      <c r="C5" s="20">
        <f>'Church 2003'!B97</f>
        <v>7.7293539192087701</v>
      </c>
      <c r="D5" s="20">
        <f>'Church 2003'!C97</f>
        <v>165357.175675645</v>
      </c>
      <c r="E5" s="20">
        <f>'Church 2003'!D97</f>
        <v>7.8560798172153703</v>
      </c>
      <c r="F5" s="20">
        <f>'Church 2003'!E97</f>
        <v>1603.17451203103</v>
      </c>
      <c r="G5" s="20">
        <f>'Church 2003'!F97</f>
        <v>8.0631894686841008</v>
      </c>
      <c r="H5" s="20">
        <f>'Church 2003'!G97</f>
        <v>689.267282997498</v>
      </c>
      <c r="I5" s="51">
        <f>'Church 2003'!C97</f>
        <v>165357.175675645</v>
      </c>
      <c r="J5" s="51">
        <f>'Church 2003'!J97</f>
        <v>149203.87930656699</v>
      </c>
      <c r="K5" s="51">
        <f>'Church 2003'!H97</f>
        <v>2292.4417950285278</v>
      </c>
      <c r="L5" s="51">
        <f t="shared" si="0"/>
        <v>151496.32110159553</v>
      </c>
      <c r="M5" s="63">
        <f t="shared" si="1"/>
        <v>0.91617627407208435</v>
      </c>
      <c r="N5" s="63">
        <f t="shared" si="2"/>
        <v>1.5131996462747004E-2</v>
      </c>
      <c r="O5" s="63" t="s">
        <v>376</v>
      </c>
      <c r="P5" s="51" t="s">
        <v>535</v>
      </c>
      <c r="Q5" s="51"/>
      <c r="R5" s="51" t="s">
        <v>247</v>
      </c>
      <c r="S5" s="51" t="s">
        <v>247</v>
      </c>
      <c r="T5" s="51"/>
      <c r="U5" s="51" t="s">
        <v>377</v>
      </c>
      <c r="V5" s="51" t="s">
        <v>536</v>
      </c>
    </row>
    <row r="6" spans="1:22" s="20" customFormat="1">
      <c r="A6" s="20" t="s">
        <v>373</v>
      </c>
      <c r="B6" s="20" t="str">
        <f>'Church 2003'!A75</f>
        <v>Southern Ocean Winter</v>
      </c>
      <c r="C6" s="20">
        <f>'Church 2003'!B75</f>
        <v>9.8240374473940708</v>
      </c>
      <c r="D6" s="20">
        <f>'Church 2003'!C75</f>
        <v>66438.309930297197</v>
      </c>
      <c r="E6" s="20">
        <f>'Church 2003'!D75</f>
        <v>9.9573866933541009</v>
      </c>
      <c r="F6" s="20">
        <f>'Church 2003'!E75</f>
        <v>7722.6425623126124</v>
      </c>
      <c r="G6" s="20">
        <f>'Church 2003'!F75</f>
        <v>10.0946966969142</v>
      </c>
      <c r="H6" s="20">
        <f>'Church 2003'!G75</f>
        <v>4788.9205899094422</v>
      </c>
      <c r="I6" s="51">
        <f>'Church 2003'!C75</f>
        <v>66438.309930297197</v>
      </c>
      <c r="J6" s="51">
        <f>'Church 2003'!J75</f>
        <v>67340.615767886018</v>
      </c>
      <c r="K6" s="51">
        <f>'Church 2003'!H75</f>
        <v>12511.563152222054</v>
      </c>
      <c r="L6" s="51">
        <f t="shared" si="0"/>
        <v>79852.178920108068</v>
      </c>
      <c r="M6" s="63">
        <f t="shared" si="1"/>
        <v>1.2018996118938583</v>
      </c>
      <c r="N6" s="63">
        <f t="shared" si="2"/>
        <v>0.15668405447946318</v>
      </c>
      <c r="O6" s="63" t="s">
        <v>376</v>
      </c>
      <c r="P6" s="51" t="s">
        <v>535</v>
      </c>
      <c r="Q6" s="51"/>
      <c r="R6" s="51" t="s">
        <v>247</v>
      </c>
      <c r="S6" s="51" t="s">
        <v>247</v>
      </c>
      <c r="T6" s="51"/>
      <c r="U6" s="51" t="s">
        <v>377</v>
      </c>
      <c r="V6" s="51" t="s">
        <v>536</v>
      </c>
    </row>
    <row r="7" spans="1:22" s="20" customFormat="1">
      <c r="A7" s="20" t="s">
        <v>373</v>
      </c>
      <c r="B7" s="20" t="str">
        <f>'Church 2003'!A98</f>
        <v>Southern Ocean Summer</v>
      </c>
      <c r="C7" s="20">
        <f>'Church 2003'!B98</f>
        <v>14.665535655814001</v>
      </c>
      <c r="D7" s="20">
        <f>'Church 2003'!C98</f>
        <v>281153.94058808702</v>
      </c>
      <c r="E7" s="20">
        <f>'Church 2003'!D98</f>
        <v>14.825870694667399</v>
      </c>
      <c r="F7" s="20">
        <f>'Church 2003'!E98</f>
        <v>577.05242432617797</v>
      </c>
      <c r="G7" s="20">
        <f>'Church 2003'!F98</f>
        <v>14.662745333802</v>
      </c>
      <c r="H7" s="20">
        <f>'Church 2003'!G98</f>
        <v>420.86704726726703</v>
      </c>
      <c r="I7" s="51">
        <f>'Church 2003'!C98</f>
        <v>281153.94058808702</v>
      </c>
      <c r="J7" s="51">
        <f>'Church 2003'!J98</f>
        <v>272632.19582461199</v>
      </c>
      <c r="K7" s="51">
        <f>'Church 2003'!H98</f>
        <v>997.919471593445</v>
      </c>
      <c r="L7" s="51">
        <f t="shared" si="0"/>
        <v>273630.11529620545</v>
      </c>
      <c r="M7" s="63">
        <f t="shared" si="1"/>
        <v>0.97323948127440774</v>
      </c>
      <c r="N7" s="63">
        <f t="shared" si="2"/>
        <v>3.6469650663750737E-3</v>
      </c>
      <c r="O7" s="63" t="s">
        <v>376</v>
      </c>
      <c r="P7" s="51" t="s">
        <v>535</v>
      </c>
      <c r="Q7" s="51"/>
      <c r="R7" s="51" t="s">
        <v>247</v>
      </c>
      <c r="S7" s="51" t="s">
        <v>247</v>
      </c>
      <c r="T7" s="51"/>
      <c r="U7" s="51" t="s">
        <v>377</v>
      </c>
      <c r="V7" s="51" t="s">
        <v>536</v>
      </c>
    </row>
    <row r="8" spans="1:22" s="20" customFormat="1">
      <c r="A8" s="20" t="s">
        <v>373</v>
      </c>
      <c r="B8" s="20" t="str">
        <f>'Church 2003'!A76</f>
        <v>Southern Ocean Winter</v>
      </c>
      <c r="C8" s="20">
        <f>'Church 2003'!B76</f>
        <v>15.0175882402784</v>
      </c>
      <c r="D8" s="20">
        <f>'Church 2003'!C76</f>
        <v>77418.524604785402</v>
      </c>
      <c r="E8" s="20">
        <f>'Church 2003'!D76</f>
        <v>15.108055663796</v>
      </c>
      <c r="F8" s="20">
        <f>'Church 2003'!E76</f>
        <v>6158.0260741313732</v>
      </c>
      <c r="G8" s="20">
        <f>'Church 2003'!F76</f>
        <v>15.1262867189385</v>
      </c>
      <c r="H8" s="20">
        <f>'Church 2003'!G76</f>
        <v>1435.0425573272569</v>
      </c>
      <c r="I8" s="51">
        <f>'Church 2003'!C76</f>
        <v>77418.524604785402</v>
      </c>
      <c r="J8" s="51">
        <f>'Church 2003'!J76</f>
        <v>61813.797117986403</v>
      </c>
      <c r="K8" s="51">
        <f>'Church 2003'!H76</f>
        <v>7593.0686314586301</v>
      </c>
      <c r="L8" s="51">
        <f t="shared" si="0"/>
        <v>69406.865749445031</v>
      </c>
      <c r="M8" s="63">
        <f t="shared" si="1"/>
        <v>0.89651496336000758</v>
      </c>
      <c r="N8" s="63">
        <f t="shared" si="2"/>
        <v>0.10939938793474972</v>
      </c>
      <c r="O8" s="63" t="s">
        <v>376</v>
      </c>
      <c r="P8" s="51" t="s">
        <v>535</v>
      </c>
      <c r="Q8" s="51"/>
      <c r="R8" s="51" t="s">
        <v>247</v>
      </c>
      <c r="S8" s="51" t="s">
        <v>247</v>
      </c>
      <c r="T8" s="51"/>
      <c r="U8" s="51" t="s">
        <v>377</v>
      </c>
      <c r="V8" s="51" t="s">
        <v>536</v>
      </c>
    </row>
    <row r="9" spans="1:22" s="20" customFormat="1">
      <c r="A9" s="20" t="s">
        <v>373</v>
      </c>
      <c r="B9" s="20" t="str">
        <f>'Church 2003'!A77</f>
        <v>Southern Ocean Winter</v>
      </c>
      <c r="C9" s="20">
        <f>'Church 2003'!B77</f>
        <v>18.8050732836201</v>
      </c>
      <c r="D9" s="20">
        <f>'Church 2003'!C77</f>
        <v>78074.663022372843</v>
      </c>
      <c r="E9" s="20">
        <f>'Church 2003'!D77</f>
        <v>19.573717089473298</v>
      </c>
      <c r="F9" s="20">
        <f>'Church 2003'!E77</f>
        <v>7403.970710374515</v>
      </c>
      <c r="G9" s="20">
        <f>'Church 2003'!F77</f>
        <v>19.524886214777698</v>
      </c>
      <c r="H9" s="20">
        <f>'Church 2003'!G77</f>
        <v>2822.6065723818747</v>
      </c>
      <c r="I9" s="51">
        <f>'Church 2003'!C77</f>
        <v>78074.663022372843</v>
      </c>
      <c r="J9" s="51">
        <f>'Church 2003'!J77</f>
        <v>63277.0037100724</v>
      </c>
      <c r="K9" s="51">
        <f>'Church 2003'!H77</f>
        <v>10226.577282756389</v>
      </c>
      <c r="L9" s="51">
        <f t="shared" si="0"/>
        <v>73503.580992828793</v>
      </c>
      <c r="M9" s="63">
        <f t="shared" si="1"/>
        <v>0.94145242704109811</v>
      </c>
      <c r="N9" s="63">
        <f t="shared" si="2"/>
        <v>0.1391303273204352</v>
      </c>
      <c r="O9" s="63" t="s">
        <v>376</v>
      </c>
      <c r="P9" s="51" t="s">
        <v>535</v>
      </c>
      <c r="Q9" s="51"/>
      <c r="R9" s="51" t="s">
        <v>247</v>
      </c>
      <c r="S9" s="51" t="s">
        <v>247</v>
      </c>
      <c r="T9" s="51"/>
      <c r="U9" s="51" t="s">
        <v>377</v>
      </c>
      <c r="V9" s="51" t="s">
        <v>536</v>
      </c>
    </row>
    <row r="10" spans="1:22" s="20" customFormat="1">
      <c r="A10" s="20" t="s">
        <v>373</v>
      </c>
      <c r="B10" s="20" t="str">
        <f>'Church 2003'!A99</f>
        <v>Southern Ocean Summer</v>
      </c>
      <c r="C10" s="20">
        <f>'Church 2003'!B99</f>
        <v>19.641539704393299</v>
      </c>
      <c r="D10" s="20">
        <f>'Church 2003'!C99</f>
        <v>477509.13661193202</v>
      </c>
      <c r="E10" s="20">
        <f>'Church 2003'!D99</f>
        <v>20.852725616138901</v>
      </c>
      <c r="F10" s="20">
        <f>'Church 2003'!E99</f>
        <v>6759.5066981873733</v>
      </c>
      <c r="G10" s="20">
        <f>'Church 2003'!F99</f>
        <v>21.183041227172399</v>
      </c>
      <c r="H10" s="20">
        <f>'Church 2003'!G99</f>
        <v>844.55952815340538</v>
      </c>
      <c r="I10" s="51">
        <f>'Church 2003'!C99</f>
        <v>477509.13661193202</v>
      </c>
      <c r="J10" s="51">
        <f>'Church 2003'!J99</f>
        <v>445151.9676983938</v>
      </c>
      <c r="K10" s="51">
        <f>'Church 2003'!H99</f>
        <v>7604.0662263407785</v>
      </c>
      <c r="L10" s="51">
        <f t="shared" si="0"/>
        <v>452756.03392473457</v>
      </c>
      <c r="M10" s="63">
        <f t="shared" si="1"/>
        <v>0.94816203337421356</v>
      </c>
      <c r="N10" s="63">
        <f t="shared" si="2"/>
        <v>1.6795063249460451E-2</v>
      </c>
      <c r="O10" s="63" t="s">
        <v>376</v>
      </c>
      <c r="P10" s="51" t="s">
        <v>535</v>
      </c>
      <c r="Q10" s="51"/>
      <c r="R10" s="51" t="s">
        <v>247</v>
      </c>
      <c r="S10" s="51" t="s">
        <v>247</v>
      </c>
      <c r="T10" s="51"/>
      <c r="U10" s="51" t="s">
        <v>377</v>
      </c>
      <c r="V10" s="51" t="s">
        <v>536</v>
      </c>
    </row>
    <row r="11" spans="1:22" s="20" customFormat="1">
      <c r="A11" s="20" t="s">
        <v>373</v>
      </c>
      <c r="B11" s="20" t="str">
        <f>'Church 2003'!A78</f>
        <v>Southern Ocean Winter</v>
      </c>
      <c r="C11" s="20">
        <f>'Church 2003'!B78</f>
        <v>24.341247786062901</v>
      </c>
      <c r="D11" s="20">
        <f>'Church 2003'!C78</f>
        <v>73451.431739592997</v>
      </c>
      <c r="E11" s="20">
        <f>'Church 2003'!D78</f>
        <v>24.914432428077699</v>
      </c>
      <c r="F11" s="20">
        <f>'Church 2003'!E78</f>
        <v>10463.643632618312</v>
      </c>
      <c r="G11" s="20">
        <f>'Church 2003'!F78</f>
        <v>24.9077556111985</v>
      </c>
      <c r="H11" s="20">
        <f>'Church 2003'!G78</f>
        <v>4175.8710859639868</v>
      </c>
      <c r="I11" s="51">
        <f>'Church 2003'!C78</f>
        <v>73451.431739592997</v>
      </c>
      <c r="J11" s="51">
        <f>'Church 2003'!J78</f>
        <v>50129.763267554001</v>
      </c>
      <c r="K11" s="51">
        <f>'Church 2003'!H78</f>
        <v>14639.514718582299</v>
      </c>
      <c r="L11" s="51">
        <f t="shared" si="0"/>
        <v>64769.277986136301</v>
      </c>
      <c r="M11" s="63">
        <f t="shared" si="1"/>
        <v>0.88179735169441631</v>
      </c>
      <c r="N11" s="63">
        <f t="shared" si="2"/>
        <v>0.22602559691518948</v>
      </c>
      <c r="O11" s="63" t="s">
        <v>376</v>
      </c>
      <c r="P11" s="51" t="s">
        <v>535</v>
      </c>
      <c r="Q11" s="51"/>
      <c r="R11" s="51" t="s">
        <v>247</v>
      </c>
      <c r="S11" s="51" t="s">
        <v>247</v>
      </c>
      <c r="T11" s="51"/>
      <c r="U11" s="51" t="s">
        <v>377</v>
      </c>
      <c r="V11" s="51" t="s">
        <v>536</v>
      </c>
    </row>
    <row r="12" spans="1:22" s="20" customFormat="1">
      <c r="A12" s="20" t="s">
        <v>373</v>
      </c>
      <c r="B12" s="20" t="str">
        <f>'Church 2003'!A79</f>
        <v>Southern Ocean Winter</v>
      </c>
      <c r="C12" s="20">
        <f>'Church 2003'!B79</f>
        <v>29.181986839606701</v>
      </c>
      <c r="D12" s="20">
        <f>'Church 2003'!C79</f>
        <v>58326.8581121811</v>
      </c>
      <c r="E12" s="20">
        <f>'Church 2003'!D79</f>
        <v>29.870545464046501</v>
      </c>
      <c r="F12" s="20">
        <f>'Church 2003'!E79</f>
        <v>5575.64943099622</v>
      </c>
      <c r="G12" s="20">
        <f>'Church 2003'!F79</f>
        <v>30.193220833865599</v>
      </c>
      <c r="H12" s="20">
        <f>'Church 2003'!G79</f>
        <v>1957.6723730057499</v>
      </c>
      <c r="I12" s="51">
        <f>'Church 2003'!C79</f>
        <v>58326.8581121811</v>
      </c>
      <c r="J12" s="51">
        <f>'Church 2003'!J79</f>
        <v>51324.356169382649</v>
      </c>
      <c r="K12" s="51">
        <f>'Church 2003'!H79</f>
        <v>7533.3218040019701</v>
      </c>
      <c r="L12" s="51">
        <f t="shared" si="0"/>
        <v>58857.67797338462</v>
      </c>
      <c r="M12" s="63">
        <f t="shared" si="1"/>
        <v>1.0091007792702049</v>
      </c>
      <c r="N12" s="63">
        <f t="shared" si="2"/>
        <v>0.12799216794465679</v>
      </c>
      <c r="O12" s="63" t="s">
        <v>376</v>
      </c>
      <c r="P12" s="51" t="s">
        <v>535</v>
      </c>
      <c r="Q12" s="51"/>
      <c r="R12" s="51" t="s">
        <v>247</v>
      </c>
      <c r="S12" s="51" t="s">
        <v>247</v>
      </c>
      <c r="T12" s="51"/>
      <c r="U12" s="51" t="s">
        <v>377</v>
      </c>
      <c r="V12" s="51" t="s">
        <v>536</v>
      </c>
    </row>
    <row r="13" spans="1:22" s="20" customFormat="1">
      <c r="A13" s="20" t="s">
        <v>373</v>
      </c>
      <c r="B13" s="20" t="str">
        <f>'Church 2003'!A80</f>
        <v>Southern Ocean Winter</v>
      </c>
      <c r="C13" s="20">
        <f>'Church 2003'!B80</f>
        <v>34.164262041628596</v>
      </c>
      <c r="D13" s="20">
        <f>'Church 2003'!C80</f>
        <v>88820.309671825147</v>
      </c>
      <c r="E13" s="20">
        <f>'Church 2003'!D80</f>
        <v>34.427586581725699</v>
      </c>
      <c r="F13" s="20">
        <f>'Church 2003'!E80</f>
        <v>7224.3966082377055</v>
      </c>
      <c r="G13" s="20">
        <f>'Church 2003'!F80</f>
        <v>35.542686718824399</v>
      </c>
      <c r="H13" s="20">
        <f>'Church 2003'!G80</f>
        <v>3832.7076314663136</v>
      </c>
      <c r="I13" s="51">
        <f>'Church 2003'!C80</f>
        <v>88820.309671825147</v>
      </c>
      <c r="J13" s="51">
        <f>'Church 2003'!J80</f>
        <v>67467.279070281627</v>
      </c>
      <c r="K13" s="51">
        <f>'Church 2003'!H80</f>
        <v>11057.104239704018</v>
      </c>
      <c r="L13" s="51">
        <f t="shared" si="0"/>
        <v>78524.383309985642</v>
      </c>
      <c r="M13" s="63">
        <f t="shared" si="1"/>
        <v>0.88408139534886698</v>
      </c>
      <c r="N13" s="63">
        <f t="shared" si="2"/>
        <v>0.14081109298311331</v>
      </c>
      <c r="O13" s="63" t="s">
        <v>376</v>
      </c>
      <c r="P13" s="51" t="s">
        <v>535</v>
      </c>
      <c r="Q13" s="51"/>
      <c r="R13" s="51" t="s">
        <v>247</v>
      </c>
      <c r="S13" s="51" t="s">
        <v>247</v>
      </c>
      <c r="T13" s="51"/>
      <c r="U13" s="51" t="s">
        <v>377</v>
      </c>
      <c r="V13" s="51" t="s">
        <v>536</v>
      </c>
    </row>
    <row r="14" spans="1:22" s="20" customFormat="1">
      <c r="A14" s="20" t="s">
        <v>373</v>
      </c>
      <c r="B14" s="20" t="str">
        <f>'Church 2003'!A100</f>
        <v>Southern Ocean Summer</v>
      </c>
      <c r="C14" s="20">
        <f>'Church 2003'!B100</f>
        <v>39.866647087058602</v>
      </c>
      <c r="D14" s="20">
        <f>'Church 2003'!C100</f>
        <v>296071.48755964497</v>
      </c>
      <c r="E14" s="20">
        <f>'Church 2003'!D100</f>
        <v>40.047981750584498</v>
      </c>
      <c r="F14" s="20">
        <f>'Church 2003'!E100</f>
        <v>3413.8089599107202</v>
      </c>
      <c r="G14" s="20">
        <f>'Church 2003'!F100</f>
        <v>40.369624878130402</v>
      </c>
      <c r="H14" s="20">
        <f>'Church 2003'!G100</f>
        <v>1874.5167463570101</v>
      </c>
      <c r="I14" s="51">
        <f>'Church 2003'!C100</f>
        <v>296071.48755964497</v>
      </c>
      <c r="J14" s="51">
        <f>'Church 2003'!J100</f>
        <v>288577.92566370202</v>
      </c>
      <c r="K14" s="51">
        <f>'Church 2003'!H100</f>
        <v>5288.3257062677303</v>
      </c>
      <c r="L14" s="51">
        <f t="shared" si="0"/>
        <v>293866.25136996974</v>
      </c>
      <c r="M14" s="63">
        <f t="shared" si="1"/>
        <v>0.99255167659725774</v>
      </c>
      <c r="N14" s="63">
        <f t="shared" si="2"/>
        <v>1.7995689132774453E-2</v>
      </c>
      <c r="O14" s="63" t="s">
        <v>376</v>
      </c>
      <c r="P14" s="51" t="s">
        <v>535</v>
      </c>
      <c r="Q14" s="51"/>
      <c r="R14" s="51" t="s">
        <v>247</v>
      </c>
      <c r="S14" s="51" t="s">
        <v>247</v>
      </c>
      <c r="T14" s="51"/>
      <c r="U14" s="51" t="s">
        <v>377</v>
      </c>
      <c r="V14" s="51" t="s">
        <v>536</v>
      </c>
    </row>
    <row r="15" spans="1:22" s="20" customFormat="1">
      <c r="A15" s="20" t="s">
        <v>373</v>
      </c>
      <c r="B15" s="20" t="str">
        <f>'Church 2003'!A101</f>
        <v>Southern Ocean Summer</v>
      </c>
      <c r="C15" s="20">
        <f>'Church 2003'!B101</f>
        <v>43.616315223761703</v>
      </c>
      <c r="D15" s="20">
        <f>'Church 2003'!C101</f>
        <v>570975.72498849267</v>
      </c>
      <c r="E15" s="20">
        <f>'Church 2003'!D101</f>
        <v>43.259958669456097</v>
      </c>
      <c r="F15" s="20">
        <f>'Church 2003'!E101</f>
        <v>19373.83961990834</v>
      </c>
      <c r="G15" s="20">
        <f>'Church 2003'!F101</f>
        <v>44.442750317378703</v>
      </c>
      <c r="H15" s="20">
        <f>'Church 2003'!G101</f>
        <v>2488.9742892806398</v>
      </c>
      <c r="I15" s="51">
        <f>'Church 2003'!C101</f>
        <v>570975.72498849267</v>
      </c>
      <c r="J15" s="51">
        <f>'Church 2003'!J101</f>
        <v>480512.28640902694</v>
      </c>
      <c r="K15" s="51">
        <f>'Church 2003'!H101</f>
        <v>21862.813909188979</v>
      </c>
      <c r="L15" s="51">
        <f t="shared" si="0"/>
        <v>502375.1003182159</v>
      </c>
      <c r="M15" s="63">
        <f t="shared" si="1"/>
        <v>0.8798536931291443</v>
      </c>
      <c r="N15" s="63">
        <f t="shared" si="2"/>
        <v>4.3518904291515587E-2</v>
      </c>
      <c r="O15" s="63" t="s">
        <v>376</v>
      </c>
      <c r="P15" s="51" t="s">
        <v>535</v>
      </c>
      <c r="Q15" s="51"/>
      <c r="R15" s="51" t="s">
        <v>247</v>
      </c>
      <c r="S15" s="51" t="s">
        <v>247</v>
      </c>
      <c r="T15" s="51"/>
      <c r="U15" s="51" t="s">
        <v>377</v>
      </c>
      <c r="V15" s="51" t="s">
        <v>536</v>
      </c>
    </row>
    <row r="16" spans="1:22" s="20" customFormat="1">
      <c r="A16" s="20" t="s">
        <v>373</v>
      </c>
      <c r="B16" s="20" t="str">
        <f>'Church 2003'!A81</f>
        <v>Southern Ocean Winter</v>
      </c>
      <c r="C16" s="20">
        <f>'Church 2003'!B81</f>
        <v>49.997532692656598</v>
      </c>
      <c r="D16" s="20">
        <f>'Church 2003'!C81</f>
        <v>77554.412132927406</v>
      </c>
      <c r="E16" s="20">
        <f>'Church 2003'!D81</f>
        <v>49.830914990065303</v>
      </c>
      <c r="F16" s="20">
        <f>'Church 2003'!E81</f>
        <v>7940.8086076557147</v>
      </c>
      <c r="G16" s="20">
        <f>'Church 2003'!F81</f>
        <v>49.9400075375234</v>
      </c>
      <c r="H16" s="20">
        <f>'Church 2003'!G81</f>
        <v>1879.2712439666361</v>
      </c>
      <c r="I16" s="51">
        <f>'Church 2003'!C81</f>
        <v>77554.412132927406</v>
      </c>
      <c r="J16" s="51">
        <f>'Church 2003'!J81</f>
        <v>64294.023096875506</v>
      </c>
      <c r="K16" s="51">
        <f>'Church 2003'!H81</f>
        <v>9820.0798516223513</v>
      </c>
      <c r="L16" s="51">
        <f t="shared" si="0"/>
        <v>74114.102948497864</v>
      </c>
      <c r="M16" s="63">
        <f t="shared" si="1"/>
        <v>0.95564005851101175</v>
      </c>
      <c r="N16" s="63">
        <f t="shared" si="2"/>
        <v>0.13249947663059969</v>
      </c>
      <c r="O16" s="63" t="s">
        <v>376</v>
      </c>
      <c r="P16" s="51" t="s">
        <v>535</v>
      </c>
      <c r="Q16" s="51"/>
      <c r="R16" s="51" t="s">
        <v>247</v>
      </c>
      <c r="S16" s="51" t="s">
        <v>247</v>
      </c>
      <c r="T16" s="51"/>
      <c r="U16" s="51" t="s">
        <v>377</v>
      </c>
      <c r="V16" s="51" t="s">
        <v>536</v>
      </c>
    </row>
    <row r="17" spans="1:22" s="20" customFormat="1">
      <c r="A17" s="20" t="s">
        <v>373</v>
      </c>
      <c r="B17" s="20" t="str">
        <f>'Church 2003'!A102</f>
        <v>Southern Ocean Summer</v>
      </c>
      <c r="C17" s="20">
        <f>'Church 2003'!B102</f>
        <v>57.762590815554297</v>
      </c>
      <c r="D17" s="20">
        <f>'Church 2003'!C102</f>
        <v>398906.82011201401</v>
      </c>
      <c r="E17" s="20">
        <f>'Church 2003'!D102</f>
        <v>59.7205649479233</v>
      </c>
      <c r="F17" s="20">
        <f>'Church 2003'!E102</f>
        <v>8823.2603489922603</v>
      </c>
      <c r="G17" s="20">
        <f>'Church 2003'!F102</f>
        <v>59.371128425176899</v>
      </c>
      <c r="H17" s="20">
        <f>'Church 2003'!G102</f>
        <v>3435.5540965565701</v>
      </c>
      <c r="I17" s="51">
        <f>'Church 2003'!C102</f>
        <v>398906.82011201401</v>
      </c>
      <c r="J17" s="51">
        <f>'Church 2003'!J102</f>
        <v>161769.27250494499</v>
      </c>
      <c r="K17" s="51">
        <f>'Church 2003'!H102</f>
        <v>12258.814445548831</v>
      </c>
      <c r="L17" s="51">
        <f t="shared" si="0"/>
        <v>174028.08695049383</v>
      </c>
      <c r="M17" s="63">
        <f t="shared" si="1"/>
        <v>0.43626250085577961</v>
      </c>
      <c r="N17" s="63">
        <f t="shared" si="2"/>
        <v>7.0441585955237931E-2</v>
      </c>
      <c r="O17" s="63" t="s">
        <v>376</v>
      </c>
      <c r="P17" s="51" t="s">
        <v>535</v>
      </c>
      <c r="Q17" s="51"/>
      <c r="R17" s="51" t="s">
        <v>247</v>
      </c>
      <c r="S17" s="51" t="s">
        <v>247</v>
      </c>
      <c r="T17" s="51"/>
      <c r="U17" s="51" t="s">
        <v>377</v>
      </c>
      <c r="V17" s="51" t="s">
        <v>536</v>
      </c>
    </row>
    <row r="18" spans="1:22" s="20" customFormat="1">
      <c r="A18" s="20" t="s">
        <v>373</v>
      </c>
      <c r="B18" s="20" t="str">
        <f>'Church 2003'!A82</f>
        <v>Southern Ocean Winter</v>
      </c>
      <c r="C18" s="20">
        <f>'Church 2003'!B82</f>
        <v>71.735993414495894</v>
      </c>
      <c r="D18" s="20">
        <f>'Church 2003'!C82</f>
        <v>63804.009534891295</v>
      </c>
      <c r="E18" s="20">
        <f>'Church 2003'!D82</f>
        <v>74.194838966409506</v>
      </c>
      <c r="F18" s="20">
        <f>'Church 2003'!E82</f>
        <v>11593.646800603348</v>
      </c>
      <c r="G18" s="20">
        <f>'Church 2003'!F82</f>
        <v>74.824951933026199</v>
      </c>
      <c r="H18" s="20">
        <f>'Church 2003'!G82</f>
        <v>1850.3772574171956</v>
      </c>
      <c r="I18" s="51">
        <f>'Church 2003'!C82</f>
        <v>63804.009534891295</v>
      </c>
      <c r="J18" s="51">
        <f>'Church 2003'!J82</f>
        <v>91235.747029173071</v>
      </c>
      <c r="K18" s="51">
        <f>'Church 2003'!H82</f>
        <v>13444.024058020545</v>
      </c>
      <c r="L18" s="51">
        <f t="shared" si="0"/>
        <v>104679.77108719361</v>
      </c>
      <c r="M18" s="63">
        <f t="shared" si="1"/>
        <v>1.6406456561315219</v>
      </c>
      <c r="N18" s="63">
        <f t="shared" si="2"/>
        <v>0.12843001010025393</v>
      </c>
      <c r="O18" s="63" t="s">
        <v>376</v>
      </c>
      <c r="P18" s="51" t="s">
        <v>535</v>
      </c>
      <c r="Q18" s="51"/>
      <c r="R18" s="51" t="s">
        <v>247</v>
      </c>
      <c r="S18" s="51" t="s">
        <v>247</v>
      </c>
      <c r="T18" s="51"/>
      <c r="U18" s="51" t="s">
        <v>377</v>
      </c>
      <c r="V18" s="51" t="s">
        <v>536</v>
      </c>
    </row>
    <row r="19" spans="1:22" s="20" customFormat="1">
      <c r="A19" s="20" t="s">
        <v>373</v>
      </c>
      <c r="B19" s="20" t="str">
        <f>'Church 2003'!A103</f>
        <v>Southern Ocean Summer</v>
      </c>
      <c r="C19" s="20">
        <f>'Church 2003'!B103</f>
        <v>73.134908965313798</v>
      </c>
      <c r="D19" s="20">
        <f>'Church 2003'!C103</f>
        <v>393232.775936338</v>
      </c>
      <c r="E19" s="20">
        <f>'Church 2003'!D103</f>
        <v>72.921193240087703</v>
      </c>
      <c r="F19" s="20">
        <f>'Church 2003'!E103</f>
        <v>81423.956665540594</v>
      </c>
      <c r="G19" s="20">
        <f>'Church 2003'!F103</f>
        <v>79.1260375024262</v>
      </c>
      <c r="H19" s="20">
        <f>'Church 2003'!G103</f>
        <v>13096.6274382921</v>
      </c>
      <c r="I19" s="51">
        <f>'Church 2003'!C103</f>
        <v>393232.775936338</v>
      </c>
      <c r="J19" s="51">
        <f>'Church 2003'!J103</f>
        <v>326261.572712694</v>
      </c>
      <c r="K19" s="51">
        <f>'Church 2003'!H103</f>
        <v>94520.584103832691</v>
      </c>
      <c r="L19" s="51">
        <f t="shared" si="0"/>
        <v>420782.15681652667</v>
      </c>
      <c r="M19" s="63">
        <f t="shared" si="1"/>
        <v>1.0700587096652614</v>
      </c>
      <c r="N19" s="63">
        <f t="shared" si="2"/>
        <v>0.22463068495807542</v>
      </c>
      <c r="O19" s="63" t="s">
        <v>376</v>
      </c>
      <c r="P19" s="51" t="s">
        <v>535</v>
      </c>
      <c r="Q19" s="51"/>
      <c r="R19" s="51" t="s">
        <v>247</v>
      </c>
      <c r="S19" s="51" t="s">
        <v>247</v>
      </c>
      <c r="T19" s="51"/>
      <c r="U19" s="51" t="s">
        <v>377</v>
      </c>
      <c r="V19" s="51" t="s">
        <v>536</v>
      </c>
    </row>
    <row r="20" spans="1:22" s="20" customFormat="1">
      <c r="A20" s="20" t="s">
        <v>373</v>
      </c>
      <c r="B20" s="20" t="str">
        <f>'Church 2003'!A83</f>
        <v>Southern Ocean Winter</v>
      </c>
      <c r="C20" s="20">
        <f>'Church 2003'!B83</f>
        <v>95.090071777169399</v>
      </c>
      <c r="D20" s="20">
        <f>'Church 2003'!C83</f>
        <v>67496.610438715099</v>
      </c>
      <c r="E20" s="20">
        <f>'Church 2003'!D83</f>
        <v>101.621536701746</v>
      </c>
      <c r="F20" s="20">
        <f>'Church 2003'!E83</f>
        <v>6751.7933974482494</v>
      </c>
      <c r="G20" s="20">
        <f>'Church 2003'!F83</f>
        <v>124.870367963118</v>
      </c>
      <c r="H20" s="20">
        <f>'Church 2003'!G83</f>
        <v>1854.42842658213</v>
      </c>
      <c r="I20" s="51">
        <f>'Church 2003'!C83</f>
        <v>67496.610438715099</v>
      </c>
      <c r="J20" s="51">
        <f>'Church 2003'!J83</f>
        <v>47761.719093373322</v>
      </c>
      <c r="K20" s="51">
        <f>'Church 2003'!H83</f>
        <v>8606.2218240303791</v>
      </c>
      <c r="L20" s="51">
        <f t="shared" si="0"/>
        <v>56367.940917403699</v>
      </c>
      <c r="M20" s="63">
        <f t="shared" si="1"/>
        <v>0.83512254246580431</v>
      </c>
      <c r="N20" s="63">
        <f t="shared" si="2"/>
        <v>0.15267937206791232</v>
      </c>
      <c r="O20" s="63" t="s">
        <v>376</v>
      </c>
      <c r="P20" s="51" t="s">
        <v>535</v>
      </c>
      <c r="Q20" s="51"/>
      <c r="R20" s="51" t="s">
        <v>247</v>
      </c>
      <c r="S20" s="51" t="s">
        <v>247</v>
      </c>
      <c r="T20" s="51"/>
      <c r="U20" s="51" t="s">
        <v>377</v>
      </c>
      <c r="V20" s="51" t="s">
        <v>536</v>
      </c>
    </row>
    <row r="21" spans="1:22" s="20" customFormat="1">
      <c r="A21" s="20" t="s">
        <v>373</v>
      </c>
      <c r="B21" s="20" t="str">
        <f>'Church 2003'!A84</f>
        <v>Southern Ocean Winter</v>
      </c>
      <c r="C21" s="20">
        <f>'Church 2003'!B84</f>
        <v>147.175001582813</v>
      </c>
      <c r="D21" s="20">
        <f>'Church 2003'!C84</f>
        <v>51630.943982910801</v>
      </c>
      <c r="E21" s="20">
        <f>'Church 2003'!D84</f>
        <v>150.00323588628001</v>
      </c>
      <c r="F21" s="20">
        <f>'Church 2003'!E84</f>
        <v>8413.9034331295497</v>
      </c>
      <c r="G21" s="20">
        <f>'Church 2003'!F84</f>
        <v>199.94224695892399</v>
      </c>
      <c r="H21" s="20">
        <f>'Church 2003'!G84</f>
        <v>902.266774957591</v>
      </c>
      <c r="I21" s="51">
        <f>'Church 2003'!C84</f>
        <v>51630.943982910801</v>
      </c>
      <c r="J21" s="51">
        <f>'Church 2003'!J84</f>
        <v>41635.979183430551</v>
      </c>
      <c r="K21" s="51">
        <f>'Church 2003'!H84</f>
        <v>9316.1702080871401</v>
      </c>
      <c r="L21" s="51">
        <f t="shared" si="0"/>
        <v>50952.149391517691</v>
      </c>
      <c r="M21" s="63">
        <f t="shared" si="1"/>
        <v>0.98685295020718999</v>
      </c>
      <c r="N21" s="63">
        <f t="shared" si="2"/>
        <v>0.182841554661442</v>
      </c>
      <c r="O21" s="63" t="s">
        <v>376</v>
      </c>
      <c r="P21" s="51" t="s">
        <v>535</v>
      </c>
      <c r="Q21" s="51"/>
      <c r="R21" s="51" t="s">
        <v>247</v>
      </c>
      <c r="S21" s="51" t="s">
        <v>247</v>
      </c>
      <c r="T21" s="51"/>
      <c r="U21" s="51" t="s">
        <v>377</v>
      </c>
      <c r="V21" s="51" t="s">
        <v>536</v>
      </c>
    </row>
    <row r="22" spans="1:22" s="20" customFormat="1">
      <c r="A22" s="20" t="s">
        <v>373</v>
      </c>
      <c r="B22" s="20" t="str">
        <f>'Church 2003'!A104</f>
        <v>Southern Ocean Summer</v>
      </c>
      <c r="C22" s="20">
        <f>'Church 2003'!B104</f>
        <v>148.44272136222401</v>
      </c>
      <c r="D22" s="20">
        <f>'Church 2003'!C104</f>
        <v>118688.096511244</v>
      </c>
      <c r="E22" s="20">
        <f>'Church 2003'!D104</f>
        <v>153.95029405870099</v>
      </c>
      <c r="F22" s="20">
        <f>'Church 2003'!E104</f>
        <v>26975.0985113563</v>
      </c>
      <c r="G22" s="20">
        <f>'Church 2003'!F104</f>
        <v>151.09539904755101</v>
      </c>
      <c r="H22" s="20">
        <f>'Church 2003'!G104</f>
        <v>6523.4739465624198</v>
      </c>
      <c r="I22" s="51">
        <f>'Church 2003'!C104</f>
        <v>118688.096511244</v>
      </c>
      <c r="J22" s="51">
        <f>'Church 2003'!J104</f>
        <v>111697.13438997031</v>
      </c>
      <c r="K22" s="51">
        <f>'Church 2003'!H104</f>
        <v>33498.572457918723</v>
      </c>
      <c r="L22" s="51">
        <f t="shared" si="0"/>
        <v>145195.70684788903</v>
      </c>
      <c r="M22" s="63">
        <f t="shared" si="1"/>
        <v>1.2233384064267456</v>
      </c>
      <c r="N22" s="63">
        <f t="shared" si="2"/>
        <v>0.23071324342263602</v>
      </c>
      <c r="O22" s="63" t="s">
        <v>376</v>
      </c>
      <c r="P22" s="51" t="s">
        <v>535</v>
      </c>
      <c r="Q22" s="51"/>
      <c r="R22" s="51" t="s">
        <v>247</v>
      </c>
      <c r="S22" s="51" t="s">
        <v>247</v>
      </c>
      <c r="T22" s="51"/>
      <c r="U22" s="51" t="s">
        <v>377</v>
      </c>
      <c r="V22" s="51" t="s">
        <v>536</v>
      </c>
    </row>
    <row r="23" spans="1:22" s="20" customFormat="1">
      <c r="A23" s="20" t="s">
        <v>373</v>
      </c>
      <c r="B23" s="20" t="str">
        <f>'Church 2003'!A105</f>
        <v>Southern Ocean Summer</v>
      </c>
      <c r="C23" s="20">
        <f>'Church 2003'!B105</f>
        <v>194.39124055854799</v>
      </c>
      <c r="D23" s="20">
        <f>'Church 2003'!C105</f>
        <v>147248.49241872551</v>
      </c>
      <c r="E23" s="20">
        <f>'Church 2003'!D105</f>
        <v>190.491526305729</v>
      </c>
      <c r="F23" s="20">
        <f>'Church 2003'!E105</f>
        <v>34834.9175870607</v>
      </c>
      <c r="G23" s="20">
        <f>'Church 2003'!F105</f>
        <v>199.260396993201</v>
      </c>
      <c r="H23" s="20">
        <f>'Church 2003'!G105</f>
        <v>2262.0843248435699</v>
      </c>
      <c r="I23" s="51">
        <f>'Church 2003'!C105</f>
        <v>147248.49241872551</v>
      </c>
      <c r="J23" s="51">
        <f>'Church 2003'!J105</f>
        <v>105793.466558017</v>
      </c>
      <c r="K23" s="51">
        <f>'Church 2003'!H105</f>
        <v>37097.00191190427</v>
      </c>
      <c r="L23" s="51">
        <f t="shared" si="0"/>
        <v>142890.46846992127</v>
      </c>
      <c r="M23" s="63">
        <f t="shared" si="1"/>
        <v>0.97040360904740897</v>
      </c>
      <c r="N23" s="63">
        <f t="shared" si="2"/>
        <v>0.25961844977583837</v>
      </c>
      <c r="O23" s="63" t="s">
        <v>376</v>
      </c>
      <c r="P23" s="51" t="s">
        <v>535</v>
      </c>
      <c r="Q23" s="51"/>
      <c r="R23" s="51" t="s">
        <v>247</v>
      </c>
      <c r="S23" s="51" t="s">
        <v>247</v>
      </c>
      <c r="T23" s="51"/>
      <c r="U23" s="51" t="s">
        <v>377</v>
      </c>
      <c r="V23" s="51" t="s">
        <v>536</v>
      </c>
    </row>
    <row r="24" spans="1:22" s="20" customFormat="1">
      <c r="A24" s="20" t="s">
        <v>373</v>
      </c>
      <c r="B24" s="20" t="str">
        <f>'Church 2003'!A85</f>
        <v>Southern Ocean Winter</v>
      </c>
      <c r="C24" s="20">
        <f>'Church 2003'!B85</f>
        <v>195.14411278250799</v>
      </c>
      <c r="D24" s="20">
        <f>'Church 2003'!C85</f>
        <v>45288.606968902997</v>
      </c>
      <c r="E24" s="20">
        <f>'Church 2003'!D85</f>
        <v>197.88802201642699</v>
      </c>
      <c r="F24" s="20">
        <f>'Church 2003'!E85</f>
        <v>4721.235680013765</v>
      </c>
      <c r="G24" s="20">
        <f>'Church 2003'!F85</f>
        <v>202.289554102773</v>
      </c>
      <c r="H24" s="20">
        <f>'Church 2003'!G85</f>
        <v>3536.4206374169598</v>
      </c>
      <c r="I24" s="51">
        <f>'Church 2003'!C85</f>
        <v>45288.606968902997</v>
      </c>
      <c r="J24" s="51">
        <f>'Church 2003'!J85</f>
        <v>23226.461432548098</v>
      </c>
      <c r="K24" s="51">
        <f>'Church 2003'!H85</f>
        <v>8257.6563174307248</v>
      </c>
      <c r="L24" s="51">
        <f t="shared" si="0"/>
        <v>31484.117749978825</v>
      </c>
      <c r="M24" s="63">
        <f t="shared" si="1"/>
        <v>0.69518847801163552</v>
      </c>
      <c r="N24" s="63">
        <f t="shared" si="2"/>
        <v>0.26228006079148519</v>
      </c>
      <c r="O24" s="63" t="s">
        <v>376</v>
      </c>
      <c r="P24" s="51" t="s">
        <v>535</v>
      </c>
      <c r="Q24" s="51"/>
      <c r="R24" s="51" t="s">
        <v>247</v>
      </c>
      <c r="S24" s="51" t="s">
        <v>247</v>
      </c>
      <c r="T24" s="51"/>
      <c r="U24" s="51" t="s">
        <v>377</v>
      </c>
      <c r="V24" s="51" t="s">
        <v>536</v>
      </c>
    </row>
    <row r="25" spans="1:22" s="20" customFormat="1">
      <c r="A25" s="20" t="s">
        <v>373</v>
      </c>
      <c r="B25" s="20" t="str">
        <f>'Church 2003'!A86</f>
        <v>Southern Ocean Winter</v>
      </c>
      <c r="C25" s="20">
        <f>'Church 2003'!B86</f>
        <v>217.74675955581401</v>
      </c>
      <c r="D25" s="20">
        <f>'Church 2003'!C86</f>
        <v>79886.816619368794</v>
      </c>
      <c r="E25" s="20">
        <f>'Church 2003'!D86</f>
        <v>217.61837734027</v>
      </c>
      <c r="F25" s="20">
        <f>'Church 2003'!E86</f>
        <v>8574.20843094874</v>
      </c>
      <c r="G25" s="20">
        <f>'Church 2003'!F86</f>
        <v>226.901900976332</v>
      </c>
      <c r="H25" s="20">
        <f>'Church 2003'!G86</f>
        <v>1567.2812958331899</v>
      </c>
      <c r="I25" s="51">
        <f>'Church 2003'!C86</f>
        <v>79886.816619368794</v>
      </c>
      <c r="J25" s="51">
        <f>'Church 2003'!J86</f>
        <v>71997.5243199783</v>
      </c>
      <c r="K25" s="51">
        <f>'Church 2003'!H86</f>
        <v>10141.489726781931</v>
      </c>
      <c r="L25" s="51">
        <f t="shared" si="0"/>
        <v>82139.014046760232</v>
      </c>
      <c r="M25" s="63">
        <f t="shared" si="1"/>
        <v>1.0281923541667999</v>
      </c>
      <c r="N25" s="63">
        <f t="shared" si="2"/>
        <v>0.12346739055095751</v>
      </c>
      <c r="O25" s="63" t="s">
        <v>376</v>
      </c>
      <c r="P25" s="51" t="s">
        <v>535</v>
      </c>
      <c r="Q25" s="51"/>
      <c r="R25" s="51" t="s">
        <v>247</v>
      </c>
      <c r="S25" s="51" t="s">
        <v>247</v>
      </c>
      <c r="T25" s="51"/>
      <c r="U25" s="51" t="s">
        <v>377</v>
      </c>
      <c r="V25" s="51" t="s">
        <v>536</v>
      </c>
    </row>
    <row r="26" spans="1:22" s="20" customFormat="1">
      <c r="A26" s="20" t="s">
        <v>373</v>
      </c>
      <c r="B26" s="20" t="str">
        <f>'Church 2003'!A106</f>
        <v>Southern Ocean Summer</v>
      </c>
      <c r="C26" s="20">
        <f>'Church 2003'!B106</f>
        <v>224.96527710321399</v>
      </c>
      <c r="D26" s="20">
        <f>'Church 2003'!C106</f>
        <v>186270.78472780599</v>
      </c>
      <c r="E26" s="20">
        <f>'Church 2003'!D106</f>
        <v>227.11442987927899</v>
      </c>
      <c r="F26" s="20">
        <f>'Church 2003'!E106</f>
        <v>29450.1436916614</v>
      </c>
      <c r="G26" s="20">
        <f>'Church 2003'!F106</f>
        <v>229.91451533825801</v>
      </c>
      <c r="H26" s="20">
        <f>'Church 2003'!G106</f>
        <v>5522.6957400602196</v>
      </c>
      <c r="I26" s="51">
        <f>'Church 2003'!C106</f>
        <v>186270.78472780599</v>
      </c>
      <c r="J26" s="51">
        <f>'Church 2003'!J106</f>
        <v>128033.00267922301</v>
      </c>
      <c r="K26" s="51">
        <f>'Church 2003'!H106</f>
        <v>34972.839431721623</v>
      </c>
      <c r="L26" s="51">
        <f t="shared" si="0"/>
        <v>163005.84211094462</v>
      </c>
      <c r="M26" s="63">
        <f t="shared" si="1"/>
        <v>0.87510149457491149</v>
      </c>
      <c r="N26" s="63">
        <f t="shared" si="2"/>
        <v>0.2145496074178648</v>
      </c>
      <c r="O26" s="63" t="s">
        <v>376</v>
      </c>
      <c r="P26" s="51" t="s">
        <v>535</v>
      </c>
      <c r="Q26" s="51"/>
      <c r="R26" s="51" t="s">
        <v>247</v>
      </c>
      <c r="S26" s="51" t="s">
        <v>247</v>
      </c>
      <c r="T26" s="51"/>
      <c r="U26" s="51" t="s">
        <v>377</v>
      </c>
      <c r="V26" s="51" t="s">
        <v>536</v>
      </c>
    </row>
    <row r="27" spans="1:22" s="20" customFormat="1">
      <c r="A27" s="20" t="s">
        <v>373</v>
      </c>
      <c r="B27" s="20" t="str">
        <f>'Church 2003'!A107</f>
        <v>Southern Ocean Summer</v>
      </c>
      <c r="C27" s="20">
        <f>'Church 2003'!B107</f>
        <v>291.30864089297</v>
      </c>
      <c r="D27" s="20">
        <f>'Church 2003'!C107</f>
        <v>148747.15409492701</v>
      </c>
      <c r="E27" s="20">
        <f>'Church 2003'!D107</f>
        <v>289.58389979866001</v>
      </c>
      <c r="F27" s="20">
        <f>'Church 2003'!E107</f>
        <v>26093.654006447301</v>
      </c>
      <c r="G27" s="20">
        <f>'Church 2003'!F107</f>
        <v>297.70252616970703</v>
      </c>
      <c r="H27" s="20">
        <f>'Church 2003'!G107</f>
        <v>4876.8479880279001</v>
      </c>
      <c r="I27" s="51">
        <f>'Church 2003'!C107</f>
        <v>148747.15409492701</v>
      </c>
      <c r="J27" s="51">
        <f>'Church 2003'!J107</f>
        <v>136210.06275860101</v>
      </c>
      <c r="K27" s="51">
        <f>'Church 2003'!H107</f>
        <v>30970.501994475202</v>
      </c>
      <c r="L27" s="51">
        <f t="shared" si="0"/>
        <v>167180.56475307621</v>
      </c>
      <c r="M27" s="63">
        <f t="shared" si="1"/>
        <v>1.1239244593976259</v>
      </c>
      <c r="N27" s="63">
        <f t="shared" si="2"/>
        <v>0.18525180866698399</v>
      </c>
      <c r="O27" s="63" t="s">
        <v>376</v>
      </c>
      <c r="P27" s="51" t="s">
        <v>535</v>
      </c>
      <c r="Q27" s="51"/>
      <c r="R27" s="51" t="s">
        <v>247</v>
      </c>
      <c r="S27" s="51" t="s">
        <v>247</v>
      </c>
      <c r="T27" s="51"/>
      <c r="U27" s="51" t="s">
        <v>377</v>
      </c>
      <c r="V27" s="51" t="s">
        <v>536</v>
      </c>
    </row>
    <row r="28" spans="1:22" s="20" customFormat="1">
      <c r="A28" s="20" t="s">
        <v>373</v>
      </c>
      <c r="B28" s="20" t="str">
        <f>'Church 2003'!A87</f>
        <v>Southern Ocean Winter</v>
      </c>
      <c r="C28" s="20">
        <f>'Church 2003'!B87</f>
        <v>292.96634285197001</v>
      </c>
      <c r="D28" s="20">
        <f>'Church 2003'!C87</f>
        <v>31260.955690200801</v>
      </c>
      <c r="E28" s="20">
        <f>'Church 2003'!D87</f>
        <v>302.39474334981998</v>
      </c>
      <c r="F28" s="20">
        <f>'Church 2003'!E87</f>
        <v>2505.29731319238</v>
      </c>
      <c r="G28" s="20">
        <f>'Church 2003'!F87</f>
        <v>303.75199642454299</v>
      </c>
      <c r="H28" s="20">
        <f>'Church 2003'!G87</f>
        <v>884.86982773725504</v>
      </c>
      <c r="I28" s="51">
        <f>'Church 2003'!C87</f>
        <v>31260.955690200801</v>
      </c>
      <c r="J28" s="51">
        <f>'Church 2003'!J87</f>
        <v>22720.496993679899</v>
      </c>
      <c r="K28" s="51">
        <f>'Church 2003'!H87</f>
        <v>3390.167140929635</v>
      </c>
      <c r="L28" s="51">
        <f t="shared" si="0"/>
        <v>26110.664134609535</v>
      </c>
      <c r="M28" s="63">
        <f t="shared" si="1"/>
        <v>0.83524842917052278</v>
      </c>
      <c r="N28" s="63">
        <f t="shared" si="2"/>
        <v>0.12983841098227708</v>
      </c>
      <c r="O28" s="63" t="s">
        <v>376</v>
      </c>
      <c r="P28" s="51" t="s">
        <v>535</v>
      </c>
      <c r="Q28" s="51"/>
      <c r="R28" s="51" t="s">
        <v>247</v>
      </c>
      <c r="S28" s="51" t="s">
        <v>247</v>
      </c>
      <c r="T28" s="51"/>
      <c r="U28" s="51" t="s">
        <v>377</v>
      </c>
      <c r="V28" s="51" t="s">
        <v>536</v>
      </c>
    </row>
    <row r="29" spans="1:22" s="20" customFormat="1">
      <c r="A29" s="20" t="s">
        <v>373</v>
      </c>
      <c r="B29" s="20" t="str">
        <f>'Church 2003'!A108</f>
        <v>Southern Ocean Summer</v>
      </c>
      <c r="C29" s="20">
        <f>'Church 2003'!B108</f>
        <v>340.93538192843101</v>
      </c>
      <c r="D29" s="20">
        <f>'Church 2003'!C108</f>
        <v>164691.417332418</v>
      </c>
      <c r="E29" s="20">
        <f>'Church 2003'!D108</f>
        <v>341.492253768838</v>
      </c>
      <c r="F29" s="20">
        <f>'Church 2003'!E108</f>
        <v>12991.366811784001</v>
      </c>
      <c r="G29" s="20">
        <f>'Church 2003'!F108</f>
        <v>347.072226127683</v>
      </c>
      <c r="H29" s="20">
        <f>'Church 2003'!G108</f>
        <v>141.97414888370599</v>
      </c>
      <c r="I29" s="51">
        <f>'Church 2003'!C108</f>
        <v>164691.417332418</v>
      </c>
      <c r="J29" s="51">
        <f>'Church 2003'!J108</f>
        <v>136045.77997006601</v>
      </c>
      <c r="K29" s="51">
        <f>'Church 2003'!H108</f>
        <v>13133.340960667707</v>
      </c>
      <c r="L29" s="51">
        <f t="shared" si="0"/>
        <v>149179.12093073371</v>
      </c>
      <c r="M29" s="63">
        <f t="shared" si="1"/>
        <v>0.90580992833176111</v>
      </c>
      <c r="N29" s="63">
        <f t="shared" si="2"/>
        <v>8.8037393428305091E-2</v>
      </c>
      <c r="O29" s="63" t="s">
        <v>376</v>
      </c>
      <c r="P29" s="51" t="s">
        <v>535</v>
      </c>
      <c r="Q29" s="51"/>
      <c r="R29" s="51" t="s">
        <v>247</v>
      </c>
      <c r="S29" s="51" t="s">
        <v>247</v>
      </c>
      <c r="T29" s="51"/>
      <c r="U29" s="51" t="s">
        <v>377</v>
      </c>
      <c r="V29" s="51" t="s">
        <v>536</v>
      </c>
    </row>
    <row r="30" spans="1:22" s="20" customFormat="1">
      <c r="A30" s="20" t="s">
        <v>373</v>
      </c>
      <c r="B30" s="20" t="str">
        <f>'Church 2003'!A88</f>
        <v>Southern Ocean Winter</v>
      </c>
      <c r="C30" s="20">
        <f>'Church 2003'!B88</f>
        <v>349.63605317548399</v>
      </c>
      <c r="D30" s="20">
        <f>'Church 2003'!C88</f>
        <v>39363.831175774096</v>
      </c>
      <c r="E30" s="20">
        <f>'Church 2003'!D88</f>
        <v>348.25987847366298</v>
      </c>
      <c r="F30" s="20">
        <f>'Church 2003'!E88</f>
        <v>5423.6640330117098</v>
      </c>
      <c r="G30" s="20">
        <f>'Church 2003'!F88</f>
        <v>350.74720934762502</v>
      </c>
      <c r="H30" s="20">
        <f>'Church 2003'!G88</f>
        <v>1560.78146022229</v>
      </c>
      <c r="I30" s="51">
        <f>'Church 2003'!C88</f>
        <v>39363.831175774096</v>
      </c>
      <c r="J30" s="51">
        <f>'Church 2003'!J88</f>
        <v>36535.858397097698</v>
      </c>
      <c r="K30" s="51">
        <f>'Church 2003'!H88</f>
        <v>6984.4454932339995</v>
      </c>
      <c r="L30" s="51">
        <f t="shared" si="0"/>
        <v>43520.303890331699</v>
      </c>
      <c r="M30" s="63">
        <f t="shared" si="1"/>
        <v>1.1055911630145301</v>
      </c>
      <c r="N30" s="63">
        <f t="shared" si="2"/>
        <v>0.16048705704892002</v>
      </c>
      <c r="O30" s="63" t="s">
        <v>376</v>
      </c>
      <c r="P30" s="51" t="s">
        <v>535</v>
      </c>
      <c r="Q30" s="51"/>
      <c r="R30" s="51" t="s">
        <v>247</v>
      </c>
      <c r="S30" s="51" t="s">
        <v>247</v>
      </c>
      <c r="T30" s="51"/>
      <c r="U30" s="51" t="s">
        <v>377</v>
      </c>
      <c r="V30" s="51" t="s">
        <v>536</v>
      </c>
    </row>
    <row r="31" spans="1:22" s="20" customFormat="1">
      <c r="A31" s="20" t="s">
        <v>373</v>
      </c>
      <c r="B31" s="20" t="str">
        <f>'Church 2003'!A109</f>
        <v>Southern Ocean Summer</v>
      </c>
      <c r="C31" s="20">
        <f>'Church 2003'!B109</f>
        <v>417.35960438101102</v>
      </c>
      <c r="D31" s="20">
        <f>'Church 2003'!C109</f>
        <v>146333.93124037626</v>
      </c>
      <c r="E31" s="20">
        <f>'Church 2003'!D109</f>
        <v>409.26622207279502</v>
      </c>
      <c r="F31" s="20">
        <f>'Church 2003'!E109</f>
        <v>6469.0805236067999</v>
      </c>
      <c r="G31" s="20">
        <f>'Church 2003'!F109</f>
        <v>409.34065585705503</v>
      </c>
      <c r="H31" s="20">
        <f>'Church 2003'!G109</f>
        <v>1524.5994932777733</v>
      </c>
      <c r="I31" s="51">
        <f>'Church 2003'!C109</f>
        <v>146333.93124037626</v>
      </c>
      <c r="J31" s="51">
        <f>'Church 2003'!J109</f>
        <v>48275.578923903595</v>
      </c>
      <c r="K31" s="51">
        <f>'Church 2003'!H109</f>
        <v>7993.680016884573</v>
      </c>
      <c r="L31" s="51">
        <f t="shared" si="0"/>
        <v>56269.258940788168</v>
      </c>
      <c r="M31" s="63">
        <f t="shared" si="1"/>
        <v>0.38452639428074376</v>
      </c>
      <c r="N31" s="63">
        <f t="shared" si="2"/>
        <v>0.14206122787748598</v>
      </c>
      <c r="O31" s="63" t="s">
        <v>376</v>
      </c>
      <c r="P31" s="51" t="s">
        <v>535</v>
      </c>
      <c r="Q31" s="51"/>
      <c r="R31" s="51" t="s">
        <v>247</v>
      </c>
      <c r="S31" s="51" t="s">
        <v>247</v>
      </c>
      <c r="T31" s="51"/>
      <c r="U31" s="51" t="s">
        <v>377</v>
      </c>
      <c r="V31" s="51" t="s">
        <v>536</v>
      </c>
    </row>
    <row r="32" spans="1:22" s="20" customFormat="1">
      <c r="A32" s="20" t="s">
        <v>373</v>
      </c>
      <c r="B32" s="20" t="str">
        <f>'Church 2003'!A89</f>
        <v>Southern Ocean Winter</v>
      </c>
      <c r="C32" s="20">
        <f>'Church 2003'!B89</f>
        <v>452.038279031711</v>
      </c>
      <c r="D32" s="20">
        <f>'Church 2003'!C89</f>
        <v>78781.993076836996</v>
      </c>
      <c r="E32" s="20">
        <f>'Church 2003'!D89</f>
        <v>443.62432786476501</v>
      </c>
      <c r="F32" s="20">
        <f>'Church 2003'!E89</f>
        <v>6745.8662012653003</v>
      </c>
      <c r="G32" s="20">
        <f>'Church 2003'!F89</f>
        <v>374.55178790284799</v>
      </c>
      <c r="H32" s="20">
        <f>'Church 2003'!G89</f>
        <v>957.86716795618395</v>
      </c>
      <c r="I32" s="51">
        <f>'Church 2003'!C89</f>
        <v>78781.993076836996</v>
      </c>
      <c r="J32" s="51">
        <f>'Church 2003'!J89</f>
        <v>65080.199005212002</v>
      </c>
      <c r="K32" s="51">
        <f>'Church 2003'!H89</f>
        <v>7703.7333692214843</v>
      </c>
      <c r="L32" s="51">
        <f t="shared" si="0"/>
        <v>72783.932374433483</v>
      </c>
      <c r="M32" s="63">
        <f t="shared" si="1"/>
        <v>0.92386508048160787</v>
      </c>
      <c r="N32" s="63">
        <f t="shared" si="2"/>
        <v>0.1058438740241458</v>
      </c>
      <c r="O32" s="63" t="s">
        <v>376</v>
      </c>
      <c r="P32" s="51" t="s">
        <v>535</v>
      </c>
      <c r="Q32" s="51"/>
      <c r="R32" s="51" t="s">
        <v>247</v>
      </c>
      <c r="S32" s="51" t="s">
        <v>247</v>
      </c>
      <c r="T32" s="51"/>
      <c r="U32" s="51" t="s">
        <v>377</v>
      </c>
      <c r="V32" s="51" t="s">
        <v>536</v>
      </c>
    </row>
    <row r="33" spans="1:22" s="20" customFormat="1">
      <c r="A33" s="20" t="s">
        <v>373</v>
      </c>
      <c r="B33" s="20" t="str">
        <f>'Church 2003'!A90</f>
        <v>Southern Ocean Winter</v>
      </c>
      <c r="C33" s="20">
        <f>'Church 2003'!B90</f>
        <v>491.50033771525699</v>
      </c>
      <c r="D33" s="20">
        <f>'Church 2003'!C90</f>
        <v>28041.4730357587</v>
      </c>
      <c r="E33" s="20">
        <f>'Church 2003'!D90</f>
        <v>489.54813509541401</v>
      </c>
      <c r="F33" s="20">
        <f>'Church 2003'!E90</f>
        <v>4859.5228660232297</v>
      </c>
      <c r="G33" s="20">
        <f>'Church 2003'!F90</f>
        <v>459.71142220837601</v>
      </c>
      <c r="H33" s="20">
        <f>'Church 2003'!G90</f>
        <v>7593.7507496855396</v>
      </c>
      <c r="I33" s="51">
        <f>'Church 2003'!C90</f>
        <v>28041.4730357587</v>
      </c>
      <c r="J33" s="51">
        <f>'Church 2003'!J90</f>
        <v>21230.6057591217</v>
      </c>
      <c r="K33" s="51">
        <f>'Church 2003'!H90</f>
        <v>12453.273615708769</v>
      </c>
      <c r="L33" s="51">
        <f t="shared" si="0"/>
        <v>33683.879374830467</v>
      </c>
      <c r="M33" s="63">
        <f t="shared" si="1"/>
        <v>1.2012164743227478</v>
      </c>
      <c r="N33" s="63">
        <f t="shared" si="2"/>
        <v>0.36971019510936148</v>
      </c>
      <c r="O33" s="63" t="s">
        <v>376</v>
      </c>
      <c r="P33" s="51" t="s">
        <v>535</v>
      </c>
      <c r="Q33" s="51"/>
      <c r="R33" s="51" t="s">
        <v>247</v>
      </c>
      <c r="S33" s="51" t="s">
        <v>247</v>
      </c>
      <c r="T33" s="51"/>
      <c r="U33" s="51" t="s">
        <v>377</v>
      </c>
      <c r="V33" s="51" t="s">
        <v>536</v>
      </c>
    </row>
    <row r="34" spans="1:22" s="20" customFormat="1">
      <c r="A34" s="20" t="s">
        <v>373</v>
      </c>
      <c r="B34" s="20" t="str">
        <f>'Church 2003'!A110</f>
        <v>Southern Ocean Summer</v>
      </c>
      <c r="C34" s="20">
        <f>'Church 2003'!B110</f>
        <v>493.979614535216</v>
      </c>
      <c r="D34" s="20">
        <f>'Church 2003'!C110</f>
        <v>212431.24680177099</v>
      </c>
      <c r="E34" s="20">
        <f>'Church 2003'!D110</f>
        <v>504.852097440139</v>
      </c>
      <c r="F34" s="20">
        <f>'Church 2003'!E110</f>
        <v>6754.2922937886096</v>
      </c>
      <c r="G34" s="20">
        <f>'Church 2003'!F110</f>
        <v>508.742575337951</v>
      </c>
      <c r="H34" s="20">
        <f>'Church 2003'!G110</f>
        <v>639.28078516551329</v>
      </c>
      <c r="I34" s="51">
        <f>'Church 2003'!C110</f>
        <v>212431.24680177099</v>
      </c>
      <c r="J34" s="51">
        <f>'Church 2003'!J110</f>
        <v>117764.37202498018</v>
      </c>
      <c r="K34" s="51">
        <f>'Church 2003'!H110</f>
        <v>7393.573078954123</v>
      </c>
      <c r="L34" s="51">
        <f t="shared" si="0"/>
        <v>125157.94510393431</v>
      </c>
      <c r="M34" s="63">
        <f t="shared" si="1"/>
        <v>0.58916918762297121</v>
      </c>
      <c r="N34" s="63">
        <f t="shared" si="2"/>
        <v>5.907394111348116E-2</v>
      </c>
      <c r="O34" s="63" t="s">
        <v>376</v>
      </c>
      <c r="P34" s="51" t="s">
        <v>535</v>
      </c>
      <c r="Q34" s="51"/>
      <c r="R34" s="51" t="s">
        <v>247</v>
      </c>
      <c r="S34" s="51" t="s">
        <v>247</v>
      </c>
      <c r="T34" s="51"/>
      <c r="U34" s="51" t="s">
        <v>377</v>
      </c>
      <c r="V34" s="51" t="s">
        <v>536</v>
      </c>
    </row>
    <row r="35" spans="1:22" s="20" customFormat="1">
      <c r="A35" s="20" t="s">
        <v>373</v>
      </c>
      <c r="B35" s="20" t="str">
        <f>'Church 2003'!A91</f>
        <v>Southern Ocean Winter</v>
      </c>
      <c r="C35" s="20">
        <f>'Church 2003'!B91</f>
        <v>686.93912336179199</v>
      </c>
      <c r="D35" s="20">
        <f>'Church 2003'!C91</f>
        <v>45008.678682830199</v>
      </c>
      <c r="E35" s="20">
        <f>'Church 2003'!D91</f>
        <v>698.15839596609101</v>
      </c>
      <c r="F35" s="20">
        <f>'Church 2003'!E91</f>
        <v>5516.3712955056799</v>
      </c>
      <c r="G35" s="20">
        <f>'Church 2003'!F91</f>
        <v>508.16360618958902</v>
      </c>
      <c r="H35" s="20">
        <f>'Church 2003'!G91</f>
        <v>1756.8997714541099</v>
      </c>
      <c r="I35" s="51">
        <f>'Church 2003'!C91</f>
        <v>45008.678682830199</v>
      </c>
      <c r="J35" s="51">
        <f>'Church 2003'!J91</f>
        <v>41455.858349485898</v>
      </c>
      <c r="K35" s="51">
        <f>'Church 2003'!H91</f>
        <v>7273.27106695979</v>
      </c>
      <c r="L35" s="51">
        <f t="shared" si="0"/>
        <v>48729.129416445685</v>
      </c>
      <c r="M35" s="63">
        <f t="shared" si="1"/>
        <v>1.0826607410502533</v>
      </c>
      <c r="N35" s="63">
        <f t="shared" si="2"/>
        <v>0.14925920397225731</v>
      </c>
      <c r="O35" s="63" t="s">
        <v>376</v>
      </c>
      <c r="P35" s="51" t="s">
        <v>535</v>
      </c>
      <c r="Q35" s="51"/>
      <c r="R35" s="51" t="s">
        <v>247</v>
      </c>
      <c r="S35" s="51" t="s">
        <v>247</v>
      </c>
      <c r="T35" s="51"/>
      <c r="U35" s="51" t="s">
        <v>377</v>
      </c>
      <c r="V35" s="51" t="s">
        <v>536</v>
      </c>
    </row>
    <row r="36" spans="1:22" s="20" customFormat="1">
      <c r="A36" s="20" t="s">
        <v>373</v>
      </c>
      <c r="B36" s="20" t="str">
        <f>'Church 2003'!A92</f>
        <v>Southern Ocean Winter</v>
      </c>
      <c r="C36" s="20">
        <f>'Church 2003'!B92</f>
        <v>750.029780624056</v>
      </c>
      <c r="D36" s="20">
        <f>'Church 2003'!C92</f>
        <v>68143.375982478698</v>
      </c>
      <c r="E36" s="20">
        <f>'Church 2003'!D92</f>
        <v>745.78432983739503</v>
      </c>
      <c r="F36" s="20">
        <f>'Church 2003'!E92</f>
        <v>4139.3314294714501</v>
      </c>
      <c r="G36" s="20">
        <f>'Church 2003'!F92</f>
        <v>691.53470070417302</v>
      </c>
      <c r="H36" s="20">
        <f>'Church 2003'!G92</f>
        <v>877.95088292415699</v>
      </c>
      <c r="I36" s="51">
        <f>'Church 2003'!C92</f>
        <v>68143.375982478698</v>
      </c>
      <c r="J36" s="51">
        <f>'Church 2003'!J92</f>
        <v>50188.732749887196</v>
      </c>
      <c r="K36" s="51">
        <f>'Church 2003'!H92</f>
        <v>5017.2823123956068</v>
      </c>
      <c r="L36" s="51">
        <f t="shared" si="0"/>
        <v>55206.0150622828</v>
      </c>
      <c r="M36" s="63">
        <f t="shared" si="1"/>
        <v>0.81014499599311895</v>
      </c>
      <c r="N36" s="63">
        <f t="shared" si="2"/>
        <v>9.0882892140198235E-2</v>
      </c>
      <c r="O36" s="63" t="s">
        <v>376</v>
      </c>
      <c r="P36" s="51" t="s">
        <v>535</v>
      </c>
      <c r="Q36" s="51"/>
      <c r="R36" s="51" t="s">
        <v>247</v>
      </c>
      <c r="S36" s="51" t="s">
        <v>247</v>
      </c>
      <c r="T36" s="51"/>
      <c r="U36" s="51" t="s">
        <v>377</v>
      </c>
      <c r="V36" s="51" t="s">
        <v>536</v>
      </c>
    </row>
    <row r="37" spans="1:22" s="20" customFormat="1">
      <c r="A37" s="20" t="s">
        <v>373</v>
      </c>
      <c r="B37" s="20" t="str">
        <f>'Church 2003'!A93</f>
        <v>Southern Ocean Winter</v>
      </c>
      <c r="C37" s="20">
        <f>'Church 2003'!B93</f>
        <v>790.96939741735696</v>
      </c>
      <c r="D37" s="20">
        <f>'Church 2003'!C93</f>
        <v>12693.621406484401</v>
      </c>
      <c r="E37" s="20">
        <f>'Church 2003'!D93</f>
        <v>784.94427218395901</v>
      </c>
      <c r="F37" s="20">
        <f>'Church 2003'!E93</f>
        <v>2328.8675701932202</v>
      </c>
      <c r="G37" s="20">
        <f>'Church 2003'!F93</f>
        <v>774.05536372070605</v>
      </c>
      <c r="H37" s="20">
        <f>'Church 2003'!G93</f>
        <v>951.25554015255796</v>
      </c>
      <c r="I37" s="51">
        <f>'Church 2003'!C93</f>
        <v>12693.621406484401</v>
      </c>
      <c r="J37" s="51">
        <f>'Church 2003'!J93</f>
        <v>9212.4986020615397</v>
      </c>
      <c r="K37" s="51">
        <f>'Church 2003'!H93</f>
        <v>3280.1231103457781</v>
      </c>
      <c r="L37" s="51">
        <f t="shared" si="0"/>
        <v>12492.621712407317</v>
      </c>
      <c r="M37" s="63">
        <f t="shared" si="1"/>
        <v>0.98416529943343001</v>
      </c>
      <c r="N37" s="63">
        <f t="shared" si="2"/>
        <v>0.262564831134529</v>
      </c>
      <c r="O37" s="63" t="s">
        <v>376</v>
      </c>
      <c r="P37" s="51" t="s">
        <v>535</v>
      </c>
      <c r="Q37" s="51"/>
      <c r="R37" s="51" t="s">
        <v>247</v>
      </c>
      <c r="S37" s="51" t="s">
        <v>247</v>
      </c>
      <c r="T37" s="51"/>
      <c r="U37" s="51" t="s">
        <v>377</v>
      </c>
      <c r="V37" s="51" t="s">
        <v>536</v>
      </c>
    </row>
    <row r="38" spans="1:22" s="20" customFormat="1">
      <c r="A38" s="20" t="s">
        <v>373</v>
      </c>
      <c r="B38" s="20" t="str">
        <f>'Church 2003'!A111</f>
        <v>Southern Ocean Summer</v>
      </c>
      <c r="C38" s="20">
        <f>'Church 2003'!B111</f>
        <v>866.37200350443902</v>
      </c>
      <c r="D38" s="20">
        <f>'Church 2003'!C111</f>
        <v>99127.967031262597</v>
      </c>
      <c r="E38" s="20">
        <f>'Church 2003'!D111</f>
        <v>869.54080383216399</v>
      </c>
      <c r="F38" s="20">
        <f>'Church 2003'!E111</f>
        <v>23311.701737487401</v>
      </c>
      <c r="G38" s="20">
        <f>'Church 2003'!F111</f>
        <v>893.64429403873896</v>
      </c>
      <c r="H38" s="20">
        <f>'Church 2003'!G111</f>
        <v>1819.93054487824</v>
      </c>
      <c r="I38" s="51">
        <f>'Church 2003'!C111</f>
        <v>99127.967031262597</v>
      </c>
      <c r="J38" s="51">
        <f>'Church 2003'!J111</f>
        <v>58820.372368705503</v>
      </c>
      <c r="K38" s="51">
        <f>'Church 2003'!H111</f>
        <v>25131.632282365641</v>
      </c>
      <c r="L38" s="51">
        <f t="shared" si="0"/>
        <v>83952.00465107114</v>
      </c>
      <c r="M38" s="63">
        <f t="shared" si="1"/>
        <v>0.84690534029205577</v>
      </c>
      <c r="N38" s="63">
        <f t="shared" si="2"/>
        <v>0.2993571432489312</v>
      </c>
      <c r="O38" s="63" t="s">
        <v>376</v>
      </c>
      <c r="P38" s="51" t="s">
        <v>535</v>
      </c>
      <c r="Q38" s="51"/>
      <c r="R38" s="51" t="s">
        <v>247</v>
      </c>
      <c r="S38" s="51" t="s">
        <v>247</v>
      </c>
      <c r="T38" s="51"/>
      <c r="U38" s="51" t="s">
        <v>377</v>
      </c>
      <c r="V38" s="51" t="s">
        <v>536</v>
      </c>
    </row>
    <row r="39" spans="1:22" s="20" customFormat="1">
      <c r="A39" s="20" t="s">
        <v>373</v>
      </c>
      <c r="B39" s="20" t="str">
        <f>'Church 2003'!A112</f>
        <v>Southern Ocean Summer</v>
      </c>
      <c r="C39" s="20">
        <f>'Church 2003'!B112</f>
        <v>980.35505833579396</v>
      </c>
      <c r="D39" s="20">
        <f>'Church 2003'!C112</f>
        <v>116316.843777243</v>
      </c>
      <c r="E39" s="20">
        <f>'Church 2003'!D112</f>
        <v>975.00099538274901</v>
      </c>
      <c r="F39" s="20">
        <f>'Church 2003'!E112</f>
        <v>17500.642245859999</v>
      </c>
      <c r="G39" s="20">
        <f>'Church 2003'!F112</f>
        <v>984.46294352812004</v>
      </c>
      <c r="H39" s="20">
        <f>'Church 2003'!G112</f>
        <v>1818.25058344134</v>
      </c>
      <c r="I39" s="51">
        <f>'Church 2003'!C112</f>
        <v>116316.843777243</v>
      </c>
      <c r="J39" s="51">
        <f>'Church 2003'!J112</f>
        <v>91962.067872155094</v>
      </c>
      <c r="K39" s="51">
        <f>'Church 2003'!H112</f>
        <v>19318.892829301338</v>
      </c>
      <c r="L39" s="51">
        <f t="shared" si="0"/>
        <v>111280.96070145644</v>
      </c>
      <c r="M39" s="63">
        <f t="shared" si="1"/>
        <v>0.95670547005702178</v>
      </c>
      <c r="N39" s="63">
        <f t="shared" si="2"/>
        <v>0.1736046553473769</v>
      </c>
      <c r="O39" s="63" t="s">
        <v>376</v>
      </c>
      <c r="P39" s="51" t="s">
        <v>535</v>
      </c>
      <c r="Q39" s="51"/>
      <c r="R39" s="51" t="s">
        <v>247</v>
      </c>
      <c r="S39" s="51" t="s">
        <v>247</v>
      </c>
      <c r="T39" s="51"/>
      <c r="U39" s="51" t="s">
        <v>377</v>
      </c>
      <c r="V39" s="51" t="s">
        <v>536</v>
      </c>
    </row>
    <row r="40" spans="1:22" s="20" customFormat="1">
      <c r="A40" s="20" t="s">
        <v>373</v>
      </c>
      <c r="B40" s="20" t="str">
        <f>'Church 2003'!A94</f>
        <v>Southern Ocean Winter</v>
      </c>
      <c r="C40" s="20">
        <f>'Church 2003'!B94</f>
        <v>2324.6165972611798</v>
      </c>
      <c r="D40" s="20">
        <f>'Church 2003'!C94</f>
        <v>14482.965474279201</v>
      </c>
      <c r="E40" s="20">
        <f>'Church 2003'!D94</f>
        <v>2317.8488575599599</v>
      </c>
      <c r="F40" s="20">
        <f>'Church 2003'!E94</f>
        <v>2353.3423704204502</v>
      </c>
      <c r="G40" s="20">
        <f>'Church 2003'!F94</f>
        <v>2435.5361936336099</v>
      </c>
      <c r="H40" s="20">
        <f>'Church 2003'!G94</f>
        <v>626.724371813017</v>
      </c>
      <c r="I40" s="51">
        <f>'Church 2003'!C94</f>
        <v>14482.965474279201</v>
      </c>
      <c r="J40" s="51">
        <f>'Church 2003'!J94</f>
        <v>12582.216640169599</v>
      </c>
      <c r="K40" s="51">
        <f>'Church 2003'!H94</f>
        <v>2980.0667422334673</v>
      </c>
      <c r="L40" s="51">
        <f t="shared" si="0"/>
        <v>15562.283382403068</v>
      </c>
      <c r="M40" s="63">
        <f t="shared" si="1"/>
        <v>1.0745232673543732</v>
      </c>
      <c r="N40" s="63">
        <f t="shared" si="2"/>
        <v>0.191492897861194</v>
      </c>
      <c r="O40" s="63" t="s">
        <v>376</v>
      </c>
      <c r="P40" s="51" t="s">
        <v>535</v>
      </c>
      <c r="Q40" s="51"/>
      <c r="R40" s="51" t="s">
        <v>247</v>
      </c>
      <c r="S40" s="51" t="s">
        <v>247</v>
      </c>
      <c r="T40" s="51"/>
      <c r="U40" s="51" t="s">
        <v>377</v>
      </c>
      <c r="V40" s="51" t="s">
        <v>536</v>
      </c>
    </row>
    <row r="41" spans="1:22" s="20" customFormat="1">
      <c r="A41" s="20" t="s">
        <v>373</v>
      </c>
      <c r="B41" s="20" t="str">
        <f>'Church 2003'!A113</f>
        <v>Southern Ocean Summer</v>
      </c>
      <c r="C41" s="20">
        <f>'Church 2003'!B113</f>
        <v>3412.34665456214</v>
      </c>
      <c r="D41" s="20">
        <f>'Church 2003'!C113</f>
        <v>38045.223726480697</v>
      </c>
      <c r="E41" s="20">
        <f>'Church 2003'!D113</f>
        <v>3497.9112185423301</v>
      </c>
      <c r="F41" s="20">
        <f>'Church 2003'!E113</f>
        <v>15030.802036655799</v>
      </c>
      <c r="G41" s="20">
        <f>'Church 2003'!F113</f>
        <v>3411.0790304617899</v>
      </c>
      <c r="H41" s="20">
        <f>'Church 2003'!G113</f>
        <v>1408.0622325138199</v>
      </c>
      <c r="I41" s="51">
        <f>'Church 2003'!C113</f>
        <v>38045.223726480697</v>
      </c>
      <c r="J41" s="51">
        <f>'Church 2003'!J113</f>
        <v>23032.4619482241</v>
      </c>
      <c r="K41" s="51">
        <f>'Church 2003'!H113</f>
        <v>16438.864269169619</v>
      </c>
      <c r="L41" s="51">
        <f t="shared" si="0"/>
        <v>39471.326217393718</v>
      </c>
      <c r="M41" s="63">
        <f t="shared" si="1"/>
        <v>1.0374844028035091</v>
      </c>
      <c r="N41" s="63">
        <f t="shared" si="2"/>
        <v>0.41647610669655055</v>
      </c>
      <c r="O41" s="63" t="s">
        <v>376</v>
      </c>
      <c r="P41" s="51" t="s">
        <v>535</v>
      </c>
      <c r="Q41" s="51"/>
      <c r="R41" s="51" t="s">
        <v>247</v>
      </c>
      <c r="S41" s="51" t="s">
        <v>247</v>
      </c>
      <c r="T41" s="51"/>
      <c r="U41" s="51" t="s">
        <v>377</v>
      </c>
      <c r="V41" s="51" t="s">
        <v>536</v>
      </c>
    </row>
    <row r="42" spans="1:22" s="20" customFormat="1">
      <c r="A42" s="20" t="s">
        <v>442</v>
      </c>
      <c r="B42" s="20" t="str">
        <f>'Pernthaler 2002b'!A6</f>
        <v>Monterey Bay, April 2000</v>
      </c>
      <c r="C42" s="20">
        <f>'Pernthaler 2002b'!C6</f>
        <v>0</v>
      </c>
      <c r="I42" s="51"/>
      <c r="J42" s="51"/>
      <c r="K42" s="51"/>
      <c r="L42" s="51"/>
      <c r="M42" s="63">
        <f>'Pernthaler 2002b'!J6</f>
        <v>0.94877505567928611</v>
      </c>
      <c r="N42" s="63">
        <f>'Pernthaler 2002b'!K6</f>
        <v>0.13003198473710725</v>
      </c>
      <c r="O42" s="63" t="s">
        <v>376</v>
      </c>
      <c r="P42" s="51" t="s">
        <v>535</v>
      </c>
      <c r="Q42" s="51" t="s">
        <v>534</v>
      </c>
      <c r="R42" s="51" t="s">
        <v>247</v>
      </c>
      <c r="S42" s="51" t="s">
        <v>247</v>
      </c>
      <c r="T42" s="51" t="s">
        <v>412</v>
      </c>
      <c r="U42" s="20" t="s">
        <v>245</v>
      </c>
      <c r="V42" s="20" t="s">
        <v>444</v>
      </c>
    </row>
    <row r="43" spans="1:22" s="20" customFormat="1">
      <c r="A43" s="20" t="s">
        <v>442</v>
      </c>
      <c r="B43" s="20" t="str">
        <f>'Pernthaler 2002b'!A7</f>
        <v>Monterey Bay, April 2000</v>
      </c>
      <c r="C43" s="20">
        <f>'Pernthaler 2002b'!C7</f>
        <v>20.0357957850463</v>
      </c>
      <c r="I43" s="51"/>
      <c r="J43" s="51"/>
      <c r="K43" s="51"/>
      <c r="L43" s="51"/>
      <c r="M43" s="63">
        <f>'Pernthaler 2002b'!J7</f>
        <v>0.89000434786466598</v>
      </c>
      <c r="N43" s="63">
        <f>'Pernthaler 2002b'!K7</f>
        <v>5.3637692342969768E-3</v>
      </c>
      <c r="O43" s="63" t="s">
        <v>376</v>
      </c>
      <c r="P43" s="51" t="s">
        <v>535</v>
      </c>
      <c r="Q43" s="51" t="s">
        <v>534</v>
      </c>
      <c r="R43" s="51" t="s">
        <v>247</v>
      </c>
      <c r="S43" s="51" t="s">
        <v>247</v>
      </c>
      <c r="T43" s="51" t="s">
        <v>412</v>
      </c>
      <c r="U43" s="20" t="s">
        <v>245</v>
      </c>
      <c r="V43" s="20" t="s">
        <v>444</v>
      </c>
    </row>
    <row r="44" spans="1:22" s="20" customFormat="1">
      <c r="A44" s="20" t="s">
        <v>442</v>
      </c>
      <c r="B44" s="20" t="str">
        <f>'Pernthaler 2002b'!A8</f>
        <v>Monterey Bay, April 2000</v>
      </c>
      <c r="C44" s="20">
        <f>'Pernthaler 2002b'!C8</f>
        <v>40.083672647545697</v>
      </c>
      <c r="I44" s="51"/>
      <c r="J44" s="51"/>
      <c r="K44" s="51"/>
      <c r="L44" s="51"/>
      <c r="M44" s="63">
        <f>'Pernthaler 2002b'!J8</f>
        <v>0.71498948526606243</v>
      </c>
      <c r="N44" s="63">
        <f>'Pernthaler 2002b'!K8</f>
        <v>0.12175441122084506</v>
      </c>
      <c r="O44" s="63" t="s">
        <v>376</v>
      </c>
      <c r="P44" s="51" t="s">
        <v>535</v>
      </c>
      <c r="Q44" s="51" t="s">
        <v>534</v>
      </c>
      <c r="R44" s="51" t="s">
        <v>247</v>
      </c>
      <c r="S44" s="51" t="s">
        <v>247</v>
      </c>
      <c r="T44" s="51" t="s">
        <v>412</v>
      </c>
      <c r="U44" s="20" t="s">
        <v>245</v>
      </c>
      <c r="V44" s="20" t="s">
        <v>444</v>
      </c>
    </row>
    <row r="45" spans="1:22" s="20" customFormat="1">
      <c r="A45" s="20" t="s">
        <v>442</v>
      </c>
      <c r="B45" s="20" t="str">
        <f>'Pernthaler 2002b'!A9</f>
        <v>Monterey Bay, April 2000</v>
      </c>
      <c r="C45" s="20">
        <f>'Pernthaler 2002b'!C9</f>
        <v>99.962861873014404</v>
      </c>
      <c r="I45" s="51"/>
      <c r="J45" s="51"/>
      <c r="K45" s="51"/>
      <c r="L45" s="51"/>
      <c r="M45" s="63">
        <f>'Pernthaler 2002b'!J9</f>
        <v>0.73534104118048871</v>
      </c>
      <c r="N45" s="63">
        <f>'Pernthaler 2002b'!K9</f>
        <v>0.12228467447467253</v>
      </c>
      <c r="O45" s="63" t="s">
        <v>376</v>
      </c>
      <c r="P45" s="51" t="s">
        <v>535</v>
      </c>
      <c r="Q45" s="51" t="s">
        <v>534</v>
      </c>
      <c r="R45" s="51" t="s">
        <v>247</v>
      </c>
      <c r="S45" s="51" t="s">
        <v>247</v>
      </c>
      <c r="T45" s="51" t="s">
        <v>412</v>
      </c>
      <c r="U45" s="20" t="s">
        <v>245</v>
      </c>
      <c r="V45" s="20" t="s">
        <v>444</v>
      </c>
    </row>
    <row r="46" spans="1:22" s="20" customFormat="1">
      <c r="A46" s="20" t="s">
        <v>442</v>
      </c>
      <c r="B46" s="20" t="str">
        <f>'Pernthaler 2002b'!A10</f>
        <v>Monterey Bay, April 2000</v>
      </c>
      <c r="C46" s="20">
        <f>'Pernthaler 2002b'!C10</f>
        <v>200.82643518725601</v>
      </c>
      <c r="I46" s="51"/>
      <c r="J46" s="51"/>
      <c r="K46" s="51"/>
      <c r="L46" s="51"/>
      <c r="M46" s="63">
        <f>'Pernthaler 2002b'!J10</f>
        <v>0.99718542311821612</v>
      </c>
      <c r="N46" s="63">
        <f>'Pernthaler 2002b'!K10</f>
        <v>0.32419840223238972</v>
      </c>
      <c r="O46" s="63" t="s">
        <v>376</v>
      </c>
      <c r="P46" s="51" t="s">
        <v>535</v>
      </c>
      <c r="Q46" s="51" t="s">
        <v>534</v>
      </c>
      <c r="R46" s="51" t="s">
        <v>247</v>
      </c>
      <c r="S46" s="51" t="s">
        <v>247</v>
      </c>
      <c r="T46" s="51" t="s">
        <v>412</v>
      </c>
      <c r="U46" s="20" t="s">
        <v>245</v>
      </c>
      <c r="V46" s="20" t="s">
        <v>444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3"/>
  <sheetViews>
    <sheetView topLeftCell="A54" workbookViewId="0">
      <selection activeCell="B74" sqref="B74"/>
    </sheetView>
  </sheetViews>
  <sheetFormatPr baseColWidth="10" defaultRowHeight="13" x14ac:dyDescent="0"/>
  <cols>
    <col min="1" max="1" width="19.85546875" customWidth="1"/>
  </cols>
  <sheetData>
    <row r="1" spans="1:40">
      <c r="A1" t="s">
        <v>282</v>
      </c>
      <c r="B1" t="s">
        <v>283</v>
      </c>
    </row>
    <row r="2" spans="1:40">
      <c r="A2" t="s">
        <v>284</v>
      </c>
    </row>
    <row r="4" spans="1:40">
      <c r="B4" t="s">
        <v>289</v>
      </c>
      <c r="D4" t="s">
        <v>288</v>
      </c>
      <c r="G4" t="s">
        <v>290</v>
      </c>
      <c r="I4" t="s">
        <v>288</v>
      </c>
      <c r="L4" t="s">
        <v>292</v>
      </c>
      <c r="N4" t="s">
        <v>288</v>
      </c>
      <c r="Q4" t="s">
        <v>193</v>
      </c>
      <c r="S4" t="s">
        <v>288</v>
      </c>
      <c r="V4" t="s">
        <v>200</v>
      </c>
      <c r="AA4" t="s">
        <v>204</v>
      </c>
      <c r="AF4" t="s">
        <v>205</v>
      </c>
      <c r="AK4" t="s">
        <v>211</v>
      </c>
    </row>
    <row r="5" spans="1:40" s="55" customFormat="1" ht="39">
      <c r="B5" s="55" t="s">
        <v>520</v>
      </c>
      <c r="C5" s="55" t="s">
        <v>286</v>
      </c>
      <c r="D5" s="55" t="s">
        <v>520</v>
      </c>
      <c r="E5" s="55" t="s">
        <v>287</v>
      </c>
      <c r="G5" s="55" t="s">
        <v>520</v>
      </c>
      <c r="H5" s="55" t="s">
        <v>286</v>
      </c>
      <c r="I5" s="55" t="s">
        <v>520</v>
      </c>
      <c r="J5" s="55" t="s">
        <v>287</v>
      </c>
      <c r="L5" s="55" t="s">
        <v>520</v>
      </c>
      <c r="M5" s="55" t="s">
        <v>291</v>
      </c>
      <c r="N5" s="55" t="s">
        <v>520</v>
      </c>
      <c r="O5" s="55" t="s">
        <v>192</v>
      </c>
      <c r="Q5" s="55" t="s">
        <v>520</v>
      </c>
      <c r="R5" s="55" t="s">
        <v>291</v>
      </c>
      <c r="S5" s="55" t="s">
        <v>520</v>
      </c>
      <c r="T5" s="55" t="s">
        <v>192</v>
      </c>
      <c r="V5" s="55" t="s">
        <v>520</v>
      </c>
      <c r="W5" s="55" t="s">
        <v>201</v>
      </c>
      <c r="X5" s="55" t="s">
        <v>520</v>
      </c>
      <c r="Y5" s="55" t="s">
        <v>202</v>
      </c>
      <c r="AA5" s="55" t="s">
        <v>520</v>
      </c>
      <c r="AB5" s="55" t="s">
        <v>201</v>
      </c>
      <c r="AC5" s="55" t="s">
        <v>520</v>
      </c>
      <c r="AD5" s="55" t="s">
        <v>202</v>
      </c>
      <c r="AF5" s="55" t="s">
        <v>520</v>
      </c>
      <c r="AG5" s="55" t="s">
        <v>206</v>
      </c>
      <c r="AH5" s="55" t="s">
        <v>520</v>
      </c>
      <c r="AI5" s="55" t="s">
        <v>207</v>
      </c>
      <c r="AK5" s="55" t="s">
        <v>520</v>
      </c>
      <c r="AL5" s="55" t="s">
        <v>206</v>
      </c>
      <c r="AM5" s="55" t="s">
        <v>520</v>
      </c>
      <c r="AN5" s="55" t="s">
        <v>207</v>
      </c>
    </row>
    <row r="6" spans="1:40">
      <c r="B6">
        <v>2.0097711959402802</v>
      </c>
      <c r="C6" s="52">
        <v>75617.120902594295</v>
      </c>
      <c r="D6">
        <f>B6</f>
        <v>2.0097711959402802</v>
      </c>
      <c r="E6" s="52">
        <f>AVERAGE(C6:C8)</f>
        <v>106268.78236075731</v>
      </c>
      <c r="G6">
        <v>0.98882648996223999</v>
      </c>
      <c r="H6" s="52">
        <v>380572.56617214001</v>
      </c>
      <c r="I6">
        <f>G6</f>
        <v>0.98882648996223999</v>
      </c>
      <c r="J6" s="52">
        <f>AVERAGE(H6:H18)</f>
        <v>443026.65889663924</v>
      </c>
      <c r="L6">
        <v>1.90836084791281</v>
      </c>
      <c r="M6">
        <v>10922.774225658501</v>
      </c>
      <c r="N6">
        <f>L6</f>
        <v>1.90836084791281</v>
      </c>
      <c r="O6">
        <f>AVERAGE(M6:M8)</f>
        <v>11428.689194718143</v>
      </c>
      <c r="Q6">
        <v>0.96410557067788905</v>
      </c>
      <c r="R6">
        <v>813.71035766852901</v>
      </c>
      <c r="S6">
        <f>Q7</f>
        <v>0.96800865994244401</v>
      </c>
      <c r="T6">
        <f>AVERAGE(R6:R15)</f>
        <v>4238.64362992102</v>
      </c>
      <c r="V6">
        <v>2.0078541604504001</v>
      </c>
      <c r="W6">
        <v>2461.5432393522101</v>
      </c>
      <c r="X6">
        <f>V6</f>
        <v>2.0078541604504001</v>
      </c>
      <c r="Y6">
        <f>AVERAGE(W6:W9)</f>
        <v>5774.6320055391298</v>
      </c>
      <c r="AA6">
        <v>0.99517226899272204</v>
      </c>
      <c r="AB6">
        <v>84.998290627443396</v>
      </c>
      <c r="AC6">
        <f>AA6</f>
        <v>0.99517226899272204</v>
      </c>
      <c r="AD6">
        <f>AVERAGE(AB6:AB14)</f>
        <v>6124.3870426528201</v>
      </c>
      <c r="AF6">
        <v>2.0429427962612601</v>
      </c>
      <c r="AG6">
        <v>44714.4734598379</v>
      </c>
      <c r="AH6">
        <f>AF6</f>
        <v>2.0429427962612601</v>
      </c>
      <c r="AI6">
        <f>AVERAGE(AG6:AG8)</f>
        <v>65549.027909129858</v>
      </c>
      <c r="AK6">
        <v>1.0068683034511301</v>
      </c>
      <c r="AL6">
        <v>54461.428712510497</v>
      </c>
      <c r="AM6">
        <f>AK6</f>
        <v>1.0068683034511301</v>
      </c>
      <c r="AN6">
        <f>AVERAGE(AL6:AL13)</f>
        <v>454628.05485924095</v>
      </c>
    </row>
    <row r="7" spans="1:40">
      <c r="B7">
        <v>2.0307500195585999</v>
      </c>
      <c r="C7" s="52">
        <v>90043.708590752605</v>
      </c>
      <c r="D7">
        <f>B9</f>
        <v>3.0186261591597101</v>
      </c>
      <c r="E7" s="52">
        <f>C9</f>
        <v>47485.317673527599</v>
      </c>
      <c r="G7">
        <v>0.98882648996224198</v>
      </c>
      <c r="H7" s="52">
        <v>508885.930679754</v>
      </c>
      <c r="I7">
        <f>G19</f>
        <v>2.9740690178248101</v>
      </c>
      <c r="J7" s="52">
        <f>H19</f>
        <v>181584.49580028601</v>
      </c>
      <c r="L7">
        <v>1.91166809036837</v>
      </c>
      <c r="M7">
        <v>7544.42128694643</v>
      </c>
      <c r="N7">
        <f>L9</f>
        <v>2.9251766916588</v>
      </c>
      <c r="O7">
        <f>M9</f>
        <v>2496.1275409387599</v>
      </c>
      <c r="Q7">
        <v>0.96800865994244401</v>
      </c>
      <c r="R7">
        <v>10851.425312783</v>
      </c>
      <c r="S7">
        <f>Q16</f>
        <v>4.7694114952781499</v>
      </c>
      <c r="T7">
        <f>AVERAGE(R16:R18)</f>
        <v>7413.7361527198336</v>
      </c>
      <c r="V7">
        <v>1.9740379132157</v>
      </c>
      <c r="W7">
        <v>3548.9622818764901</v>
      </c>
      <c r="X7">
        <f>V10</f>
        <v>4.96973729023955</v>
      </c>
      <c r="Y7">
        <f>AVERAGE(W10:W12)</f>
        <v>2285.4557412272184</v>
      </c>
      <c r="AA7">
        <v>0.99121399589481396</v>
      </c>
      <c r="AB7">
        <v>468.38521468869101</v>
      </c>
      <c r="AC7">
        <f>AA15</f>
        <v>2.9087090919730501</v>
      </c>
      <c r="AD7">
        <f>AB15</f>
        <v>2885.7573449094398</v>
      </c>
      <c r="AF7">
        <v>2.0414234067536299</v>
      </c>
      <c r="AG7">
        <v>61565.787132775302</v>
      </c>
      <c r="AH7">
        <f>AF9</f>
        <v>3.10739760326328</v>
      </c>
      <c r="AI7">
        <f>AG9</f>
        <v>22772.654202359499</v>
      </c>
      <c r="AK7">
        <v>1.0205189490790201</v>
      </c>
      <c r="AL7">
        <v>166784.70539416399</v>
      </c>
      <c r="AM7">
        <f>AK14</f>
        <v>2.9479505700128401</v>
      </c>
      <c r="AN7">
        <f>AL14</f>
        <v>155209.67129316201</v>
      </c>
    </row>
    <row r="8" spans="1:40">
      <c r="B8">
        <v>2.0483813761148402</v>
      </c>
      <c r="C8" s="52">
        <v>153145.51758892499</v>
      </c>
      <c r="D8">
        <f>B10</f>
        <v>4.8802476347854498</v>
      </c>
      <c r="E8" s="52">
        <f>AVERAGE(C10:C13)</f>
        <v>80934.523171543697</v>
      </c>
      <c r="G8">
        <v>0.98882648996224198</v>
      </c>
      <c r="H8" s="52">
        <v>559280.79659176199</v>
      </c>
      <c r="I8">
        <f>G20</f>
        <v>4.9311349427055804</v>
      </c>
      <c r="J8" s="52">
        <f>AVERAGE(H20:H22)</f>
        <v>454962.02971159137</v>
      </c>
      <c r="L8">
        <v>1.96764029394853</v>
      </c>
      <c r="M8">
        <v>15818.8720715495</v>
      </c>
      <c r="N8">
        <f>L10</f>
        <v>4.87986505731602</v>
      </c>
      <c r="O8">
        <f>AVERAGE(M10:M11)</f>
        <v>7065.4387568775801</v>
      </c>
      <c r="Q8">
        <v>0.97305014472694296</v>
      </c>
      <c r="R8">
        <v>3575.7381693611201</v>
      </c>
      <c r="S8">
        <f>Q19</f>
        <v>5.9482015907716903</v>
      </c>
      <c r="T8">
        <f>R19</f>
        <v>105.98461538241899</v>
      </c>
      <c r="V8">
        <v>2.0350920258741101</v>
      </c>
      <c r="W8">
        <v>7678.3743112904704</v>
      </c>
      <c r="X8">
        <f>V13</f>
        <v>10.0946966969142</v>
      </c>
      <c r="Y8">
        <f>AVERAGE(W13:W17)</f>
        <v>4788.9205899094422</v>
      </c>
      <c r="AA8">
        <v>0.98905304569435404</v>
      </c>
      <c r="AB8">
        <v>1192.5993664561299</v>
      </c>
      <c r="AC8">
        <f>AA16</f>
        <v>5.1341508562685103</v>
      </c>
      <c r="AD8">
        <f>AVERAGE(AB16:AB18)</f>
        <v>4641.2401078746998</v>
      </c>
      <c r="AF8">
        <v>2.03960163088286</v>
      </c>
      <c r="AG8">
        <v>90366.823134776394</v>
      </c>
      <c r="AH8">
        <f>AF10</f>
        <v>5.0253026704422998</v>
      </c>
      <c r="AI8">
        <f>AVERAGE(AG10:AG12)</f>
        <v>60428.270660163398</v>
      </c>
      <c r="AK8">
        <v>1.0196082331584799</v>
      </c>
      <c r="AL8">
        <v>244808.109761281</v>
      </c>
      <c r="AM8">
        <f>AK15</f>
        <v>5.0828337208829799</v>
      </c>
      <c r="AN8">
        <f>AVERAGE(AL15:AL18)</f>
        <v>358474.06970750802</v>
      </c>
    </row>
    <row r="9" spans="1:40">
      <c r="B9">
        <v>3.0186261591597101</v>
      </c>
      <c r="C9" s="52">
        <v>47485.317673527599</v>
      </c>
      <c r="D9">
        <f>B14</f>
        <v>9.8240374473940708</v>
      </c>
      <c r="E9" s="52">
        <f>AVERAGE(C14:C17)</f>
        <v>66438.309930297197</v>
      </c>
      <c r="G9">
        <v>0.98882648996224298</v>
      </c>
      <c r="H9" s="52">
        <v>424381.15520591103</v>
      </c>
      <c r="I9">
        <f>G23</f>
        <v>5.8364060935688897</v>
      </c>
      <c r="J9" s="52">
        <f>H23</f>
        <v>144006.499816742</v>
      </c>
      <c r="L9">
        <v>2.9251766916588</v>
      </c>
      <c r="M9">
        <v>2496.1275409387599</v>
      </c>
      <c r="N9">
        <f>L12</f>
        <v>9.9573866933541009</v>
      </c>
      <c r="O9">
        <f>AVERAGE(M12:M16)</f>
        <v>7722.6425623126124</v>
      </c>
      <c r="Q9">
        <v>0.97454895426033605</v>
      </c>
      <c r="R9">
        <v>2573.4457737132402</v>
      </c>
      <c r="S9">
        <f t="shared" ref="S9:T12" si="0">Q20</f>
        <v>7.8560798172153703</v>
      </c>
      <c r="T9">
        <f t="shared" si="0"/>
        <v>1603.17451203103</v>
      </c>
      <c r="V9">
        <v>2.0015766182556098</v>
      </c>
      <c r="W9">
        <v>9409.6481896373498</v>
      </c>
      <c r="X9">
        <f>V18</f>
        <v>15.1262867189385</v>
      </c>
      <c r="Y9">
        <f>AVERAGE(W18:W20)</f>
        <v>1435.0425573272569</v>
      </c>
      <c r="AA9">
        <v>0.98811497216795696</v>
      </c>
      <c r="AB9">
        <v>1790.47843523082</v>
      </c>
      <c r="AC9">
        <f>AA19</f>
        <v>8.0631894686841008</v>
      </c>
      <c r="AD9">
        <f>AVERAGE(AB19)</f>
        <v>689.267282997498</v>
      </c>
      <c r="AF9">
        <v>3.10739760326328</v>
      </c>
      <c r="AG9">
        <v>22772.654202359499</v>
      </c>
      <c r="AH9">
        <f>AF13</f>
        <v>10.1956155135204</v>
      </c>
      <c r="AI9">
        <f>AVERAGE(AG13:AG16)</f>
        <v>67340.615767886018</v>
      </c>
      <c r="AK9">
        <v>1.01900154077134</v>
      </c>
      <c r="AL9">
        <v>316183.24540520599</v>
      </c>
      <c r="AM9">
        <f>AK19</f>
        <v>7.9849052503695903</v>
      </c>
      <c r="AN9">
        <f>AL19</f>
        <v>149203.87930656699</v>
      </c>
    </row>
    <row r="10" spans="1:40">
      <c r="B10">
        <v>4.8802476347854498</v>
      </c>
      <c r="C10" s="52">
        <v>83788.237200242394</v>
      </c>
      <c r="D10">
        <f>B18</f>
        <v>14.629750383342</v>
      </c>
      <c r="E10" s="52">
        <f>AVERAGE(C18:C19)</f>
        <v>105083.96922968311</v>
      </c>
      <c r="G10">
        <v>0.999999999999999</v>
      </c>
      <c r="H10" s="52">
        <v>282555.71834427398</v>
      </c>
      <c r="I10">
        <f>G24</f>
        <v>7.7293539192087701</v>
      </c>
      <c r="J10" s="52">
        <f>H24</f>
        <v>165357.175675645</v>
      </c>
      <c r="L10">
        <v>4.87986505731602</v>
      </c>
      <c r="M10">
        <v>7932.5477465235699</v>
      </c>
      <c r="N10">
        <f>L17</f>
        <v>15.108055663796</v>
      </c>
      <c r="O10">
        <f>AVERAGE(M17:M19)</f>
        <v>6158.0260741313732</v>
      </c>
      <c r="Q10">
        <v>0.97586230629316195</v>
      </c>
      <c r="R10">
        <v>1929.8371773992701</v>
      </c>
      <c r="S10">
        <f t="shared" si="0"/>
        <v>14.825870694667399</v>
      </c>
      <c r="T10">
        <f t="shared" si="0"/>
        <v>577.05242432617797</v>
      </c>
      <c r="V10">
        <v>4.96973729023955</v>
      </c>
      <c r="W10">
        <v>692.45739384153501</v>
      </c>
      <c r="X10">
        <f>V21</f>
        <v>19.524886214777698</v>
      </c>
      <c r="Y10">
        <f>AVERAGE(W21:W22)</f>
        <v>2822.6065723818747</v>
      </c>
      <c r="AA10">
        <v>0.98652228863242797</v>
      </c>
      <c r="AB10">
        <v>3572.5291353634102</v>
      </c>
      <c r="AC10">
        <f t="shared" ref="AC10:AD13" si="1">AA20</f>
        <v>12.0284322388331</v>
      </c>
      <c r="AD10">
        <f t="shared" si="1"/>
        <v>2846.93351891559</v>
      </c>
      <c r="AF10">
        <v>5.0253026704422998</v>
      </c>
      <c r="AG10">
        <v>41661.489809627703</v>
      </c>
      <c r="AH10">
        <f>AF17</f>
        <v>15.2380195532194</v>
      </c>
      <c r="AI10">
        <f>AVERAGE(AG17:AG19)</f>
        <v>61813.797117986403</v>
      </c>
      <c r="AK10">
        <v>1.0348934978292901</v>
      </c>
      <c r="AL10">
        <v>408318.90998792398</v>
      </c>
      <c r="AM10">
        <f t="shared" ref="AM10:AN10" si="2">AK20</f>
        <v>12.3256005427692</v>
      </c>
      <c r="AN10">
        <f t="shared" si="2"/>
        <v>135113.14444176599</v>
      </c>
    </row>
    <row r="11" spans="1:40">
      <c r="B11">
        <v>4.8814605924211998</v>
      </c>
      <c r="C11" s="52">
        <v>79628.079625541795</v>
      </c>
      <c r="D11">
        <f>B20</f>
        <v>15.0175882402784</v>
      </c>
      <c r="E11" s="52">
        <f>C20</f>
        <v>77418.524604785402</v>
      </c>
      <c r="G11">
        <v>0.999999999999999</v>
      </c>
      <c r="H11" s="52">
        <v>469812.19994657498</v>
      </c>
      <c r="I11">
        <f t="shared" ref="I11:J14" si="3">G25</f>
        <v>11.7138531974266</v>
      </c>
      <c r="J11" s="52">
        <f t="shared" si="3"/>
        <v>159515.96605385901</v>
      </c>
      <c r="L11">
        <v>4.8855013914063399</v>
      </c>
      <c r="M11">
        <v>6198.3297672315903</v>
      </c>
      <c r="N11">
        <f>L20</f>
        <v>19.573717089473298</v>
      </c>
      <c r="O11">
        <f>AVERAGE(M20:M21)</f>
        <v>7403.970710374515</v>
      </c>
      <c r="Q11">
        <v>0.97680149838599295</v>
      </c>
      <c r="R11">
        <v>1571.2271975180099</v>
      </c>
      <c r="S11">
        <f t="shared" si="0"/>
        <v>16.420553607457101</v>
      </c>
      <c r="T11">
        <f t="shared" si="0"/>
        <v>6018.6735855654797</v>
      </c>
      <c r="V11">
        <v>4.95419944085236</v>
      </c>
      <c r="W11">
        <v>2647.0306749828401</v>
      </c>
      <c r="X11">
        <f>V23</f>
        <v>24.9077556111985</v>
      </c>
      <c r="Y11">
        <f>AVERAGE(W23:W25)</f>
        <v>4175.8710859639868</v>
      </c>
      <c r="AA11">
        <v>0.98539958729588595</v>
      </c>
      <c r="AB11">
        <v>5817.6180379554098</v>
      </c>
      <c r="AC11">
        <f t="shared" si="1"/>
        <v>14.662745333802</v>
      </c>
      <c r="AD11">
        <f t="shared" si="1"/>
        <v>420.86704726726703</v>
      </c>
      <c r="AF11">
        <v>5.0204445303678504</v>
      </c>
      <c r="AG11">
        <v>63138.390405419297</v>
      </c>
      <c r="AH11">
        <f>AF20</f>
        <v>19.685440330650898</v>
      </c>
      <c r="AI11">
        <f>AVERAGE(AG20:AG21)</f>
        <v>63277.0037100724</v>
      </c>
      <c r="AK11">
        <v>1.03412382071205</v>
      </c>
      <c r="AL11">
        <v>562199.95785441599</v>
      </c>
      <c r="AM11">
        <f t="shared" ref="AM11:AN11" si="4">AK21</f>
        <v>15.1645061305261</v>
      </c>
      <c r="AN11">
        <f t="shared" si="4"/>
        <v>272632.19582461199</v>
      </c>
    </row>
    <row r="12" spans="1:40">
      <c r="B12">
        <v>4.9327655313978198</v>
      </c>
      <c r="C12" s="52">
        <v>93450.233129979606</v>
      </c>
      <c r="D12">
        <f>B21</f>
        <v>18.8050732836201</v>
      </c>
      <c r="E12" s="52">
        <f>AVERAGE(C21:C22)</f>
        <v>78074.663022372843</v>
      </c>
      <c r="G12">
        <v>0.999999999999999</v>
      </c>
      <c r="H12" s="52">
        <v>726438.30794458895</v>
      </c>
      <c r="I12">
        <f t="shared" si="3"/>
        <v>14.665535655814001</v>
      </c>
      <c r="J12" s="52">
        <f t="shared" si="3"/>
        <v>281153.94058808702</v>
      </c>
      <c r="L12">
        <v>9.9573866933541009</v>
      </c>
      <c r="M12">
        <v>5081.2984120907704</v>
      </c>
      <c r="N12">
        <f>L22</f>
        <v>24.914432428077699</v>
      </c>
      <c r="O12">
        <f>AVERAGE(M22:M24)</f>
        <v>10463.643632618312</v>
      </c>
      <c r="Q12">
        <v>0.97849432256526403</v>
      </c>
      <c r="R12">
        <v>1085.2554186955499</v>
      </c>
      <c r="S12">
        <f t="shared" si="0"/>
        <v>18.892926187466301</v>
      </c>
      <c r="T12">
        <f>AVERAGE(R23:R24)</f>
        <v>12159.416312507994</v>
      </c>
      <c r="V12">
        <v>5.1132446761297103</v>
      </c>
      <c r="W12">
        <v>3516.8791548572799</v>
      </c>
      <c r="X12">
        <f>V26</f>
        <v>30.193220833865599</v>
      </c>
      <c r="Y12">
        <f>W26</f>
        <v>1957.6723730057499</v>
      </c>
      <c r="AA12">
        <v>1.00104434187853</v>
      </c>
      <c r="AB12">
        <v>6843.3407528588796</v>
      </c>
      <c r="AC12">
        <f t="shared" si="1"/>
        <v>17.501401638379399</v>
      </c>
      <c r="AD12">
        <f t="shared" si="1"/>
        <v>514.80987953198905</v>
      </c>
      <c r="AF12">
        <v>5.0995002088626897</v>
      </c>
      <c r="AG12">
        <v>76484.931765443194</v>
      </c>
      <c r="AH12">
        <f>AF22</f>
        <v>25.887148725294299</v>
      </c>
      <c r="AI12">
        <f>AVERAGE(AG22:AG23)</f>
        <v>50129.763267554001</v>
      </c>
      <c r="AK12">
        <v>1.03312409617707</v>
      </c>
      <c r="AL12">
        <v>852019.46898979601</v>
      </c>
      <c r="AM12">
        <f t="shared" ref="AM12" si="5">AK22</f>
        <v>19.288202145564199</v>
      </c>
      <c r="AN12">
        <f>AVERAGE(AL22:AL25)</f>
        <v>445151.9676983938</v>
      </c>
    </row>
    <row r="13" spans="1:40">
      <c r="B13">
        <v>4.9408277531852898</v>
      </c>
      <c r="C13" s="52">
        <v>66871.542730411005</v>
      </c>
      <c r="D13">
        <f>B23</f>
        <v>24.341247786062901</v>
      </c>
      <c r="E13" s="52">
        <f>AVERAGE(C23:C24)</f>
        <v>73451.431739592997</v>
      </c>
      <c r="G13">
        <v>0.999999999999999</v>
      </c>
      <c r="H13" s="52">
        <v>792599.19655346102</v>
      </c>
      <c r="I13">
        <f t="shared" si="3"/>
        <v>16.7825064209182</v>
      </c>
      <c r="J13" s="52">
        <f t="shared" si="3"/>
        <v>214919.03032457599</v>
      </c>
      <c r="L13">
        <v>9.9708057771242498</v>
      </c>
      <c r="M13">
        <v>3810.4858028399099</v>
      </c>
      <c r="N13">
        <f>L25</f>
        <v>29.870545464046501</v>
      </c>
      <c r="O13">
        <f>M25</f>
        <v>5575.64943099622</v>
      </c>
      <c r="Q13">
        <v>0.98113343769712402</v>
      </c>
      <c r="R13">
        <v>19299.3755530487</v>
      </c>
      <c r="S13">
        <f>Q25</f>
        <v>20.852725616138901</v>
      </c>
      <c r="T13">
        <f>AVERAGE(R25:R26)</f>
        <v>6759.5066981873733</v>
      </c>
      <c r="V13">
        <v>10.0946966969142</v>
      </c>
      <c r="W13">
        <v>1120.0082954658601</v>
      </c>
      <c r="X13">
        <f>V27</f>
        <v>35.542686718824399</v>
      </c>
      <c r="Y13">
        <f>AVERAGE(W27:W31)</f>
        <v>3832.7076314663136</v>
      </c>
      <c r="AA13">
        <v>0.99952565938376703</v>
      </c>
      <c r="AB13">
        <v>13110.745831357601</v>
      </c>
      <c r="AC13">
        <f t="shared" si="1"/>
        <v>18.913983323686701</v>
      </c>
      <c r="AD13">
        <f>AVERAGE(AB23:AB24)</f>
        <v>3160.2053839473397</v>
      </c>
      <c r="AF13">
        <v>10.1956155135204</v>
      </c>
      <c r="AG13">
        <v>35316.9360181593</v>
      </c>
      <c r="AH13">
        <f>AF25</f>
        <v>30.920348137958399</v>
      </c>
      <c r="AI13">
        <f>AVERAGE(AG24:AG25)</f>
        <v>51324.356169382649</v>
      </c>
      <c r="AK13">
        <v>1.03266301087882</v>
      </c>
      <c r="AL13">
        <v>1032248.61276863</v>
      </c>
      <c r="AM13">
        <f>AK26</f>
        <v>39.132984801077498</v>
      </c>
      <c r="AN13">
        <f>AL26</f>
        <v>288577.92566370202</v>
      </c>
    </row>
    <row r="14" spans="1:40">
      <c r="B14">
        <v>9.8240374473940708</v>
      </c>
      <c r="C14" s="52">
        <v>45502.970459473399</v>
      </c>
      <c r="D14">
        <f>B25</f>
        <v>29.181986839606701</v>
      </c>
      <c r="E14" s="52">
        <f>C25</f>
        <v>58326.8581121811</v>
      </c>
      <c r="G14">
        <v>1</v>
      </c>
      <c r="H14" s="52">
        <v>166272.409102031</v>
      </c>
      <c r="I14">
        <f t="shared" si="3"/>
        <v>18.360989543492099</v>
      </c>
      <c r="J14" s="52">
        <f>AVERAGE(H28:H29)</f>
        <v>544019.98911452456</v>
      </c>
      <c r="L14">
        <v>9.9842429451382806</v>
      </c>
      <c r="M14">
        <v>2857.4983943267498</v>
      </c>
      <c r="N14">
        <f>L26</f>
        <v>34.427586581725699</v>
      </c>
      <c r="O14">
        <f>AVERAGE(M26:M29)</f>
        <v>7224.3966082377055</v>
      </c>
      <c r="Q14">
        <v>0.98226666490261005</v>
      </c>
      <c r="R14">
        <v>476.87575245838298</v>
      </c>
      <c r="S14">
        <f>Q27</f>
        <v>40.047981750584498</v>
      </c>
      <c r="T14">
        <f>R27</f>
        <v>3413.8089599107202</v>
      </c>
      <c r="V14">
        <v>10.2471838963174</v>
      </c>
      <c r="W14">
        <v>1823.57578811233</v>
      </c>
      <c r="X14">
        <f>V32</f>
        <v>49.9400075375234</v>
      </c>
      <c r="Y14">
        <f>AVERAGE(W32:W35)</f>
        <v>1879.2712439666361</v>
      </c>
      <c r="AA14">
        <v>0.98231874227744098</v>
      </c>
      <c r="AB14">
        <v>22238.788319337</v>
      </c>
      <c r="AC14">
        <f>AA25</f>
        <v>21.183041227172399</v>
      </c>
      <c r="AD14">
        <f>AVERAGE(AB25:AB26)</f>
        <v>844.55952815340538</v>
      </c>
      <c r="AF14">
        <v>10.3484611620135</v>
      </c>
      <c r="AG14">
        <v>58905.617273504497</v>
      </c>
      <c r="AH14">
        <f>AF26</f>
        <v>36.885462533308498</v>
      </c>
      <c r="AI14">
        <f>AVERAGE(AG26:AG29)</f>
        <v>67467.279070281627</v>
      </c>
      <c r="AK14">
        <v>2.9479505700128401</v>
      </c>
      <c r="AL14">
        <v>155209.67129316201</v>
      </c>
      <c r="AM14">
        <f>AK27</f>
        <v>45.921172061656002</v>
      </c>
      <c r="AN14">
        <f>AVERAGE(AL27:AL28)</f>
        <v>480512.28640902694</v>
      </c>
    </row>
    <row r="15" spans="1:40">
      <c r="B15">
        <v>9.9005404983277199</v>
      </c>
      <c r="C15" s="52">
        <v>92828.060590935303</v>
      </c>
      <c r="D15">
        <f>B26</f>
        <v>34.164262041628596</v>
      </c>
      <c r="E15" s="52">
        <f>AVERAGE(C26:C30)</f>
        <v>88820.309671825147</v>
      </c>
      <c r="G15">
        <v>1</v>
      </c>
      <c r="H15" s="52">
        <v>264675.00731462502</v>
      </c>
      <c r="I15">
        <f>G30</f>
        <v>19.641539704393299</v>
      </c>
      <c r="J15" s="52">
        <f>AVERAGE(H30:H31)</f>
        <v>477509.13661193202</v>
      </c>
      <c r="L15">
        <v>10.0613748887223</v>
      </c>
      <c r="M15">
        <v>17447.473615988201</v>
      </c>
      <c r="N15">
        <f>L30</f>
        <v>49.830914990065303</v>
      </c>
      <c r="O15">
        <f>AVERAGE(M30:M35)</f>
        <v>7940.8086076557147</v>
      </c>
      <c r="Q15">
        <v>0.98605355057084798</v>
      </c>
      <c r="R15">
        <v>209.545586564394</v>
      </c>
      <c r="S15">
        <f t="shared" ref="S15" si="6">Q28</f>
        <v>43.259958669456097</v>
      </c>
      <c r="T15">
        <f>AVERAGE(R28:R30)</f>
        <v>19373.83961990834</v>
      </c>
      <c r="V15">
        <v>10.0660007969162</v>
      </c>
      <c r="W15">
        <v>3790.0487874352398</v>
      </c>
      <c r="X15">
        <f>V36</f>
        <v>74.824951933026199</v>
      </c>
      <c r="Y15">
        <f>AVERAGE(W36:W38)</f>
        <v>1850.3772574171956</v>
      </c>
      <c r="AA15">
        <v>2.9087090919730501</v>
      </c>
      <c r="AB15">
        <v>2885.7573449094398</v>
      </c>
      <c r="AC15">
        <f>AA27</f>
        <v>40.369624878130402</v>
      </c>
      <c r="AD15">
        <f>AB27</f>
        <v>1874.5167463570101</v>
      </c>
      <c r="AF15">
        <v>10.343073067648801</v>
      </c>
      <c r="AG15">
        <v>73685.262003913303</v>
      </c>
      <c r="AH15">
        <f>AF30</f>
        <v>50.856270833557303</v>
      </c>
      <c r="AI15">
        <f>AVERAGE(AG31:AG34)</f>
        <v>64294.023096875506</v>
      </c>
      <c r="AK15">
        <v>5.0828337208829799</v>
      </c>
      <c r="AL15">
        <v>312390.39422051801</v>
      </c>
      <c r="AM15">
        <f>AK29</f>
        <v>50.543189751507697</v>
      </c>
      <c r="AN15">
        <f>AL29</f>
        <v>496066.33414072701</v>
      </c>
    </row>
    <row r="16" spans="1:40">
      <c r="B16">
        <v>9.9139060610888894</v>
      </c>
      <c r="C16" s="52">
        <v>70407.121049278794</v>
      </c>
      <c r="D16">
        <f>B31</f>
        <v>49.997532692656598</v>
      </c>
      <c r="E16" s="52">
        <f>AVERAGE(C31:C35)</f>
        <v>77554.412132927406</v>
      </c>
      <c r="G16">
        <v>1</v>
      </c>
      <c r="H16" s="52">
        <v>338819.54449354799</v>
      </c>
      <c r="I16">
        <f>G33</f>
        <v>39.866647087058602</v>
      </c>
      <c r="J16" s="52">
        <f>H33</f>
        <v>296071.48755964497</v>
      </c>
      <c r="L16">
        <v>10.0904527444923</v>
      </c>
      <c r="M16">
        <v>9416.4565863174303</v>
      </c>
      <c r="N16">
        <f>L36</f>
        <v>74.194838966409506</v>
      </c>
      <c r="O16">
        <f>AVERAGE(M36:M38)</f>
        <v>11593.646800603348</v>
      </c>
      <c r="Q16">
        <v>4.7694114952781499</v>
      </c>
      <c r="R16">
        <v>1057.58843493619</v>
      </c>
      <c r="S16">
        <f>Q31</f>
        <v>59.7205649479233</v>
      </c>
      <c r="T16">
        <f>R31</f>
        <v>8823.2603489922603</v>
      </c>
      <c r="V16">
        <v>10.0497760111479</v>
      </c>
      <c r="W16">
        <v>7562.2579144973597</v>
      </c>
      <c r="X16">
        <f>V39</f>
        <v>100.148634505321</v>
      </c>
      <c r="Y16">
        <f>AVERAGE(W39:W42)</f>
        <v>1588.3125264403989</v>
      </c>
      <c r="AA16">
        <v>5.1341508562685103</v>
      </c>
      <c r="AB16">
        <v>612.79753258962103</v>
      </c>
      <c r="AC16">
        <f>AA28</f>
        <v>44.442750317378703</v>
      </c>
      <c r="AD16">
        <f>AB28</f>
        <v>2488.9742892806398</v>
      </c>
      <c r="AF16">
        <v>10.335380656131299</v>
      </c>
      <c r="AG16">
        <v>101454.64777596699</v>
      </c>
      <c r="AH16">
        <f>AF35</f>
        <v>74.790763388459197</v>
      </c>
      <c r="AI16">
        <f>AVERAGE(AG35:AG37)</f>
        <v>91235.747029173071</v>
      </c>
      <c r="AK16">
        <v>5.0805652422841296</v>
      </c>
      <c r="AL16">
        <v>378470.87163244502</v>
      </c>
      <c r="AM16">
        <f t="shared" ref="AM16:AN16" si="7">AK30</f>
        <v>52.271805388149502</v>
      </c>
      <c r="AN16">
        <f t="shared" si="7"/>
        <v>261608.770666811</v>
      </c>
    </row>
    <row r="17" spans="2:40">
      <c r="B17">
        <v>9.9241182337662899</v>
      </c>
      <c r="C17" s="52">
        <v>57015.087621501298</v>
      </c>
      <c r="D17">
        <f>B36</f>
        <v>71.735993414495894</v>
      </c>
      <c r="E17" s="52">
        <f>AVERAGE(C36:C38)</f>
        <v>63804.009534891295</v>
      </c>
      <c r="G17">
        <v>1</v>
      </c>
      <c r="H17" s="52">
        <v>660981.45452622406</v>
      </c>
      <c r="I17">
        <f>G34</f>
        <v>41.233427298940398</v>
      </c>
      <c r="J17" s="52">
        <f>H34</f>
        <v>485199.239928608</v>
      </c>
      <c r="L17">
        <v>15.108055663796</v>
      </c>
      <c r="M17">
        <v>10263.4726712018</v>
      </c>
      <c r="N17">
        <f>L39</f>
        <v>77.5964690818859</v>
      </c>
      <c r="O17">
        <f>M39</f>
        <v>4396.9915992428296</v>
      </c>
      <c r="Q17">
        <v>4.7767579197728498</v>
      </c>
      <c r="R17">
        <v>761.14255555261104</v>
      </c>
      <c r="S17">
        <f>Q32</f>
        <v>72.921193240087703</v>
      </c>
      <c r="T17">
        <f>R32</f>
        <v>81423.956665540594</v>
      </c>
      <c r="V17">
        <v>10.207394515839701</v>
      </c>
      <c r="W17">
        <v>9648.7121640364203</v>
      </c>
      <c r="X17">
        <f>V43</f>
        <v>124.870367963118</v>
      </c>
      <c r="Y17">
        <f>W43</f>
        <v>1854.42842658213</v>
      </c>
      <c r="AA17">
        <v>6.0140424702544903</v>
      </c>
      <c r="AB17">
        <v>2338.9151183906802</v>
      </c>
      <c r="AC17">
        <f>AA29</f>
        <v>48.1347741515942</v>
      </c>
      <c r="AD17">
        <f>AVERAGE(AB29:AB31)</f>
        <v>3333.0901705836168</v>
      </c>
      <c r="AF17">
        <v>15.2380195532194</v>
      </c>
      <c r="AG17">
        <v>34102.293797650098</v>
      </c>
      <c r="AH17">
        <f>AF38</f>
        <v>99.961090444937597</v>
      </c>
      <c r="AI17">
        <f>AVERAGE(AG38:AG41)</f>
        <v>47761.719093373322</v>
      </c>
      <c r="AK17">
        <v>5.07489847416422</v>
      </c>
      <c r="AL17">
        <v>611461.94500691304</v>
      </c>
      <c r="AM17">
        <f t="shared" ref="AM17:AN17" si="8">AK31</f>
        <v>59.509549080882202</v>
      </c>
      <c r="AN17">
        <f t="shared" si="8"/>
        <v>161769.27250494499</v>
      </c>
    </row>
    <row r="18" spans="2:40">
      <c r="B18">
        <v>14.629750383342</v>
      </c>
      <c r="C18" s="52">
        <v>164979.19538403701</v>
      </c>
      <c r="D18">
        <f>B39</f>
        <v>95.090071777169399</v>
      </c>
      <c r="E18" s="52">
        <f>AVERAGE(C39:C40)</f>
        <v>67496.610438715099</v>
      </c>
      <c r="G18">
        <v>1.0112997681101501</v>
      </c>
      <c r="H18" s="52">
        <v>184072.27878141601</v>
      </c>
      <c r="I18">
        <f>G35</f>
        <v>43.616315223761703</v>
      </c>
      <c r="J18" s="52">
        <f>AVERAGE(H35:H37)</f>
        <v>570975.72498849267</v>
      </c>
      <c r="L18">
        <v>15.140062877535801</v>
      </c>
      <c r="M18">
        <v>6529.4204174705901</v>
      </c>
      <c r="N18">
        <f>L40</f>
        <v>101.621536701746</v>
      </c>
      <c r="O18">
        <f>AVERAGE(M40:M44)</f>
        <v>6751.7933974482494</v>
      </c>
      <c r="Q18">
        <v>4.85831928335441</v>
      </c>
      <c r="R18">
        <v>20422.477467670698</v>
      </c>
      <c r="S18">
        <f>Q33</f>
        <v>153.95029405870099</v>
      </c>
      <c r="T18">
        <f>AVERAGE(R33:R34)</f>
        <v>26975.0985113563</v>
      </c>
      <c r="V18">
        <v>15.1262867189385</v>
      </c>
      <c r="W18">
        <v>685.14210026868102</v>
      </c>
      <c r="X18">
        <f>V44</f>
        <v>146.72942058273401</v>
      </c>
      <c r="Y18">
        <f>AVERAGE(W44:W45)</f>
        <v>2929.398213413785</v>
      </c>
      <c r="AA18">
        <v>5.0996771358847797</v>
      </c>
      <c r="AB18">
        <v>10972.0076726438</v>
      </c>
      <c r="AC18">
        <f>AA32</f>
        <v>59.371128425176899</v>
      </c>
      <c r="AD18">
        <f>AB32</f>
        <v>3435.5540965565701</v>
      </c>
      <c r="AF18">
        <v>15.2221558394486</v>
      </c>
      <c r="AG18">
        <v>53361.918242766202</v>
      </c>
      <c r="AH18">
        <f>AF42</f>
        <v>124.791281779204</v>
      </c>
      <c r="AI18">
        <f>AG42</f>
        <v>93404.941488496799</v>
      </c>
      <c r="AK18">
        <v>5.9809672244217298</v>
      </c>
      <c r="AL18">
        <v>131573.067970156</v>
      </c>
      <c r="AM18">
        <f t="shared" ref="AM18:AN18" si="9">AK32</f>
        <v>78.0771737555133</v>
      </c>
      <c r="AN18">
        <f t="shared" si="9"/>
        <v>326261.572712694</v>
      </c>
    </row>
    <row r="19" spans="2:40">
      <c r="B19">
        <v>14.7224934893429</v>
      </c>
      <c r="C19" s="52">
        <v>45188.743075329199</v>
      </c>
      <c r="D19">
        <f>B44</f>
        <v>147.175001582813</v>
      </c>
      <c r="E19" s="52">
        <f>AVERAGE(C44:C45)</f>
        <v>51630.943982910801</v>
      </c>
      <c r="G19">
        <v>2.9740690178248101</v>
      </c>
      <c r="H19" s="52">
        <v>181584.49580028601</v>
      </c>
      <c r="I19">
        <f t="shared" ref="I19:J25" si="10">G38</f>
        <v>48.803171915272003</v>
      </c>
      <c r="J19" s="52">
        <f t="shared" si="10"/>
        <v>577686.63043265301</v>
      </c>
      <c r="L19">
        <v>15.2364919475222</v>
      </c>
      <c r="M19">
        <v>1681.1851337217299</v>
      </c>
      <c r="N19">
        <f>L45</f>
        <v>125.11473849649001</v>
      </c>
      <c r="O19">
        <f>M45</f>
        <v>20224.279179830501</v>
      </c>
      <c r="Q19">
        <v>5.9482015907716903</v>
      </c>
      <c r="R19">
        <v>105.98461538241899</v>
      </c>
      <c r="S19">
        <f>Q35</f>
        <v>190.491526305729</v>
      </c>
      <c r="T19">
        <f>AVERAGE(R35:R36)</f>
        <v>34834.9175870607</v>
      </c>
      <c r="V19">
        <v>15.0990397736507</v>
      </c>
      <c r="W19">
        <v>1482.7988596604</v>
      </c>
      <c r="X19">
        <f>V46</f>
        <v>199.94224695892399</v>
      </c>
      <c r="Y19">
        <f>AVERAGE(W46:W47)</f>
        <v>902.266774957591</v>
      </c>
      <c r="AA19">
        <v>8.0631894686841008</v>
      </c>
      <c r="AB19">
        <v>689.267282997498</v>
      </c>
      <c r="AC19">
        <f t="shared" ref="AC19:AD26" si="11">AA33</f>
        <v>79.1260375024262</v>
      </c>
      <c r="AD19">
        <f t="shared" si="11"/>
        <v>13096.6274382921</v>
      </c>
      <c r="AF19">
        <v>15.200652926076099</v>
      </c>
      <c r="AG19">
        <v>97977.179313542903</v>
      </c>
      <c r="AH19">
        <f>AF43</f>
        <v>149.28732833170099</v>
      </c>
      <c r="AI19">
        <f>AVERAGE(AG43:AG44)</f>
        <v>41635.979183430551</v>
      </c>
      <c r="AK19">
        <v>7.9849052503695903</v>
      </c>
      <c r="AL19">
        <v>149203.87930656699</v>
      </c>
      <c r="AM19">
        <f t="shared" ref="AM19" si="12">AK33</f>
        <v>153.831236196444</v>
      </c>
      <c r="AN19">
        <f>AVERAGE(AL33:AL34)</f>
        <v>111697.13438997031</v>
      </c>
    </row>
    <row r="20" spans="2:40">
      <c r="B20">
        <v>15.0175882402784</v>
      </c>
      <c r="C20" s="52">
        <v>77418.524604785402</v>
      </c>
      <c r="D20">
        <f>B46</f>
        <v>193.27906124646401</v>
      </c>
      <c r="E20" s="52">
        <f>AVERAGE(C46:C47)</f>
        <v>30522.455011836952</v>
      </c>
      <c r="G20">
        <v>4.9311349427055804</v>
      </c>
      <c r="H20" s="52">
        <v>351829.52935254801</v>
      </c>
      <c r="I20">
        <f t="shared" si="10"/>
        <v>49.354636440954899</v>
      </c>
      <c r="J20" s="52">
        <f t="shared" si="10"/>
        <v>495964.30560871901</v>
      </c>
      <c r="L20">
        <v>19.573717089473298</v>
      </c>
      <c r="M20">
        <v>9476.8916146256397</v>
      </c>
      <c r="N20">
        <f>L46</f>
        <v>150.00323588628001</v>
      </c>
      <c r="O20">
        <f>AVERAGE(M46:M47)</f>
        <v>8413.9034331295497</v>
      </c>
      <c r="Q20">
        <v>7.8560798172153703</v>
      </c>
      <c r="R20">
        <v>1603.17451203103</v>
      </c>
      <c r="S20">
        <f t="shared" ref="S20:T27" si="13">Q37</f>
        <v>227.11442987927899</v>
      </c>
      <c r="T20">
        <f t="shared" si="13"/>
        <v>29450.1436916614</v>
      </c>
      <c r="V20">
        <v>15.3314847707325</v>
      </c>
      <c r="W20">
        <v>2137.1867120526899</v>
      </c>
      <c r="X20">
        <f t="shared" ref="X20:X30" si="14">V48</f>
        <v>202.289554102773</v>
      </c>
      <c r="Y20">
        <f t="shared" ref="Y20:Y30" si="15">W48</f>
        <v>3536.4206374169598</v>
      </c>
      <c r="AA20">
        <v>12.0284322388331</v>
      </c>
      <c r="AB20">
        <v>2846.93351891559</v>
      </c>
      <c r="AC20">
        <f t="shared" si="11"/>
        <v>98.387216270095706</v>
      </c>
      <c r="AD20">
        <f t="shared" si="11"/>
        <v>396.83465795764698</v>
      </c>
      <c r="AF20">
        <v>19.685440330650898</v>
      </c>
      <c r="AG20">
        <v>53258.979918436802</v>
      </c>
      <c r="AH20">
        <f>AF45</f>
        <v>202.88211726430399</v>
      </c>
      <c r="AI20">
        <f>AVERAGE(AG45:AG47)</f>
        <v>23226.461432548098</v>
      </c>
      <c r="AK20">
        <v>12.3256005427692</v>
      </c>
      <c r="AL20">
        <v>135113.14444176599</v>
      </c>
      <c r="AM20">
        <f>AK35</f>
        <v>195.64812778172299</v>
      </c>
      <c r="AN20">
        <f>AL35</f>
        <v>105793.466558017</v>
      </c>
    </row>
    <row r="21" spans="2:40">
      <c r="B21">
        <v>18.8050732836201</v>
      </c>
      <c r="C21" s="52">
        <v>74667.314789990007</v>
      </c>
      <c r="D21">
        <f t="shared" ref="D21:E23" si="16">B48</f>
        <v>195.14411278250799</v>
      </c>
      <c r="E21" s="52">
        <f t="shared" si="16"/>
        <v>45288.606968902997</v>
      </c>
      <c r="G21">
        <v>4.9311349427055902</v>
      </c>
      <c r="H21" s="52">
        <v>428061.12539540703</v>
      </c>
      <c r="I21">
        <f t="shared" si="10"/>
        <v>51.046700995689299</v>
      </c>
      <c r="J21" s="52">
        <f t="shared" si="10"/>
        <v>275386.34497321298</v>
      </c>
      <c r="L21">
        <v>20.271238177768101</v>
      </c>
      <c r="M21">
        <v>5331.0498061233902</v>
      </c>
      <c r="N21">
        <f>L48</f>
        <v>197.88802201642699</v>
      </c>
      <c r="O21">
        <f>AVERAGE(M48:M49)</f>
        <v>4721.235680013765</v>
      </c>
      <c r="Q21">
        <v>14.825870694667399</v>
      </c>
      <c r="R21">
        <v>577.05242432617797</v>
      </c>
      <c r="S21">
        <f t="shared" si="13"/>
        <v>289.58389979866001</v>
      </c>
      <c r="T21">
        <f t="shared" si="13"/>
        <v>26093.654006447301</v>
      </c>
      <c r="V21">
        <v>19.524886214777698</v>
      </c>
      <c r="W21">
        <v>2312.7818647294198</v>
      </c>
      <c r="X21">
        <f t="shared" si="14"/>
        <v>226.901900976332</v>
      </c>
      <c r="Y21">
        <f t="shared" si="15"/>
        <v>1567.2812958331899</v>
      </c>
      <c r="AA21">
        <v>14.662745333802</v>
      </c>
      <c r="AB21">
        <v>420.86704726726703</v>
      </c>
      <c r="AC21">
        <f t="shared" si="11"/>
        <v>151.09539904755101</v>
      </c>
      <c r="AD21">
        <f t="shared" si="11"/>
        <v>6523.4739465624198</v>
      </c>
      <c r="AF21">
        <v>20.976801082452099</v>
      </c>
      <c r="AG21">
        <v>73295.027501707998</v>
      </c>
      <c r="AH21">
        <f>AF48</f>
        <v>226.29618443088401</v>
      </c>
      <c r="AI21">
        <f>AG48</f>
        <v>71997.5243199783</v>
      </c>
      <c r="AK21">
        <v>15.1645061305261</v>
      </c>
      <c r="AL21">
        <v>272632.19582461199</v>
      </c>
      <c r="AM21">
        <f t="shared" ref="AM21:AN21" si="17">AK36</f>
        <v>225.993330350615</v>
      </c>
      <c r="AN21">
        <f t="shared" si="17"/>
        <v>128033.00267922301</v>
      </c>
    </row>
    <row r="22" spans="2:40">
      <c r="B22">
        <v>19.661179132443301</v>
      </c>
      <c r="C22" s="52">
        <v>81482.011254755693</v>
      </c>
      <c r="D22">
        <f t="shared" si="16"/>
        <v>217.74675955581401</v>
      </c>
      <c r="E22" s="52">
        <f t="shared" si="16"/>
        <v>79886.816619368794</v>
      </c>
      <c r="G22">
        <v>4.9311349427055902</v>
      </c>
      <c r="H22" s="52">
        <v>584995.43438681902</v>
      </c>
      <c r="I22">
        <f t="shared" si="10"/>
        <v>57.762590815554297</v>
      </c>
      <c r="J22" s="52">
        <f t="shared" si="10"/>
        <v>398906.82011201401</v>
      </c>
      <c r="L22">
        <v>24.914432428077699</v>
      </c>
      <c r="M22">
        <v>12156.832142617401</v>
      </c>
      <c r="N22">
        <f>L50</f>
        <v>217.61837734027</v>
      </c>
      <c r="O22">
        <f>M50</f>
        <v>8574.20843094874</v>
      </c>
      <c r="Q22">
        <v>16.420553607457101</v>
      </c>
      <c r="R22">
        <v>6018.6735855654797</v>
      </c>
      <c r="S22">
        <f t="shared" si="13"/>
        <v>341.492253768838</v>
      </c>
      <c r="T22">
        <f t="shared" si="13"/>
        <v>12991.366811784001</v>
      </c>
      <c r="V22">
        <v>20.4755209738519</v>
      </c>
      <c r="W22">
        <v>3332.43128003433</v>
      </c>
      <c r="X22">
        <f t="shared" si="14"/>
        <v>303.75199642454299</v>
      </c>
      <c r="Y22">
        <f t="shared" si="15"/>
        <v>884.86982773725504</v>
      </c>
      <c r="AA22">
        <v>17.501401638379399</v>
      </c>
      <c r="AB22">
        <v>514.80987953198905</v>
      </c>
      <c r="AC22">
        <f t="shared" si="11"/>
        <v>199.260396993201</v>
      </c>
      <c r="AD22">
        <f t="shared" si="11"/>
        <v>2262.0843248435699</v>
      </c>
      <c r="AF22">
        <v>25.887148725294299</v>
      </c>
      <c r="AG22">
        <v>39856.545966364502</v>
      </c>
      <c r="AH22">
        <f t="shared" ref="AH22:AI23" si="18">AF49</f>
        <v>298.18701693375198</v>
      </c>
      <c r="AI22">
        <f t="shared" si="18"/>
        <v>22720.496993679899</v>
      </c>
      <c r="AK22">
        <v>19.288202145564199</v>
      </c>
      <c r="AL22">
        <v>340419.85700968298</v>
      </c>
      <c r="AM22">
        <f t="shared" ref="AM22:AN22" si="19">AK37</f>
        <v>296.94723069690298</v>
      </c>
      <c r="AN22">
        <f t="shared" si="19"/>
        <v>136210.06275860101</v>
      </c>
    </row>
    <row r="23" spans="2:40">
      <c r="B23">
        <v>24.341247786062901</v>
      </c>
      <c r="C23" s="52">
        <v>80906.1234606504</v>
      </c>
      <c r="D23">
        <f t="shared" si="16"/>
        <v>292.96634285197001</v>
      </c>
      <c r="E23" s="52">
        <f t="shared" si="16"/>
        <v>31260.955690200801</v>
      </c>
      <c r="G23">
        <v>5.8364060935688897</v>
      </c>
      <c r="H23" s="52">
        <v>144006.499816742</v>
      </c>
      <c r="I23">
        <f t="shared" si="10"/>
        <v>73.134908965313798</v>
      </c>
      <c r="J23" s="52">
        <f t="shared" si="10"/>
        <v>393232.775936338</v>
      </c>
      <c r="L23">
        <v>24.986436332191001</v>
      </c>
      <c r="M23">
        <v>6561.0806823748399</v>
      </c>
      <c r="N23">
        <f>L51</f>
        <v>302.39474334981998</v>
      </c>
      <c r="O23">
        <f>M51</f>
        <v>2505.29731319238</v>
      </c>
      <c r="Q23">
        <v>18.892926187466301</v>
      </c>
      <c r="R23">
        <v>18290.7603546305</v>
      </c>
      <c r="S23">
        <f t="shared" si="13"/>
        <v>388.54928363367202</v>
      </c>
      <c r="T23">
        <f t="shared" si="13"/>
        <v>13553.557707854399</v>
      </c>
      <c r="V23">
        <v>24.9077556111985</v>
      </c>
      <c r="W23">
        <v>1204.40553996266</v>
      </c>
      <c r="X23">
        <f t="shared" si="14"/>
        <v>350.74720934762502</v>
      </c>
      <c r="Y23">
        <f t="shared" si="15"/>
        <v>1560.78146022229</v>
      </c>
      <c r="AA23">
        <v>18.913983323686701</v>
      </c>
      <c r="AB23">
        <v>1888.12657923349</v>
      </c>
      <c r="AC23">
        <f t="shared" si="11"/>
        <v>229.91451533825801</v>
      </c>
      <c r="AD23">
        <f t="shared" si="11"/>
        <v>5522.6957400602196</v>
      </c>
      <c r="AF23">
        <v>25.862122691464499</v>
      </c>
      <c r="AG23">
        <v>60402.9805687435</v>
      </c>
      <c r="AH23">
        <f t="shared" si="18"/>
        <v>361.55621769552101</v>
      </c>
      <c r="AI23">
        <f>AVERAGE(AG50:AG51)</f>
        <v>36535.858397097698</v>
      </c>
      <c r="AK23">
        <v>19.2681219430863</v>
      </c>
      <c r="AL23">
        <v>532675.50522412104</v>
      </c>
      <c r="AM23">
        <f t="shared" ref="AM23:AN23" si="20">AK38</f>
        <v>348.71641048695699</v>
      </c>
      <c r="AN23">
        <f t="shared" si="20"/>
        <v>136045.77997006601</v>
      </c>
    </row>
    <row r="24" spans="2:40">
      <c r="B24">
        <v>24.919213097011198</v>
      </c>
      <c r="C24" s="52">
        <v>65996.740018535595</v>
      </c>
      <c r="D24">
        <f>B51</f>
        <v>349.63605317548399</v>
      </c>
      <c r="E24" s="52">
        <f>AVERAGE(C51:C53)</f>
        <v>39363.831175774096</v>
      </c>
      <c r="G24">
        <v>7.7293539192087701</v>
      </c>
      <c r="H24" s="52">
        <v>165357.175675645</v>
      </c>
      <c r="I24">
        <f t="shared" si="10"/>
        <v>96.855082764872904</v>
      </c>
      <c r="J24" s="52">
        <f t="shared" si="10"/>
        <v>152988.61554911101</v>
      </c>
      <c r="L24">
        <v>26.147083102884299</v>
      </c>
      <c r="M24">
        <v>12673.0180728627</v>
      </c>
      <c r="N24">
        <f>L52</f>
        <v>348.25987847366298</v>
      </c>
      <c r="O24">
        <f>AVERAGE(M52:M53)</f>
        <v>5423.6640330117098</v>
      </c>
      <c r="Q24">
        <v>19.300733233944499</v>
      </c>
      <c r="R24">
        <v>6028.0722703854899</v>
      </c>
      <c r="S24">
        <f t="shared" si="13"/>
        <v>399.694953456088</v>
      </c>
      <c r="T24">
        <f t="shared" si="13"/>
        <v>32149.328012858001</v>
      </c>
      <c r="V24">
        <v>26.0833210966072</v>
      </c>
      <c r="W24">
        <v>3192.3540729339502</v>
      </c>
      <c r="X24">
        <f t="shared" si="14"/>
        <v>374.55178790284799</v>
      </c>
      <c r="Y24">
        <f t="shared" si="15"/>
        <v>957.86716795618395</v>
      </c>
      <c r="AA24">
        <v>18.876330895437</v>
      </c>
      <c r="AB24">
        <v>4432.2841886611895</v>
      </c>
      <c r="AC24">
        <f t="shared" si="11"/>
        <v>297.70252616970703</v>
      </c>
      <c r="AD24">
        <f t="shared" si="11"/>
        <v>4876.8479880279001</v>
      </c>
      <c r="AF24">
        <v>27.125385449428101</v>
      </c>
      <c r="AG24">
        <v>75530.968690939</v>
      </c>
      <c r="AH24">
        <f>AF52</f>
        <v>444.53423421076201</v>
      </c>
      <c r="AI24">
        <f>AG52</f>
        <v>65080.199005212002</v>
      </c>
      <c r="AK24">
        <v>21.584745046310999</v>
      </c>
      <c r="AL24">
        <v>340132.39900799602</v>
      </c>
      <c r="AM24">
        <f t="shared" ref="AM24:AN24" si="21">AK39</f>
        <v>384.386653987557</v>
      </c>
      <c r="AN24">
        <f t="shared" si="21"/>
        <v>89704.017524619398</v>
      </c>
    </row>
    <row r="25" spans="2:40">
      <c r="B25">
        <v>29.181986839606701</v>
      </c>
      <c r="C25" s="52">
        <v>58326.8581121811</v>
      </c>
      <c r="D25">
        <f t="shared" ref="D25:E30" si="22">B54</f>
        <v>452.038279031711</v>
      </c>
      <c r="E25" s="52">
        <f t="shared" si="22"/>
        <v>78781.993076836996</v>
      </c>
      <c r="G25">
        <v>11.7138531974266</v>
      </c>
      <c r="H25" s="52">
        <v>159515.96605385901</v>
      </c>
      <c r="I25">
        <f t="shared" si="10"/>
        <v>148.44272136222401</v>
      </c>
      <c r="J25" s="52">
        <f t="shared" si="10"/>
        <v>118688.096511244</v>
      </c>
      <c r="L25">
        <v>29.870545464046501</v>
      </c>
      <c r="M25">
        <v>5575.64943099622</v>
      </c>
      <c r="N25">
        <f t="shared" ref="N25:O31" si="23">L54</f>
        <v>443.62432786476501</v>
      </c>
      <c r="O25">
        <f t="shared" si="23"/>
        <v>6745.8662012653003</v>
      </c>
      <c r="Q25">
        <v>20.852725616138901</v>
      </c>
      <c r="R25">
        <v>12645.3638641772</v>
      </c>
      <c r="S25">
        <f t="shared" si="13"/>
        <v>409.26622207279502</v>
      </c>
      <c r="T25">
        <f t="shared" si="13"/>
        <v>6469.0805236067999</v>
      </c>
      <c r="V25">
        <v>25.2001708139518</v>
      </c>
      <c r="W25">
        <v>8130.8536449953499</v>
      </c>
      <c r="X25">
        <f t="shared" si="14"/>
        <v>459.71142220837601</v>
      </c>
      <c r="Y25">
        <f t="shared" si="15"/>
        <v>7593.7507496855396</v>
      </c>
      <c r="AA25">
        <v>21.183041227172399</v>
      </c>
      <c r="AB25">
        <v>1603.1470966673101</v>
      </c>
      <c r="AC25">
        <f>AA39</f>
        <v>347.072226127683</v>
      </c>
      <c r="AD25">
        <f>AB39</f>
        <v>141.97414888370599</v>
      </c>
      <c r="AF25">
        <v>30.920348137958399</v>
      </c>
      <c r="AG25">
        <v>27117.743647826301</v>
      </c>
      <c r="AH25">
        <f t="shared" ref="AH25:AI30" si="24">AF53</f>
        <v>498.75962917025498</v>
      </c>
      <c r="AI25">
        <f t="shared" si="24"/>
        <v>21230.6057591217</v>
      </c>
      <c r="AK25">
        <v>21.559065762725901</v>
      </c>
      <c r="AL25">
        <v>567380.10955177504</v>
      </c>
      <c r="AM25">
        <f t="shared" ref="AM25" si="25">AK40</f>
        <v>410.79257005731603</v>
      </c>
      <c r="AN25">
        <f>AVERAGE(AL40:AL41)</f>
        <v>48275.578923903595</v>
      </c>
    </row>
    <row r="26" spans="2:40">
      <c r="B26">
        <v>34.164262041628596</v>
      </c>
      <c r="C26" s="52">
        <v>54637.527518334296</v>
      </c>
      <c r="D26">
        <f t="shared" si="22"/>
        <v>491.50033771525699</v>
      </c>
      <c r="E26" s="52">
        <f t="shared" si="22"/>
        <v>28041.4730357587</v>
      </c>
      <c r="G26">
        <v>14.665535655814001</v>
      </c>
      <c r="H26" s="52">
        <v>281153.94058808702</v>
      </c>
      <c r="I26">
        <f>G45</f>
        <v>194.39124055854799</v>
      </c>
      <c r="J26" s="52">
        <f>AVERAGE(H45:H46)</f>
        <v>147248.49241872551</v>
      </c>
      <c r="L26">
        <v>34.427586581725699</v>
      </c>
      <c r="M26">
        <v>11703.5982051185</v>
      </c>
      <c r="N26">
        <f t="shared" si="23"/>
        <v>489.54813509541401</v>
      </c>
      <c r="O26">
        <f t="shared" si="23"/>
        <v>4859.5228660232297</v>
      </c>
      <c r="Q26">
        <v>21.459148769720201</v>
      </c>
      <c r="R26">
        <v>873.64953219754796</v>
      </c>
      <c r="S26">
        <f t="shared" si="13"/>
        <v>414.97491679721401</v>
      </c>
      <c r="T26">
        <f t="shared" si="13"/>
        <v>10597.0835015924</v>
      </c>
      <c r="V26">
        <v>30.193220833865599</v>
      </c>
      <c r="W26">
        <v>1957.6723730057499</v>
      </c>
      <c r="X26">
        <f t="shared" si="14"/>
        <v>508.16360618958902</v>
      </c>
      <c r="Y26">
        <f t="shared" si="15"/>
        <v>1756.8997714541099</v>
      </c>
      <c r="AA26">
        <v>21.3282619389202</v>
      </c>
      <c r="AB26">
        <v>85.971959639500795</v>
      </c>
      <c r="AC26">
        <f t="shared" si="11"/>
        <v>409.34065585705503</v>
      </c>
      <c r="AD26">
        <f>AVERAGE(AB40:AB42)</f>
        <v>1524.5994932777733</v>
      </c>
      <c r="AF26">
        <v>36.885462533308498</v>
      </c>
      <c r="AG26">
        <v>31777.7159412539</v>
      </c>
      <c r="AH26">
        <f t="shared" si="24"/>
        <v>686.75046418753698</v>
      </c>
      <c r="AI26">
        <f t="shared" si="24"/>
        <v>41455.858349485898</v>
      </c>
      <c r="AK26">
        <v>39.132984801077498</v>
      </c>
      <c r="AL26">
        <v>288577.92566370202</v>
      </c>
      <c r="AM26">
        <f>AK42</f>
        <v>497.94392429189202</v>
      </c>
      <c r="AN26">
        <f>AVERAGE(AL42:AL46)</f>
        <v>117764.37202498018</v>
      </c>
    </row>
    <row r="27" spans="2:40">
      <c r="B27">
        <v>34.815655156029898</v>
      </c>
      <c r="C27" s="52">
        <v>113923.51295961101</v>
      </c>
      <c r="D27">
        <f t="shared" si="22"/>
        <v>686.93912336179199</v>
      </c>
      <c r="E27" s="52">
        <f t="shared" si="22"/>
        <v>45008.678682830199</v>
      </c>
      <c r="G27">
        <v>16.7825064209182</v>
      </c>
      <c r="H27" s="52">
        <v>214919.03032457599</v>
      </c>
      <c r="I27">
        <f t="shared" ref="I27:J31" si="26">G47</f>
        <v>224.96527710321399</v>
      </c>
      <c r="J27" s="52">
        <f t="shared" si="26"/>
        <v>186270.78472780599</v>
      </c>
      <c r="L27">
        <v>34.460720474575403</v>
      </c>
      <c r="M27">
        <v>9528.7892802889291</v>
      </c>
      <c r="N27">
        <f t="shared" si="23"/>
        <v>698.15839596609101</v>
      </c>
      <c r="O27">
        <f t="shared" si="23"/>
        <v>5516.3712955056799</v>
      </c>
      <c r="Q27">
        <v>40.047981750584498</v>
      </c>
      <c r="R27">
        <v>3413.8089599107202</v>
      </c>
      <c r="S27">
        <f t="shared" si="13"/>
        <v>447.13750612160402</v>
      </c>
      <c r="T27">
        <f t="shared" si="13"/>
        <v>39530.102656565803</v>
      </c>
      <c r="V27">
        <v>35.542686718824399</v>
      </c>
      <c r="W27">
        <v>903.17094776812098</v>
      </c>
      <c r="X27">
        <f t="shared" si="14"/>
        <v>691.53470070417302</v>
      </c>
      <c r="Y27">
        <f t="shared" si="15"/>
        <v>877.95088292415699</v>
      </c>
      <c r="AA27">
        <v>40.369624878130402</v>
      </c>
      <c r="AB27">
        <v>1874.5167463570101</v>
      </c>
      <c r="AC27">
        <f>AA43</f>
        <v>424.41045402258902</v>
      </c>
      <c r="AD27">
        <f>AVERAGE(AB43:AB44)</f>
        <v>8220.2816152367905</v>
      </c>
      <c r="AF27">
        <v>36.240766877975602</v>
      </c>
      <c r="AG27">
        <v>62208.087914593103</v>
      </c>
      <c r="AH27">
        <f t="shared" si="24"/>
        <v>755.92891112436905</v>
      </c>
      <c r="AI27">
        <f t="shared" si="24"/>
        <v>50188.732749887196</v>
      </c>
      <c r="AK27">
        <v>45.921172061656002</v>
      </c>
      <c r="AL27">
        <v>396853.58191939298</v>
      </c>
      <c r="AM27">
        <f>AK47</f>
        <v>687.67077975562404</v>
      </c>
      <c r="AN27">
        <f>AL47</f>
        <v>23312.107872691598</v>
      </c>
    </row>
    <row r="28" spans="2:40">
      <c r="B28">
        <v>34.829254057545</v>
      </c>
      <c r="C28" s="52">
        <v>105161.88909786601</v>
      </c>
      <c r="D28">
        <f t="shared" si="22"/>
        <v>750.029780624056</v>
      </c>
      <c r="E28" s="52">
        <f t="shared" si="22"/>
        <v>68143.375982478698</v>
      </c>
      <c r="G28">
        <v>18.360989543492099</v>
      </c>
      <c r="H28" s="52">
        <v>444391.33205875999</v>
      </c>
      <c r="I28">
        <f t="shared" si="26"/>
        <v>291.30864089297</v>
      </c>
      <c r="J28" s="52">
        <f t="shared" si="26"/>
        <v>148747.15409492701</v>
      </c>
      <c r="L28">
        <v>34.547017912241998</v>
      </c>
      <c r="M28">
        <v>5583.4849969977004</v>
      </c>
      <c r="N28">
        <f t="shared" si="23"/>
        <v>745.78432983739503</v>
      </c>
      <c r="O28">
        <f t="shared" si="23"/>
        <v>4139.3314294714501</v>
      </c>
      <c r="Q28">
        <v>43.259958669456097</v>
      </c>
      <c r="R28">
        <v>7461.8829129241203</v>
      </c>
      <c r="S28">
        <f>Q45</f>
        <v>485.328098040523</v>
      </c>
      <c r="T28">
        <f>AVERAGE(R45:R46)</f>
        <v>27533.1053698336</v>
      </c>
      <c r="V28">
        <v>35.522456470689299</v>
      </c>
      <c r="W28">
        <v>1152.5364558864401</v>
      </c>
      <c r="X28">
        <f t="shared" si="14"/>
        <v>774.05536372070605</v>
      </c>
      <c r="Y28">
        <f t="shared" si="15"/>
        <v>951.25554015255796</v>
      </c>
      <c r="AA28">
        <v>44.442750317378703</v>
      </c>
      <c r="AB28">
        <v>2488.9742892806398</v>
      </c>
      <c r="AC28">
        <f>AA45</f>
        <v>474.01957730425897</v>
      </c>
      <c r="AD28">
        <f>AB45</f>
        <v>15147.0943279614</v>
      </c>
      <c r="AF28">
        <v>36.224592553064902</v>
      </c>
      <c r="AG28">
        <v>75367.071751264506</v>
      </c>
      <c r="AH28">
        <f t="shared" si="24"/>
        <v>783.70405319509405</v>
      </c>
      <c r="AI28">
        <f t="shared" si="24"/>
        <v>9212.4986020615397</v>
      </c>
      <c r="AK28">
        <v>45.883605416526002</v>
      </c>
      <c r="AL28">
        <v>564170.99089866097</v>
      </c>
      <c r="AM28">
        <f t="shared" ref="AM28:AN28" si="27">AK48</f>
        <v>887.38585893650497</v>
      </c>
      <c r="AN28">
        <f t="shared" si="27"/>
        <v>58820.372368705503</v>
      </c>
    </row>
    <row r="29" spans="2:40">
      <c r="B29">
        <v>34.845332334905301</v>
      </c>
      <c r="C29" s="52">
        <v>95671.878347728896</v>
      </c>
      <c r="D29">
        <f t="shared" si="22"/>
        <v>790.96939741735696</v>
      </c>
      <c r="E29" s="52">
        <f t="shared" si="22"/>
        <v>12693.621406484401</v>
      </c>
      <c r="G29">
        <v>18.360989543492099</v>
      </c>
      <c r="H29" s="52">
        <v>643648.64617028902</v>
      </c>
      <c r="I29">
        <f t="shared" si="26"/>
        <v>340.93538192843101</v>
      </c>
      <c r="J29" s="52">
        <f t="shared" si="26"/>
        <v>164691.417332418</v>
      </c>
      <c r="L29">
        <v>35.272356976122403</v>
      </c>
      <c r="M29">
        <v>2081.7139505456898</v>
      </c>
      <c r="N29">
        <f t="shared" si="23"/>
        <v>784.94427218395901</v>
      </c>
      <c r="O29">
        <f t="shared" si="23"/>
        <v>2328.8675701932202</v>
      </c>
      <c r="Q29">
        <v>45.052216063112297</v>
      </c>
      <c r="R29">
        <v>40286.682782445299</v>
      </c>
      <c r="S29">
        <f t="shared" ref="S29:T36" si="28">Q47</f>
        <v>494.75582179618499</v>
      </c>
      <c r="T29">
        <f t="shared" si="28"/>
        <v>16013.8274054588</v>
      </c>
      <c r="V29">
        <v>36.038522973702001</v>
      </c>
      <c r="W29">
        <v>2394.6495337521001</v>
      </c>
      <c r="X29">
        <f t="shared" si="14"/>
        <v>1798.56904064018</v>
      </c>
      <c r="Y29">
        <f t="shared" si="15"/>
        <v>151.59533747040399</v>
      </c>
      <c r="AA29">
        <v>48.1347741515942</v>
      </c>
      <c r="AB29">
        <v>3585.1988358404601</v>
      </c>
      <c r="AC29">
        <f>AA46</f>
        <v>508.742575337951</v>
      </c>
      <c r="AD29">
        <f>AVERAGE(AB46:AB48)</f>
        <v>639.28078516551329</v>
      </c>
      <c r="AF29">
        <v>35.623238135656003</v>
      </c>
      <c r="AG29">
        <v>100516.240674015</v>
      </c>
      <c r="AH29">
        <f t="shared" si="24"/>
        <v>1782.38557961468</v>
      </c>
      <c r="AI29">
        <f t="shared" si="24"/>
        <v>3739.4587706601401</v>
      </c>
      <c r="AK29">
        <v>50.543189751507697</v>
      </c>
      <c r="AL29">
        <v>496066.33414072701</v>
      </c>
      <c r="AM29">
        <f t="shared" ref="AM29:AN29" si="29">AK49</f>
        <v>992.00832152307396</v>
      </c>
      <c r="AN29">
        <f t="shared" si="29"/>
        <v>91962.067872155094</v>
      </c>
    </row>
    <row r="30" spans="2:40">
      <c r="B30">
        <v>34.8874183138132</v>
      </c>
      <c r="C30" s="52">
        <v>74706.740435585496</v>
      </c>
      <c r="D30">
        <f t="shared" si="22"/>
        <v>2324.6165972611798</v>
      </c>
      <c r="E30" s="52">
        <f t="shared" si="22"/>
        <v>14482.965474279201</v>
      </c>
      <c r="G30">
        <v>19.641539704393299</v>
      </c>
      <c r="H30" s="52">
        <v>629810.80624380102</v>
      </c>
      <c r="I30">
        <f t="shared" si="26"/>
        <v>385.79008195925798</v>
      </c>
      <c r="J30" s="52">
        <f t="shared" si="26"/>
        <v>55001.692266623402</v>
      </c>
      <c r="L30">
        <v>49.830914990065303</v>
      </c>
      <c r="M30">
        <v>17719.088709954402</v>
      </c>
      <c r="N30">
        <f t="shared" si="23"/>
        <v>1770.55093256289</v>
      </c>
      <c r="O30">
        <f t="shared" si="23"/>
        <v>742.25935697150601</v>
      </c>
      <c r="Q30">
        <v>45.339159606935802</v>
      </c>
      <c r="R30">
        <v>10372.9531643556</v>
      </c>
      <c r="S30">
        <f t="shared" si="28"/>
        <v>504.852097440139</v>
      </c>
      <c r="T30">
        <f t="shared" si="28"/>
        <v>6754.2922937886096</v>
      </c>
      <c r="V30">
        <v>35.973606865607501</v>
      </c>
      <c r="W30">
        <v>5182.5505928499497</v>
      </c>
      <c r="X30">
        <f t="shared" si="14"/>
        <v>2435.5361936336099</v>
      </c>
      <c r="Y30">
        <f t="shared" si="15"/>
        <v>626.724371813017</v>
      </c>
      <c r="AA30">
        <v>47.481521793532799</v>
      </c>
      <c r="AB30">
        <v>1246.6551634779901</v>
      </c>
      <c r="AC30">
        <f t="shared" ref="AC30:AD34" si="30">AA49</f>
        <v>690.61662836402604</v>
      </c>
      <c r="AD30">
        <f t="shared" si="30"/>
        <v>1550.72414315893</v>
      </c>
      <c r="AF30">
        <v>50.856270833557303</v>
      </c>
      <c r="AG30">
        <v>34893.283327630699</v>
      </c>
      <c r="AH30">
        <f t="shared" si="24"/>
        <v>2298.4908967720098</v>
      </c>
      <c r="AI30">
        <f t="shared" si="24"/>
        <v>12582.216640169599</v>
      </c>
      <c r="AK30">
        <v>52.271805388149502</v>
      </c>
      <c r="AL30">
        <v>261608.770666811</v>
      </c>
      <c r="AM30">
        <f t="shared" ref="AM30" si="31">AK50</f>
        <v>1490.80710016015</v>
      </c>
      <c r="AN30">
        <f>AVERAGE(AL50:AL51)</f>
        <v>174292.48133286589</v>
      </c>
    </row>
    <row r="31" spans="2:40">
      <c r="B31">
        <v>49.997532692656598</v>
      </c>
      <c r="C31" s="52">
        <v>70504.496658210104</v>
      </c>
      <c r="G31">
        <v>20.5444803080794</v>
      </c>
      <c r="H31" s="52">
        <v>325207.46698006301</v>
      </c>
      <c r="I31">
        <f t="shared" si="26"/>
        <v>390.14942042459802</v>
      </c>
      <c r="J31" s="52">
        <f t="shared" si="26"/>
        <v>101242.86832351499</v>
      </c>
      <c r="L31">
        <v>49.936484414909103</v>
      </c>
      <c r="M31">
        <v>11272.537406016299</v>
      </c>
      <c r="N31">
        <f t="shared" si="23"/>
        <v>2317.8488575599599</v>
      </c>
      <c r="O31">
        <f t="shared" si="23"/>
        <v>2353.3423704204502</v>
      </c>
      <c r="Q31">
        <v>59.7205649479233</v>
      </c>
      <c r="R31">
        <v>8823.2603489922603</v>
      </c>
      <c r="S31">
        <f t="shared" si="28"/>
        <v>869.54080383216399</v>
      </c>
      <c r="T31">
        <f t="shared" si="28"/>
        <v>23311.701737487401</v>
      </c>
      <c r="V31">
        <v>37.100297252945602</v>
      </c>
      <c r="W31">
        <v>9530.6306270749592</v>
      </c>
      <c r="AA31">
        <v>48.875793951854902</v>
      </c>
      <c r="AB31">
        <v>5167.4165124323999</v>
      </c>
      <c r="AC31">
        <f t="shared" si="30"/>
        <v>893.64429403873896</v>
      </c>
      <c r="AD31">
        <f t="shared" si="30"/>
        <v>1819.93054487824</v>
      </c>
      <c r="AF31">
        <v>50.848703956801799</v>
      </c>
      <c r="AG31">
        <v>37198.043668903898</v>
      </c>
      <c r="AK31">
        <v>59.509549080882202</v>
      </c>
      <c r="AL31">
        <v>161769.27250494499</v>
      </c>
      <c r="AM31">
        <f>AK52</f>
        <v>2017.5895700911301</v>
      </c>
      <c r="AN31">
        <f>AVERAGE(AL52:AL53)</f>
        <v>40125.937836373952</v>
      </c>
    </row>
    <row r="32" spans="2:40">
      <c r="B32">
        <v>50.057919406323897</v>
      </c>
      <c r="C32" s="52">
        <v>55054.4342010564</v>
      </c>
      <c r="G32">
        <v>20.5444803080794</v>
      </c>
      <c r="H32" s="52">
        <v>378797.03026058001</v>
      </c>
      <c r="I32">
        <f>G52</f>
        <v>417.35960438101102</v>
      </c>
      <c r="J32" s="52">
        <f>AVERAGE(H52:H53)</f>
        <v>146333.93124037626</v>
      </c>
      <c r="L32">
        <v>50.023025732039599</v>
      </c>
      <c r="M32">
        <v>7786.0046730684098</v>
      </c>
      <c r="Q32">
        <v>72.921193240087703</v>
      </c>
      <c r="R32">
        <v>81423.956665540594</v>
      </c>
      <c r="S32">
        <f t="shared" si="28"/>
        <v>975.00099538274901</v>
      </c>
      <c r="T32">
        <f t="shared" si="28"/>
        <v>17500.642245859999</v>
      </c>
      <c r="V32">
        <v>49.9400075375234</v>
      </c>
      <c r="W32">
        <v>509.68500420921401</v>
      </c>
      <c r="AA32">
        <v>59.371128425176899</v>
      </c>
      <c r="AB32">
        <v>3435.5540965565701</v>
      </c>
      <c r="AC32">
        <f t="shared" si="30"/>
        <v>984.46294352812004</v>
      </c>
      <c r="AD32">
        <f t="shared" si="30"/>
        <v>1818.25058344134</v>
      </c>
      <c r="AF32">
        <v>51.626354490407003</v>
      </c>
      <c r="AG32">
        <v>54593.038490073501</v>
      </c>
      <c r="AK32">
        <v>78.0771737555133</v>
      </c>
      <c r="AL32">
        <v>326261.572712694</v>
      </c>
      <c r="AM32">
        <f>AK54</f>
        <v>3430.1383151609102</v>
      </c>
      <c r="AN32">
        <f>AL54</f>
        <v>23032.4619482241</v>
      </c>
    </row>
    <row r="33" spans="2:38">
      <c r="B33">
        <v>50.123717234116</v>
      </c>
      <c r="C33" s="52">
        <v>42061.926244203401</v>
      </c>
      <c r="G33">
        <v>39.866647087058602</v>
      </c>
      <c r="H33" s="52">
        <v>296071.48755964497</v>
      </c>
      <c r="I33">
        <f>G54</f>
        <v>436.54602962086699</v>
      </c>
      <c r="J33" s="52">
        <f>H54</f>
        <v>236859.730762177</v>
      </c>
      <c r="L33">
        <v>50.080803248819798</v>
      </c>
      <c r="M33">
        <v>6083.8240216120503</v>
      </c>
      <c r="Q33">
        <v>153.95029405870099</v>
      </c>
      <c r="R33">
        <v>36036.509219606603</v>
      </c>
      <c r="S33">
        <f t="shared" si="28"/>
        <v>1474.7940802077401</v>
      </c>
      <c r="T33">
        <f t="shared" si="28"/>
        <v>2158.1170425260698</v>
      </c>
      <c r="V33">
        <v>51.533456339220002</v>
      </c>
      <c r="W33">
        <v>734.505803537151</v>
      </c>
      <c r="AA33">
        <v>79.1260375024262</v>
      </c>
      <c r="AB33">
        <v>13096.6274382921</v>
      </c>
      <c r="AC33">
        <f t="shared" si="30"/>
        <v>1436.4797006466099</v>
      </c>
      <c r="AD33">
        <f t="shared" si="30"/>
        <v>97.162732844175295</v>
      </c>
      <c r="AF33">
        <v>51.599474390521699</v>
      </c>
      <c r="AG33">
        <v>68290.640704994599</v>
      </c>
      <c r="AK33">
        <v>153.831236196444</v>
      </c>
      <c r="AL33">
        <v>82060.086978441599</v>
      </c>
    </row>
    <row r="34" spans="2:38">
      <c r="B34">
        <v>50.506874438893497</v>
      </c>
      <c r="C34" s="52">
        <v>88341.9261223371</v>
      </c>
      <c r="G34">
        <v>41.233427298940398</v>
      </c>
      <c r="H34" s="52">
        <v>485199.239928608</v>
      </c>
      <c r="I34">
        <f>G55</f>
        <v>477.60548300050698</v>
      </c>
      <c r="J34" s="52">
        <f>H55</f>
        <v>243861.264523441</v>
      </c>
      <c r="L34">
        <v>50.235203091876301</v>
      </c>
      <c r="M34">
        <v>3151.1949035693801</v>
      </c>
      <c r="Q34">
        <v>154.454638025099</v>
      </c>
      <c r="R34">
        <v>17913.687803106001</v>
      </c>
      <c r="S34">
        <f t="shared" si="28"/>
        <v>1921.7759745498099</v>
      </c>
      <c r="T34">
        <f t="shared" si="28"/>
        <v>18355.088982729802</v>
      </c>
      <c r="V34">
        <v>51.391840058027398</v>
      </c>
      <c r="W34">
        <v>2386.5544133681501</v>
      </c>
      <c r="AA34">
        <v>98.387216270095706</v>
      </c>
      <c r="AB34">
        <v>396.83465795764698</v>
      </c>
      <c r="AC34">
        <f t="shared" si="30"/>
        <v>3411.0790304617899</v>
      </c>
      <c r="AD34">
        <f t="shared" si="30"/>
        <v>1408.0622325138199</v>
      </c>
      <c r="AF34">
        <v>50.735335816279303</v>
      </c>
      <c r="AG34">
        <v>97094.369523529997</v>
      </c>
      <c r="AK34">
        <v>153.63679275616599</v>
      </c>
      <c r="AL34">
        <v>141334.18180149901</v>
      </c>
    </row>
    <row r="35" spans="2:38">
      <c r="B35">
        <v>50.977950955691803</v>
      </c>
      <c r="C35" s="52">
        <v>131809.27743883</v>
      </c>
      <c r="G35">
        <v>43.616315223761703</v>
      </c>
      <c r="H35" s="52">
        <v>682662.27644201298</v>
      </c>
      <c r="I35">
        <f>G56</f>
        <v>483.00231420655302</v>
      </c>
      <c r="J35" s="52">
        <f>AVERAGE(H56:H57)</f>
        <v>122162.4427783229</v>
      </c>
      <c r="L35">
        <v>50.390078951889002</v>
      </c>
      <c r="M35">
        <v>1632.2019317137399</v>
      </c>
      <c r="Q35">
        <v>190.491526305729</v>
      </c>
      <c r="R35">
        <v>19488.509769254099</v>
      </c>
      <c r="S35">
        <f t="shared" si="28"/>
        <v>1963.2578379942299</v>
      </c>
      <c r="T35">
        <f t="shared" si="28"/>
        <v>6049.2730084478098</v>
      </c>
      <c r="V35">
        <v>51.333354113831803</v>
      </c>
      <c r="W35">
        <v>3886.3397547520299</v>
      </c>
      <c r="AA35">
        <v>151.09539904755101</v>
      </c>
      <c r="AB35">
        <v>6523.4739465624198</v>
      </c>
      <c r="AF35">
        <v>74.790763388459197</v>
      </c>
      <c r="AG35">
        <v>34792.3651976947</v>
      </c>
      <c r="AK35">
        <v>195.64812778172299</v>
      </c>
      <c r="AL35">
        <v>105793.466558017</v>
      </c>
    </row>
    <row r="36" spans="2:38">
      <c r="B36">
        <v>71.735993414495894</v>
      </c>
      <c r="C36" s="52">
        <v>52337.006246851597</v>
      </c>
      <c r="G36">
        <v>44.109169471609803</v>
      </c>
      <c r="H36" s="52">
        <v>485227.13780002599</v>
      </c>
      <c r="I36">
        <f>G58</f>
        <v>488.46012835375802</v>
      </c>
      <c r="J36" s="52">
        <f>AVERAGE(H58:H61)</f>
        <v>139774.66284090199</v>
      </c>
      <c r="L36">
        <v>74.194838966409506</v>
      </c>
      <c r="M36">
        <v>2012.25007226505</v>
      </c>
      <c r="Q36">
        <v>192.74028774674201</v>
      </c>
      <c r="R36">
        <v>50181.325404867297</v>
      </c>
      <c r="S36">
        <f t="shared" si="28"/>
        <v>3497.9112185423301</v>
      </c>
      <c r="T36">
        <f t="shared" si="28"/>
        <v>15030.802036655799</v>
      </c>
      <c r="V36">
        <v>74.824951933026199</v>
      </c>
      <c r="W36">
        <v>324.71976458606599</v>
      </c>
      <c r="AA36">
        <v>199.260396993201</v>
      </c>
      <c r="AB36">
        <v>2262.0843248435699</v>
      </c>
      <c r="AF36">
        <v>74.729579452137997</v>
      </c>
      <c r="AG36">
        <v>49461.171685426503</v>
      </c>
      <c r="AK36">
        <v>225.993330350615</v>
      </c>
      <c r="AL36">
        <v>128033.00267922301</v>
      </c>
    </row>
    <row r="37" spans="2:38">
      <c r="B37">
        <v>72.435926257021094</v>
      </c>
      <c r="C37" s="52">
        <v>71560.515125656893</v>
      </c>
      <c r="G37">
        <v>45.111648313420602</v>
      </c>
      <c r="H37" s="52">
        <v>545037.76072343905</v>
      </c>
      <c r="I37">
        <f t="shared" ref="I37:J42" si="32">G62</f>
        <v>493.979614535216</v>
      </c>
      <c r="J37" s="52">
        <f t="shared" si="32"/>
        <v>212431.24680177099</v>
      </c>
      <c r="L37">
        <v>74.552560871405802</v>
      </c>
      <c r="M37">
        <v>22765.308957650199</v>
      </c>
      <c r="Q37">
        <v>227.11442987927899</v>
      </c>
      <c r="R37">
        <v>29450.1436916614</v>
      </c>
      <c r="V37">
        <v>75.703391316808407</v>
      </c>
      <c r="W37">
        <v>2192.1593631730402</v>
      </c>
      <c r="AA37">
        <v>229.91451533825801</v>
      </c>
      <c r="AB37">
        <v>5522.6957400602196</v>
      </c>
      <c r="AF37">
        <v>76.929705748333404</v>
      </c>
      <c r="AG37">
        <v>189453.704204398</v>
      </c>
      <c r="AK37">
        <v>296.94723069690298</v>
      </c>
      <c r="AL37">
        <v>136210.06275860101</v>
      </c>
    </row>
    <row r="38" spans="2:38">
      <c r="B38">
        <v>72.456502091022799</v>
      </c>
      <c r="C38" s="52">
        <v>67514.507232165401</v>
      </c>
      <c r="G38">
        <v>48.803171915272003</v>
      </c>
      <c r="H38" s="52">
        <v>577686.63043265301</v>
      </c>
      <c r="I38">
        <f t="shared" si="32"/>
        <v>669.06226071904302</v>
      </c>
      <c r="J38" s="52">
        <f t="shared" si="32"/>
        <v>30332.268847556301</v>
      </c>
      <c r="L38">
        <v>74.8399797917276</v>
      </c>
      <c r="M38">
        <v>10003.3813718948</v>
      </c>
      <c r="Q38">
        <v>289.58389979866001</v>
      </c>
      <c r="R38">
        <v>26093.654006447301</v>
      </c>
      <c r="V38">
        <v>75.645944783995304</v>
      </c>
      <c r="W38">
        <v>3034.2526444924802</v>
      </c>
      <c r="AA38">
        <v>297.70252616970703</v>
      </c>
      <c r="AB38">
        <v>4876.8479880279001</v>
      </c>
      <c r="AF38">
        <v>99.961090444937597</v>
      </c>
      <c r="AG38">
        <v>24420.8116266088</v>
      </c>
      <c r="AK38">
        <v>348.71641048695699</v>
      </c>
      <c r="AL38">
        <v>136045.77997006601</v>
      </c>
    </row>
    <row r="39" spans="2:38">
      <c r="B39">
        <v>95.090071777169399</v>
      </c>
      <c r="C39" s="52">
        <v>43327.629258259403</v>
      </c>
      <c r="G39">
        <v>49.354636440954899</v>
      </c>
      <c r="H39" s="52">
        <v>495964.30560871901</v>
      </c>
      <c r="I39">
        <f t="shared" si="32"/>
        <v>866.37200350443902</v>
      </c>
      <c r="J39" s="52">
        <f t="shared" si="32"/>
        <v>99127.967031262597</v>
      </c>
      <c r="L39">
        <v>77.5964690818859</v>
      </c>
      <c r="M39">
        <v>4396.9915992428296</v>
      </c>
      <c r="Q39">
        <v>341.492253768838</v>
      </c>
      <c r="R39">
        <v>12991.366811784001</v>
      </c>
      <c r="V39">
        <v>100.148634505321</v>
      </c>
      <c r="W39">
        <v>198.854793175525</v>
      </c>
      <c r="AA39">
        <v>347.072226127683</v>
      </c>
      <c r="AB39">
        <v>141.97414888370599</v>
      </c>
      <c r="AF39">
        <v>99.894178667723693</v>
      </c>
      <c r="AG39">
        <v>32565.839450011699</v>
      </c>
      <c r="AK39">
        <v>384.386653987557</v>
      </c>
      <c r="AL39">
        <v>89704.017524619398</v>
      </c>
    </row>
    <row r="40" spans="2:38">
      <c r="B40">
        <v>96.896226973987297</v>
      </c>
      <c r="C40" s="52">
        <v>91665.591619170795</v>
      </c>
      <c r="G40">
        <v>51.046700995689299</v>
      </c>
      <c r="H40" s="52">
        <v>275386.34497321298</v>
      </c>
      <c r="I40">
        <f t="shared" si="32"/>
        <v>980.35505833579396</v>
      </c>
      <c r="J40" s="52">
        <f t="shared" si="32"/>
        <v>116316.843777243</v>
      </c>
      <c r="L40">
        <v>101.621536701746</v>
      </c>
      <c r="M40">
        <v>12840.2179837696</v>
      </c>
      <c r="Q40">
        <v>388.54928363367202</v>
      </c>
      <c r="R40">
        <v>13553.557707854399</v>
      </c>
      <c r="V40">
        <v>99.712441498129706</v>
      </c>
      <c r="W40">
        <v>1289.1957269560801</v>
      </c>
      <c r="AA40">
        <v>409.34065585705503</v>
      </c>
      <c r="AB40">
        <v>29.059636684120299</v>
      </c>
      <c r="AF40">
        <v>99.775334968759495</v>
      </c>
      <c r="AG40">
        <v>54323.579902068297</v>
      </c>
      <c r="AK40">
        <v>410.79257005731603</v>
      </c>
      <c r="AL40">
        <v>35466.426485027499</v>
      </c>
    </row>
    <row r="41" spans="2:38">
      <c r="B41">
        <v>96.927191934322906</v>
      </c>
      <c r="C41" s="52">
        <v>85855.959344024901</v>
      </c>
      <c r="G41">
        <v>57.762590815554297</v>
      </c>
      <c r="H41" s="52">
        <v>398906.82011201401</v>
      </c>
      <c r="I41">
        <f t="shared" si="32"/>
        <v>1436.48221821939</v>
      </c>
      <c r="J41" s="52">
        <f t="shared" si="32"/>
        <v>14468.427460938699</v>
      </c>
      <c r="L41">
        <v>101.77806648475099</v>
      </c>
      <c r="M41">
        <v>9241.0582483427897</v>
      </c>
      <c r="Q41">
        <v>399.694953456088</v>
      </c>
      <c r="R41">
        <v>32149.328012858001</v>
      </c>
      <c r="V41">
        <v>99.646231055257402</v>
      </c>
      <c r="W41">
        <v>1713.36946037795</v>
      </c>
      <c r="AA41">
        <v>412.42075101728398</v>
      </c>
      <c r="AB41">
        <v>1172.5772646007199</v>
      </c>
      <c r="AF41">
        <v>99.686294989525905</v>
      </c>
      <c r="AG41">
        <v>79736.645394804495</v>
      </c>
      <c r="AK41">
        <v>410.27332622532498</v>
      </c>
      <c r="AL41">
        <v>61084.731362779698</v>
      </c>
    </row>
    <row r="42" spans="2:38">
      <c r="B42">
        <v>97.044260002899307</v>
      </c>
      <c r="C42" s="52">
        <v>67041.841137997399</v>
      </c>
      <c r="G42">
        <v>73.134908965313798</v>
      </c>
      <c r="H42" s="52">
        <v>393232.775936338</v>
      </c>
      <c r="I42">
        <f t="shared" si="32"/>
        <v>1452.71413417964</v>
      </c>
      <c r="J42" s="52">
        <f t="shared" si="32"/>
        <v>102095.343484821</v>
      </c>
      <c r="L42">
        <v>101.934837373861</v>
      </c>
      <c r="M42">
        <v>6650.7560585971496</v>
      </c>
      <c r="Q42">
        <v>409.26622207279502</v>
      </c>
      <c r="R42">
        <v>6469.0805236067999</v>
      </c>
      <c r="V42">
        <v>99.504499541603906</v>
      </c>
      <c r="W42">
        <v>3151.83012525204</v>
      </c>
      <c r="AA42">
        <v>418.09484944418301</v>
      </c>
      <c r="AB42">
        <v>3372.1615785484801</v>
      </c>
      <c r="AF42">
        <v>124.791281779204</v>
      </c>
      <c r="AG42">
        <v>93404.941488496799</v>
      </c>
      <c r="AK42">
        <v>497.94392429189202</v>
      </c>
      <c r="AL42">
        <v>42906.518789759</v>
      </c>
    </row>
    <row r="43" spans="2:38">
      <c r="B43">
        <v>97.209773322638497</v>
      </c>
      <c r="C43" s="52">
        <v>47281.124505181702</v>
      </c>
      <c r="G43">
        <v>96.855082764872904</v>
      </c>
      <c r="H43" s="52">
        <v>152988.61554911101</v>
      </c>
      <c r="I43">
        <f>G68</f>
        <v>1923.87943993206</v>
      </c>
      <c r="J43" s="52">
        <f>AVERAGE(H68:H69)</f>
        <v>64269.185985439603</v>
      </c>
      <c r="L43">
        <v>104.15515498072401</v>
      </c>
      <c r="M43">
        <v>2103.5913358131002</v>
      </c>
      <c r="Q43">
        <v>414.97491679721401</v>
      </c>
      <c r="R43">
        <v>10597.0835015924</v>
      </c>
      <c r="V43">
        <v>124.870367963118</v>
      </c>
      <c r="W43">
        <v>1854.42842658213</v>
      </c>
      <c r="AA43">
        <v>424.41045402258902</v>
      </c>
      <c r="AB43">
        <v>5490.48809114918</v>
      </c>
      <c r="AF43">
        <v>149.28732833170099</v>
      </c>
      <c r="AG43">
        <v>32467.734209052</v>
      </c>
      <c r="AK43">
        <v>497.24052556300302</v>
      </c>
      <c r="AL43">
        <v>78780.145534854295</v>
      </c>
    </row>
    <row r="44" spans="2:38">
      <c r="B44">
        <v>147.175001582813</v>
      </c>
      <c r="C44" s="52">
        <v>57984.146449662301</v>
      </c>
      <c r="G44">
        <v>148.44272136222401</v>
      </c>
      <c r="H44" s="52">
        <v>118688.096511244</v>
      </c>
      <c r="I44">
        <f>G70</f>
        <v>3412.34665456214</v>
      </c>
      <c r="J44" s="52">
        <f>H70</f>
        <v>38045.223726480697</v>
      </c>
      <c r="L44">
        <v>105.689278359776</v>
      </c>
      <c r="M44">
        <v>2923.3433607186098</v>
      </c>
      <c r="Q44">
        <v>447.13750612160402</v>
      </c>
      <c r="R44">
        <v>39530.102656565803</v>
      </c>
      <c r="V44">
        <v>146.72942058273401</v>
      </c>
      <c r="W44">
        <v>1851.57629433535</v>
      </c>
      <c r="AA44">
        <v>444.73656567840101</v>
      </c>
      <c r="AB44">
        <v>10950.075139324401</v>
      </c>
      <c r="AF44">
        <v>149.131911058611</v>
      </c>
      <c r="AG44">
        <v>50804.224157809098</v>
      </c>
      <c r="AK44">
        <v>496.98162920810501</v>
      </c>
      <c r="AL44">
        <v>98546.385440446698</v>
      </c>
    </row>
    <row r="45" spans="2:38">
      <c r="B45">
        <v>147.352758648031</v>
      </c>
      <c r="C45" s="52">
        <v>45277.741516159302</v>
      </c>
      <c r="G45">
        <v>194.39124055854799</v>
      </c>
      <c r="H45" s="52">
        <v>140301.47952108399</v>
      </c>
      <c r="L45">
        <v>125.11473849649001</v>
      </c>
      <c r="M45">
        <v>20224.279179830501</v>
      </c>
      <c r="Q45">
        <v>485.328098040523</v>
      </c>
      <c r="R45">
        <v>30912.1174879151</v>
      </c>
      <c r="V45">
        <v>146.46511721674599</v>
      </c>
      <c r="W45">
        <v>4007.2201324922198</v>
      </c>
      <c r="AA45">
        <v>474.01957730425897</v>
      </c>
      <c r="AB45">
        <v>15147.0943279614</v>
      </c>
      <c r="AF45">
        <v>202.88211726430399</v>
      </c>
      <c r="AG45">
        <v>17642.6028676266</v>
      </c>
      <c r="AK45">
        <v>496.50117926758298</v>
      </c>
      <c r="AL45">
        <v>149347.99944537599</v>
      </c>
    </row>
    <row r="46" spans="2:38">
      <c r="B46">
        <v>193.27906124646401</v>
      </c>
      <c r="C46" s="52">
        <v>32407.516254972699</v>
      </c>
      <c r="G46">
        <v>194.39124055854899</v>
      </c>
      <c r="H46" s="52">
        <v>154195.50531636699</v>
      </c>
      <c r="L46">
        <v>150.00323588628001</v>
      </c>
      <c r="M46">
        <v>9275.7298429763396</v>
      </c>
      <c r="Q46">
        <v>485.88866093966999</v>
      </c>
      <c r="R46">
        <v>24154.0932517521</v>
      </c>
      <c r="V46">
        <v>199.94224695892399</v>
      </c>
      <c r="W46">
        <v>523.84224256268203</v>
      </c>
      <c r="AA46">
        <v>508.742575337951</v>
      </c>
      <c r="AB46">
        <v>1078.89097917452</v>
      </c>
      <c r="AF46">
        <v>199.514127486326</v>
      </c>
      <c r="AG46">
        <v>23529.746807877898</v>
      </c>
      <c r="AK46">
        <v>488.14993324043701</v>
      </c>
      <c r="AL46">
        <v>219240.81091446499</v>
      </c>
    </row>
    <row r="47" spans="2:38">
      <c r="B47">
        <v>193.395746657122</v>
      </c>
      <c r="C47" s="52">
        <v>28637.3937687012</v>
      </c>
      <c r="G47">
        <v>224.96527710321399</v>
      </c>
      <c r="H47" s="52">
        <v>186270.78472780599</v>
      </c>
      <c r="L47">
        <v>150.147602414359</v>
      </c>
      <c r="M47">
        <v>7552.0770232827599</v>
      </c>
      <c r="Q47">
        <v>494.75582179618499</v>
      </c>
      <c r="R47">
        <v>16013.8274054588</v>
      </c>
      <c r="V47">
        <v>199.52528412660101</v>
      </c>
      <c r="W47">
        <v>1280.6913073525</v>
      </c>
      <c r="AA47">
        <v>501.55263056171702</v>
      </c>
      <c r="AB47">
        <v>478.73520714749202</v>
      </c>
      <c r="AF47">
        <v>199.42508394226601</v>
      </c>
      <c r="AG47">
        <v>28507.034622139799</v>
      </c>
      <c r="AK47">
        <v>687.67077975562404</v>
      </c>
      <c r="AL47">
        <v>23312.107872691598</v>
      </c>
    </row>
    <row r="48" spans="2:38">
      <c r="B48">
        <v>195.14411278250799</v>
      </c>
      <c r="C48" s="52">
        <v>45288.606968902997</v>
      </c>
      <c r="G48">
        <v>291.30864089297</v>
      </c>
      <c r="H48" s="52">
        <v>148747.15409492701</v>
      </c>
      <c r="L48">
        <v>197.88802201642699</v>
      </c>
      <c r="M48">
        <v>5678.37512498056</v>
      </c>
      <c r="Q48">
        <v>504.852097440139</v>
      </c>
      <c r="R48">
        <v>6754.2922937886096</v>
      </c>
      <c r="V48">
        <v>202.289554102773</v>
      </c>
      <c r="W48">
        <v>3536.4206374169598</v>
      </c>
      <c r="AA48">
        <v>501.88588974715202</v>
      </c>
      <c r="AB48">
        <v>360.21616917452798</v>
      </c>
      <c r="AF48">
        <v>226.29618443088401</v>
      </c>
      <c r="AG48">
        <v>71997.5243199783</v>
      </c>
      <c r="AK48">
        <v>887.38585893650497</v>
      </c>
      <c r="AL48">
        <v>58820.372368705503</v>
      </c>
    </row>
    <row r="49" spans="2:38">
      <c r="B49">
        <v>217.74675955581401</v>
      </c>
      <c r="C49" s="52">
        <v>79886.816619368794</v>
      </c>
      <c r="G49">
        <v>340.93538192843101</v>
      </c>
      <c r="H49" s="52">
        <v>164691.417332418</v>
      </c>
      <c r="L49">
        <v>198.269109183788</v>
      </c>
      <c r="M49">
        <v>3764.0962350469699</v>
      </c>
      <c r="Q49">
        <v>869.54080383216399</v>
      </c>
      <c r="R49">
        <v>23311.701737487401</v>
      </c>
      <c r="V49">
        <v>226.901900976332</v>
      </c>
      <c r="W49">
        <v>1567.2812958331899</v>
      </c>
      <c r="AA49">
        <v>690.61662836402604</v>
      </c>
      <c r="AB49">
        <v>1550.72414315893</v>
      </c>
      <c r="AF49">
        <v>298.18701693375198</v>
      </c>
      <c r="AG49">
        <v>22720.496993679899</v>
      </c>
      <c r="AK49">
        <v>992.00832152307396</v>
      </c>
      <c r="AL49">
        <v>91962.067872155094</v>
      </c>
    </row>
    <row r="50" spans="2:38">
      <c r="B50">
        <v>292.96634285197001</v>
      </c>
      <c r="C50" s="52">
        <v>31260.955690200801</v>
      </c>
      <c r="G50">
        <v>385.79008195925798</v>
      </c>
      <c r="H50" s="52">
        <v>55001.692266623402</v>
      </c>
      <c r="L50">
        <v>217.61837734027</v>
      </c>
      <c r="M50">
        <v>8574.20843094874</v>
      </c>
      <c r="Q50">
        <v>975.00099538274901</v>
      </c>
      <c r="R50">
        <v>17500.642245859999</v>
      </c>
      <c r="V50">
        <v>303.75199642454299</v>
      </c>
      <c r="W50">
        <v>884.86982773725504</v>
      </c>
      <c r="AA50">
        <v>893.64429403873896</v>
      </c>
      <c r="AB50">
        <v>1819.93054487824</v>
      </c>
      <c r="AF50">
        <v>361.55621769552101</v>
      </c>
      <c r="AG50">
        <v>24186.172625933799</v>
      </c>
      <c r="AK50">
        <v>1490.80710016015</v>
      </c>
      <c r="AL50">
        <v>8329.3971060128006</v>
      </c>
    </row>
    <row r="51" spans="2:38">
      <c r="B51">
        <v>349.63605317548399</v>
      </c>
      <c r="C51" s="52">
        <v>57188.820035503501</v>
      </c>
      <c r="G51">
        <v>390.14942042459802</v>
      </c>
      <c r="H51" s="52">
        <v>101242.86832351499</v>
      </c>
      <c r="L51">
        <v>302.39474334981998</v>
      </c>
      <c r="M51">
        <v>2505.29731319238</v>
      </c>
      <c r="Q51">
        <v>1474.7940802077401</v>
      </c>
      <c r="R51">
        <v>2158.1170425260698</v>
      </c>
      <c r="V51">
        <v>350.74720934762502</v>
      </c>
      <c r="W51">
        <v>1560.78146022229</v>
      </c>
      <c r="AA51">
        <v>984.46294352812004</v>
      </c>
      <c r="AB51">
        <v>1818.25058344134</v>
      </c>
      <c r="AF51">
        <v>355.21039626481502</v>
      </c>
      <c r="AG51">
        <v>48885.5441682616</v>
      </c>
      <c r="AK51">
        <v>1454.4339167748999</v>
      </c>
      <c r="AL51">
        <v>340255.56555971899</v>
      </c>
    </row>
    <row r="52" spans="2:38">
      <c r="B52">
        <v>350.53091431779302</v>
      </c>
      <c r="C52" s="52">
        <v>33870.681304189398</v>
      </c>
      <c r="G52">
        <v>417.35960438101102</v>
      </c>
      <c r="H52" s="52">
        <v>201871.00890814801</v>
      </c>
      <c r="L52">
        <v>348.25987847366298</v>
      </c>
      <c r="M52">
        <v>6198.8133702974701</v>
      </c>
      <c r="Q52">
        <v>1921.7759745498099</v>
      </c>
      <c r="R52">
        <v>18355.088982729802</v>
      </c>
      <c r="V52">
        <v>374.55178790284799</v>
      </c>
      <c r="W52">
        <v>957.86716795618395</v>
      </c>
      <c r="AA52">
        <v>1436.4797006466099</v>
      </c>
      <c r="AB52">
        <v>97.162732844175295</v>
      </c>
      <c r="AF52">
        <v>444.53423421076201</v>
      </c>
      <c r="AG52">
        <v>65080.199005212002</v>
      </c>
      <c r="AK52">
        <v>2017.5895700911301</v>
      </c>
      <c r="AL52">
        <v>27134.111794084001</v>
      </c>
    </row>
    <row r="53" spans="2:38">
      <c r="B53">
        <v>350.91690675257001</v>
      </c>
      <c r="C53" s="52">
        <v>27031.992187629399</v>
      </c>
      <c r="G53">
        <v>417.35960438101102</v>
      </c>
      <c r="H53" s="52">
        <v>90796.853572604494</v>
      </c>
      <c r="L53">
        <v>348.72921130434901</v>
      </c>
      <c r="M53">
        <v>4648.5146957259503</v>
      </c>
      <c r="Q53">
        <v>1963.2578379942299</v>
      </c>
      <c r="R53">
        <v>6049.2730084478098</v>
      </c>
      <c r="V53">
        <v>459.71142220837601</v>
      </c>
      <c r="W53">
        <v>7593.7507496855396</v>
      </c>
      <c r="AA53">
        <v>3411.0790304617899</v>
      </c>
      <c r="AB53">
        <v>1408.0622325138199</v>
      </c>
      <c r="AF53">
        <v>498.75962917025498</v>
      </c>
      <c r="AG53">
        <v>21230.6057591217</v>
      </c>
      <c r="AK53">
        <v>1982.3255082969199</v>
      </c>
      <c r="AL53">
        <v>53117.7638786639</v>
      </c>
    </row>
    <row r="54" spans="2:38">
      <c r="B54">
        <v>452.038279031711</v>
      </c>
      <c r="C54" s="52">
        <v>78781.993076836996</v>
      </c>
      <c r="G54">
        <v>436.54602962086699</v>
      </c>
      <c r="H54" s="52">
        <v>236859.730762177</v>
      </c>
      <c r="L54">
        <v>443.62432786476501</v>
      </c>
      <c r="M54">
        <v>6745.8662012653003</v>
      </c>
      <c r="Q54">
        <v>3497.9112185423301</v>
      </c>
      <c r="R54">
        <v>15030.802036655799</v>
      </c>
      <c r="V54">
        <v>508.16360618958902</v>
      </c>
      <c r="W54">
        <v>1756.8997714541099</v>
      </c>
      <c r="AF54">
        <v>686.75046418753698</v>
      </c>
      <c r="AG54">
        <v>41455.858349485898</v>
      </c>
      <c r="AK54">
        <v>3430.1383151609102</v>
      </c>
      <c r="AL54">
        <v>23032.4619482241</v>
      </c>
    </row>
    <row r="55" spans="2:38">
      <c r="B55">
        <v>491.50033771525699</v>
      </c>
      <c r="C55" s="52">
        <v>28041.4730357587</v>
      </c>
      <c r="G55">
        <v>477.60548300050698</v>
      </c>
      <c r="H55" s="52">
        <v>243861.264523441</v>
      </c>
      <c r="L55">
        <v>489.54813509541401</v>
      </c>
      <c r="M55">
        <v>4859.5228660232297</v>
      </c>
      <c r="V55">
        <v>691.53470070417302</v>
      </c>
      <c r="W55">
        <v>877.95088292415699</v>
      </c>
      <c r="AF55">
        <v>755.92891112436905</v>
      </c>
      <c r="AG55">
        <v>50188.732749887196</v>
      </c>
    </row>
    <row r="56" spans="2:38">
      <c r="B56">
        <v>686.93912336179199</v>
      </c>
      <c r="C56" s="52">
        <v>45008.678682830199</v>
      </c>
      <c r="G56">
        <v>483.00231420655302</v>
      </c>
      <c r="H56" s="52">
        <v>190498.45715245701</v>
      </c>
      <c r="L56">
        <v>698.15839596609101</v>
      </c>
      <c r="M56">
        <v>5516.3712955056799</v>
      </c>
      <c r="V56">
        <v>774.05536372070605</v>
      </c>
      <c r="W56">
        <v>951.25554015255796</v>
      </c>
      <c r="AF56">
        <v>783.70405319509405</v>
      </c>
      <c r="AG56">
        <v>9212.4986020615397</v>
      </c>
    </row>
    <row r="57" spans="2:38">
      <c r="B57">
        <v>750.029780624056</v>
      </c>
      <c r="C57" s="52">
        <v>68143.375982478698</v>
      </c>
      <c r="G57">
        <v>483.00231420655302</v>
      </c>
      <c r="H57" s="52">
        <v>53826.428404188802</v>
      </c>
      <c r="L57">
        <v>745.78432983739503</v>
      </c>
      <c r="M57">
        <v>4139.3314294714501</v>
      </c>
      <c r="V57">
        <v>1798.56904064018</v>
      </c>
      <c r="W57">
        <v>151.59533747040399</v>
      </c>
      <c r="AF57">
        <v>1782.38557961468</v>
      </c>
      <c r="AG57">
        <v>3739.4587706601401</v>
      </c>
    </row>
    <row r="58" spans="2:38">
      <c r="B58">
        <v>790.96939741735696</v>
      </c>
      <c r="C58" s="52">
        <v>12693.621406484401</v>
      </c>
      <c r="G58">
        <v>488.46012835375802</v>
      </c>
      <c r="H58" s="52">
        <v>118808.716932276</v>
      </c>
      <c r="L58">
        <v>784.94427218395901</v>
      </c>
      <c r="M58">
        <v>2328.8675701932202</v>
      </c>
      <c r="V58">
        <v>2435.5361936336099</v>
      </c>
      <c r="W58">
        <v>626.724371813017</v>
      </c>
      <c r="AF58">
        <v>2298.4908967720098</v>
      </c>
      <c r="AG58">
        <v>12582.216640169599</v>
      </c>
    </row>
    <row r="59" spans="2:38">
      <c r="B59">
        <v>2324.6165972611798</v>
      </c>
      <c r="C59" s="52">
        <v>14482.965474279201</v>
      </c>
      <c r="G59">
        <v>488.46012835375899</v>
      </c>
      <c r="H59" s="52">
        <v>158866.113490697</v>
      </c>
      <c r="L59">
        <v>1770.55093256289</v>
      </c>
      <c r="M59">
        <v>742.25935697150601</v>
      </c>
    </row>
    <row r="60" spans="2:38">
      <c r="G60">
        <v>488.46012835375899</v>
      </c>
      <c r="H60" s="52">
        <v>149897.599504143</v>
      </c>
      <c r="L60">
        <v>2317.8488575599599</v>
      </c>
      <c r="M60">
        <v>2353.3423704204502</v>
      </c>
    </row>
    <row r="61" spans="2:38">
      <c r="G61">
        <v>488.46012835375899</v>
      </c>
      <c r="H61" s="52">
        <v>131526.22143649199</v>
      </c>
    </row>
    <row r="62" spans="2:38">
      <c r="G62">
        <v>493.979614535216</v>
      </c>
      <c r="H62" s="52">
        <v>212431.24680177099</v>
      </c>
    </row>
    <row r="63" spans="2:38">
      <c r="G63">
        <v>669.06226071904302</v>
      </c>
      <c r="H63" s="52">
        <v>30332.268847556301</v>
      </c>
    </row>
    <row r="64" spans="2:38">
      <c r="G64">
        <v>866.37200350443902</v>
      </c>
      <c r="H64" s="52">
        <v>99127.967031262597</v>
      </c>
    </row>
    <row r="65" spans="1:25">
      <c r="G65">
        <v>980.35505833579396</v>
      </c>
      <c r="H65" s="52">
        <v>116316.843777243</v>
      </c>
    </row>
    <row r="66" spans="1:25">
      <c r="G66">
        <v>1436.48221821939</v>
      </c>
      <c r="H66" s="52">
        <v>14468.427460938699</v>
      </c>
    </row>
    <row r="67" spans="1:25">
      <c r="G67">
        <v>1452.71413417964</v>
      </c>
      <c r="H67" s="52">
        <v>102095.343484821</v>
      </c>
    </row>
    <row r="68" spans="1:25">
      <c r="G68">
        <v>1923.87943993206</v>
      </c>
      <c r="H68" s="52">
        <v>92918.141258314601</v>
      </c>
    </row>
    <row r="69" spans="1:25">
      <c r="G69">
        <v>1923.87943993206</v>
      </c>
      <c r="H69" s="52">
        <v>35620.230712564597</v>
      </c>
    </row>
    <row r="70" spans="1:25">
      <c r="G70">
        <v>3412.34665456214</v>
      </c>
      <c r="H70" s="52">
        <v>38045.223726480697</v>
      </c>
      <c r="V70" s="55"/>
      <c r="W70" s="55"/>
    </row>
    <row r="71" spans="1:25">
      <c r="A71" t="s">
        <v>212</v>
      </c>
      <c r="H71" s="52"/>
      <c r="S71" s="55"/>
      <c r="T71" s="55"/>
      <c r="X71" s="55"/>
      <c r="Y71" s="55"/>
    </row>
    <row r="72" spans="1:25" s="55" customFormat="1" ht="26">
      <c r="B72" s="55" t="s">
        <v>520</v>
      </c>
      <c r="C72" s="55" t="s">
        <v>195</v>
      </c>
      <c r="D72" s="55" t="s">
        <v>199</v>
      </c>
      <c r="E72" s="55" t="s">
        <v>197</v>
      </c>
      <c r="F72" s="55" t="s">
        <v>196</v>
      </c>
      <c r="G72" s="55" t="s">
        <v>203</v>
      </c>
      <c r="H72" s="56" t="s">
        <v>208</v>
      </c>
      <c r="I72" s="55" t="s">
        <v>209</v>
      </c>
      <c r="J72" s="55" t="s">
        <v>210</v>
      </c>
      <c r="S72"/>
      <c r="T72"/>
      <c r="V72"/>
      <c r="W72"/>
      <c r="X72"/>
      <c r="Y72"/>
    </row>
    <row r="73" spans="1:25">
      <c r="A73" t="s">
        <v>194</v>
      </c>
      <c r="B73">
        <f>D6</f>
        <v>2.0097711959402802</v>
      </c>
      <c r="C73" s="52">
        <f>E6</f>
        <v>106268.78236075731</v>
      </c>
      <c r="D73">
        <f>N6</f>
        <v>1.90836084791281</v>
      </c>
      <c r="E73" s="52">
        <f>O6</f>
        <v>11428.689194718143</v>
      </c>
      <c r="F73">
        <f t="shared" ref="F73:F82" si="33">X6</f>
        <v>2.0078541604504001</v>
      </c>
      <c r="G73" s="56">
        <f t="shared" ref="G73:G82" si="34">Y6</f>
        <v>5774.6320055391298</v>
      </c>
      <c r="H73" s="52">
        <f>E73+G73</f>
        <v>17203.321200257273</v>
      </c>
      <c r="I73">
        <f>AH6</f>
        <v>2.0429427962612601</v>
      </c>
      <c r="J73">
        <f>AI6</f>
        <v>65549.027909129858</v>
      </c>
    </row>
    <row r="74" spans="1:25">
      <c r="A74" t="s">
        <v>194</v>
      </c>
      <c r="B74">
        <f t="shared" ref="B74:C74" si="35">D8</f>
        <v>4.8802476347854498</v>
      </c>
      <c r="C74" s="52">
        <f t="shared" si="35"/>
        <v>80934.523171543697</v>
      </c>
      <c r="D74">
        <f t="shared" ref="D74:D82" si="36">N8</f>
        <v>4.87986505731602</v>
      </c>
      <c r="E74" s="52">
        <f t="shared" ref="E74:E82" si="37">O8</f>
        <v>7065.4387568775801</v>
      </c>
      <c r="F74">
        <f t="shared" si="33"/>
        <v>4.96973729023955</v>
      </c>
      <c r="G74" s="56">
        <f t="shared" si="34"/>
        <v>2285.4557412272184</v>
      </c>
      <c r="H74" s="52">
        <f t="shared" ref="H74:H94" si="38">E74+G74</f>
        <v>9350.8944981047989</v>
      </c>
      <c r="I74">
        <f t="shared" ref="I74:I83" si="39">AH8</f>
        <v>5.0253026704422998</v>
      </c>
      <c r="J74">
        <f t="shared" ref="J74:J83" si="40">AI8</f>
        <v>60428.270660163398</v>
      </c>
    </row>
    <row r="75" spans="1:25">
      <c r="A75" t="s">
        <v>194</v>
      </c>
      <c r="B75">
        <f t="shared" ref="B75:C75" si="41">D9</f>
        <v>9.8240374473940708</v>
      </c>
      <c r="C75" s="52">
        <f t="shared" si="41"/>
        <v>66438.309930297197</v>
      </c>
      <c r="D75">
        <f t="shared" si="36"/>
        <v>9.9573866933541009</v>
      </c>
      <c r="E75" s="52">
        <f t="shared" si="37"/>
        <v>7722.6425623126124</v>
      </c>
      <c r="F75">
        <f t="shared" si="33"/>
        <v>10.0946966969142</v>
      </c>
      <c r="G75" s="56">
        <f t="shared" si="34"/>
        <v>4788.9205899094422</v>
      </c>
      <c r="H75" s="52">
        <f t="shared" si="38"/>
        <v>12511.563152222054</v>
      </c>
      <c r="I75">
        <f t="shared" si="39"/>
        <v>10.1956155135204</v>
      </c>
      <c r="J75">
        <f t="shared" si="40"/>
        <v>67340.615767886018</v>
      </c>
    </row>
    <row r="76" spans="1:25">
      <c r="A76" t="s">
        <v>194</v>
      </c>
      <c r="B76">
        <f t="shared" ref="B76:B84" si="42">D11</f>
        <v>15.0175882402784</v>
      </c>
      <c r="C76" s="52">
        <f t="shared" ref="C76:C84" si="43">E11</f>
        <v>77418.524604785402</v>
      </c>
      <c r="D76">
        <f t="shared" si="36"/>
        <v>15.108055663796</v>
      </c>
      <c r="E76" s="52">
        <f t="shared" si="37"/>
        <v>6158.0260741313732</v>
      </c>
      <c r="F76">
        <f t="shared" si="33"/>
        <v>15.1262867189385</v>
      </c>
      <c r="G76" s="56">
        <f t="shared" si="34"/>
        <v>1435.0425573272569</v>
      </c>
      <c r="H76" s="52">
        <f t="shared" si="38"/>
        <v>7593.0686314586301</v>
      </c>
      <c r="I76">
        <f t="shared" si="39"/>
        <v>15.2380195532194</v>
      </c>
      <c r="J76">
        <f t="shared" si="40"/>
        <v>61813.797117986403</v>
      </c>
    </row>
    <row r="77" spans="1:25">
      <c r="A77" t="s">
        <v>194</v>
      </c>
      <c r="B77">
        <f t="shared" si="42"/>
        <v>18.8050732836201</v>
      </c>
      <c r="C77" s="52">
        <f t="shared" si="43"/>
        <v>78074.663022372843</v>
      </c>
      <c r="D77">
        <f t="shared" si="36"/>
        <v>19.573717089473298</v>
      </c>
      <c r="E77" s="52">
        <f t="shared" si="37"/>
        <v>7403.970710374515</v>
      </c>
      <c r="F77">
        <f t="shared" si="33"/>
        <v>19.524886214777698</v>
      </c>
      <c r="G77" s="56">
        <f t="shared" si="34"/>
        <v>2822.6065723818747</v>
      </c>
      <c r="H77" s="52">
        <f t="shared" si="38"/>
        <v>10226.577282756389</v>
      </c>
      <c r="I77">
        <f t="shared" si="39"/>
        <v>19.685440330650898</v>
      </c>
      <c r="J77">
        <f t="shared" si="40"/>
        <v>63277.0037100724</v>
      </c>
    </row>
    <row r="78" spans="1:25">
      <c r="A78" t="s">
        <v>194</v>
      </c>
      <c r="B78">
        <f t="shared" si="42"/>
        <v>24.341247786062901</v>
      </c>
      <c r="C78" s="52">
        <f t="shared" si="43"/>
        <v>73451.431739592997</v>
      </c>
      <c r="D78">
        <f t="shared" si="36"/>
        <v>24.914432428077699</v>
      </c>
      <c r="E78" s="52">
        <f t="shared" si="37"/>
        <v>10463.643632618312</v>
      </c>
      <c r="F78">
        <f t="shared" si="33"/>
        <v>24.9077556111985</v>
      </c>
      <c r="G78" s="56">
        <f t="shared" si="34"/>
        <v>4175.8710859639868</v>
      </c>
      <c r="H78" s="52">
        <f t="shared" si="38"/>
        <v>14639.514718582299</v>
      </c>
      <c r="I78">
        <f t="shared" si="39"/>
        <v>25.887148725294299</v>
      </c>
      <c r="J78">
        <f t="shared" si="40"/>
        <v>50129.763267554001</v>
      </c>
    </row>
    <row r="79" spans="1:25">
      <c r="A79" t="s">
        <v>194</v>
      </c>
      <c r="B79">
        <f t="shared" si="42"/>
        <v>29.181986839606701</v>
      </c>
      <c r="C79" s="52">
        <f t="shared" si="43"/>
        <v>58326.8581121811</v>
      </c>
      <c r="D79">
        <f t="shared" si="36"/>
        <v>29.870545464046501</v>
      </c>
      <c r="E79" s="52">
        <f t="shared" si="37"/>
        <v>5575.64943099622</v>
      </c>
      <c r="F79">
        <f t="shared" si="33"/>
        <v>30.193220833865599</v>
      </c>
      <c r="G79" s="56">
        <f t="shared" si="34"/>
        <v>1957.6723730057499</v>
      </c>
      <c r="H79" s="52">
        <f t="shared" si="38"/>
        <v>7533.3218040019701</v>
      </c>
      <c r="I79">
        <f t="shared" si="39"/>
        <v>30.920348137958399</v>
      </c>
      <c r="J79">
        <f t="shared" si="40"/>
        <v>51324.356169382649</v>
      </c>
    </row>
    <row r="80" spans="1:25">
      <c r="A80" t="s">
        <v>194</v>
      </c>
      <c r="B80">
        <f t="shared" si="42"/>
        <v>34.164262041628596</v>
      </c>
      <c r="C80" s="52">
        <f t="shared" si="43"/>
        <v>88820.309671825147</v>
      </c>
      <c r="D80">
        <f t="shared" si="36"/>
        <v>34.427586581725699</v>
      </c>
      <c r="E80" s="52">
        <f t="shared" si="37"/>
        <v>7224.3966082377055</v>
      </c>
      <c r="F80">
        <f t="shared" si="33"/>
        <v>35.542686718824399</v>
      </c>
      <c r="G80" s="56">
        <f t="shared" si="34"/>
        <v>3832.7076314663136</v>
      </c>
      <c r="H80" s="52">
        <f t="shared" si="38"/>
        <v>11057.104239704018</v>
      </c>
      <c r="I80">
        <f t="shared" si="39"/>
        <v>36.885462533308498</v>
      </c>
      <c r="J80">
        <f t="shared" si="40"/>
        <v>67467.279070281627</v>
      </c>
    </row>
    <row r="81" spans="1:10">
      <c r="A81" t="s">
        <v>194</v>
      </c>
      <c r="B81">
        <f t="shared" si="42"/>
        <v>49.997532692656598</v>
      </c>
      <c r="C81" s="52">
        <f t="shared" si="43"/>
        <v>77554.412132927406</v>
      </c>
      <c r="D81">
        <f t="shared" si="36"/>
        <v>49.830914990065303</v>
      </c>
      <c r="E81" s="52">
        <f t="shared" si="37"/>
        <v>7940.8086076557147</v>
      </c>
      <c r="F81">
        <f t="shared" si="33"/>
        <v>49.9400075375234</v>
      </c>
      <c r="G81" s="56">
        <f t="shared" si="34"/>
        <v>1879.2712439666361</v>
      </c>
      <c r="H81" s="52">
        <f t="shared" si="38"/>
        <v>9820.0798516223513</v>
      </c>
      <c r="I81">
        <f t="shared" si="39"/>
        <v>50.856270833557303</v>
      </c>
      <c r="J81">
        <f t="shared" si="40"/>
        <v>64294.023096875506</v>
      </c>
    </row>
    <row r="82" spans="1:10">
      <c r="A82" t="s">
        <v>194</v>
      </c>
      <c r="B82">
        <f t="shared" si="42"/>
        <v>71.735993414495894</v>
      </c>
      <c r="C82" s="52">
        <f t="shared" si="43"/>
        <v>63804.009534891295</v>
      </c>
      <c r="D82">
        <f t="shared" si="36"/>
        <v>74.194838966409506</v>
      </c>
      <c r="E82" s="52">
        <f t="shared" si="37"/>
        <v>11593.646800603348</v>
      </c>
      <c r="F82">
        <f t="shared" si="33"/>
        <v>74.824951933026199</v>
      </c>
      <c r="G82" s="56">
        <f t="shared" si="34"/>
        <v>1850.3772574171956</v>
      </c>
      <c r="H82" s="52">
        <f t="shared" si="38"/>
        <v>13444.024058020545</v>
      </c>
      <c r="I82">
        <f t="shared" si="39"/>
        <v>74.790763388459197</v>
      </c>
      <c r="J82">
        <f t="shared" si="40"/>
        <v>91235.747029173071</v>
      </c>
    </row>
    <row r="83" spans="1:10">
      <c r="A83" t="s">
        <v>194</v>
      </c>
      <c r="B83">
        <f t="shared" si="42"/>
        <v>95.090071777169399</v>
      </c>
      <c r="C83" s="52">
        <f t="shared" si="43"/>
        <v>67496.610438715099</v>
      </c>
      <c r="D83">
        <f>N18</f>
        <v>101.621536701746</v>
      </c>
      <c r="E83" s="52">
        <f>O18</f>
        <v>6751.7933974482494</v>
      </c>
      <c r="F83">
        <f>X17</f>
        <v>124.870367963118</v>
      </c>
      <c r="G83" s="56">
        <f>Y17</f>
        <v>1854.42842658213</v>
      </c>
      <c r="H83" s="52">
        <f t="shared" si="38"/>
        <v>8606.2218240303791</v>
      </c>
      <c r="I83">
        <f t="shared" si="39"/>
        <v>99.961090444937597</v>
      </c>
      <c r="J83">
        <f t="shared" si="40"/>
        <v>47761.719093373322</v>
      </c>
    </row>
    <row r="84" spans="1:10">
      <c r="A84" t="s">
        <v>194</v>
      </c>
      <c r="B84">
        <f t="shared" si="42"/>
        <v>147.175001582813</v>
      </c>
      <c r="C84" s="52">
        <f t="shared" si="43"/>
        <v>51630.943982910801</v>
      </c>
      <c r="D84">
        <f t="shared" ref="D84:D93" si="44">N20</f>
        <v>150.00323588628001</v>
      </c>
      <c r="E84" s="52">
        <f t="shared" ref="E84:E93" si="45">O20</f>
        <v>8413.9034331295497</v>
      </c>
      <c r="F84">
        <f t="shared" ref="F84:F93" si="46">X19</f>
        <v>199.94224695892399</v>
      </c>
      <c r="G84" s="56">
        <f t="shared" ref="G84:G93" si="47">Y19</f>
        <v>902.266774957591</v>
      </c>
      <c r="H84" s="52">
        <f t="shared" si="38"/>
        <v>9316.1702080871401</v>
      </c>
      <c r="I84">
        <f t="shared" ref="I84:I93" si="48">AH19</f>
        <v>149.28732833170099</v>
      </c>
      <c r="J84">
        <f t="shared" ref="J84:J93" si="49">AI19</f>
        <v>41635.979183430551</v>
      </c>
    </row>
    <row r="85" spans="1:10">
      <c r="A85" t="s">
        <v>194</v>
      </c>
      <c r="B85">
        <f t="shared" ref="B85:B94" si="50">D21</f>
        <v>195.14411278250799</v>
      </c>
      <c r="C85" s="52">
        <f t="shared" ref="C85:C94" si="51">E21</f>
        <v>45288.606968902997</v>
      </c>
      <c r="D85">
        <f t="shared" si="44"/>
        <v>197.88802201642699</v>
      </c>
      <c r="E85" s="52">
        <f t="shared" si="45"/>
        <v>4721.235680013765</v>
      </c>
      <c r="F85">
        <f t="shared" si="46"/>
        <v>202.289554102773</v>
      </c>
      <c r="G85" s="56">
        <f t="shared" si="47"/>
        <v>3536.4206374169598</v>
      </c>
      <c r="H85" s="52">
        <f t="shared" si="38"/>
        <v>8257.6563174307248</v>
      </c>
      <c r="I85">
        <f t="shared" si="48"/>
        <v>202.88211726430399</v>
      </c>
      <c r="J85">
        <f t="shared" si="49"/>
        <v>23226.461432548098</v>
      </c>
    </row>
    <row r="86" spans="1:10">
      <c r="A86" t="s">
        <v>194</v>
      </c>
      <c r="B86">
        <f t="shared" si="50"/>
        <v>217.74675955581401</v>
      </c>
      <c r="C86" s="52">
        <f t="shared" si="51"/>
        <v>79886.816619368794</v>
      </c>
      <c r="D86">
        <f t="shared" si="44"/>
        <v>217.61837734027</v>
      </c>
      <c r="E86" s="52">
        <f t="shared" si="45"/>
        <v>8574.20843094874</v>
      </c>
      <c r="F86">
        <f t="shared" si="46"/>
        <v>226.901900976332</v>
      </c>
      <c r="G86" s="56">
        <f t="shared" si="47"/>
        <v>1567.2812958331899</v>
      </c>
      <c r="H86" s="52">
        <f t="shared" si="38"/>
        <v>10141.489726781931</v>
      </c>
      <c r="I86">
        <f t="shared" si="48"/>
        <v>226.29618443088401</v>
      </c>
      <c r="J86">
        <f t="shared" si="49"/>
        <v>71997.5243199783</v>
      </c>
    </row>
    <row r="87" spans="1:10">
      <c r="A87" t="s">
        <v>194</v>
      </c>
      <c r="B87">
        <f t="shared" si="50"/>
        <v>292.96634285197001</v>
      </c>
      <c r="C87" s="52">
        <f t="shared" si="51"/>
        <v>31260.955690200801</v>
      </c>
      <c r="D87">
        <f t="shared" si="44"/>
        <v>302.39474334981998</v>
      </c>
      <c r="E87" s="52">
        <f t="shared" si="45"/>
        <v>2505.29731319238</v>
      </c>
      <c r="F87">
        <f t="shared" si="46"/>
        <v>303.75199642454299</v>
      </c>
      <c r="G87" s="56">
        <f t="shared" si="47"/>
        <v>884.86982773725504</v>
      </c>
      <c r="H87" s="52">
        <f t="shared" si="38"/>
        <v>3390.167140929635</v>
      </c>
      <c r="I87">
        <f t="shared" si="48"/>
        <v>298.18701693375198</v>
      </c>
      <c r="J87">
        <f t="shared" si="49"/>
        <v>22720.496993679899</v>
      </c>
    </row>
    <row r="88" spans="1:10">
      <c r="A88" t="s">
        <v>194</v>
      </c>
      <c r="B88">
        <f t="shared" si="50"/>
        <v>349.63605317548399</v>
      </c>
      <c r="C88" s="52">
        <f t="shared" si="51"/>
        <v>39363.831175774096</v>
      </c>
      <c r="D88">
        <f t="shared" si="44"/>
        <v>348.25987847366298</v>
      </c>
      <c r="E88" s="52">
        <f t="shared" si="45"/>
        <v>5423.6640330117098</v>
      </c>
      <c r="F88">
        <f t="shared" si="46"/>
        <v>350.74720934762502</v>
      </c>
      <c r="G88" s="56">
        <f t="shared" si="47"/>
        <v>1560.78146022229</v>
      </c>
      <c r="H88" s="52">
        <f t="shared" si="38"/>
        <v>6984.4454932339995</v>
      </c>
      <c r="I88">
        <f t="shared" si="48"/>
        <v>361.55621769552101</v>
      </c>
      <c r="J88">
        <f t="shared" si="49"/>
        <v>36535.858397097698</v>
      </c>
    </row>
    <row r="89" spans="1:10">
      <c r="A89" t="s">
        <v>194</v>
      </c>
      <c r="B89">
        <f t="shared" si="50"/>
        <v>452.038279031711</v>
      </c>
      <c r="C89" s="52">
        <f t="shared" si="51"/>
        <v>78781.993076836996</v>
      </c>
      <c r="D89">
        <f t="shared" si="44"/>
        <v>443.62432786476501</v>
      </c>
      <c r="E89" s="52">
        <f t="shared" si="45"/>
        <v>6745.8662012653003</v>
      </c>
      <c r="F89">
        <f t="shared" si="46"/>
        <v>374.55178790284799</v>
      </c>
      <c r="G89" s="56">
        <f t="shared" si="47"/>
        <v>957.86716795618395</v>
      </c>
      <c r="H89" s="52">
        <f t="shared" si="38"/>
        <v>7703.7333692214843</v>
      </c>
      <c r="I89">
        <f t="shared" si="48"/>
        <v>444.53423421076201</v>
      </c>
      <c r="J89">
        <f t="shared" si="49"/>
        <v>65080.199005212002</v>
      </c>
    </row>
    <row r="90" spans="1:10">
      <c r="A90" t="s">
        <v>194</v>
      </c>
      <c r="B90">
        <f t="shared" si="50"/>
        <v>491.50033771525699</v>
      </c>
      <c r="C90" s="52">
        <f t="shared" si="51"/>
        <v>28041.4730357587</v>
      </c>
      <c r="D90">
        <f t="shared" si="44"/>
        <v>489.54813509541401</v>
      </c>
      <c r="E90" s="52">
        <f t="shared" si="45"/>
        <v>4859.5228660232297</v>
      </c>
      <c r="F90">
        <f t="shared" si="46"/>
        <v>459.71142220837601</v>
      </c>
      <c r="G90" s="56">
        <f t="shared" si="47"/>
        <v>7593.7507496855396</v>
      </c>
      <c r="H90" s="52">
        <f t="shared" si="38"/>
        <v>12453.273615708769</v>
      </c>
      <c r="I90">
        <f t="shared" si="48"/>
        <v>498.75962917025498</v>
      </c>
      <c r="J90">
        <f t="shared" si="49"/>
        <v>21230.6057591217</v>
      </c>
    </row>
    <row r="91" spans="1:10">
      <c r="A91" t="s">
        <v>194</v>
      </c>
      <c r="B91">
        <f t="shared" si="50"/>
        <v>686.93912336179199</v>
      </c>
      <c r="C91" s="52">
        <f t="shared" si="51"/>
        <v>45008.678682830199</v>
      </c>
      <c r="D91">
        <f t="shared" si="44"/>
        <v>698.15839596609101</v>
      </c>
      <c r="E91" s="52">
        <f t="shared" si="45"/>
        <v>5516.3712955056799</v>
      </c>
      <c r="F91">
        <f t="shared" si="46"/>
        <v>508.16360618958902</v>
      </c>
      <c r="G91" s="56">
        <f t="shared" si="47"/>
        <v>1756.8997714541099</v>
      </c>
      <c r="H91" s="52">
        <f t="shared" si="38"/>
        <v>7273.27106695979</v>
      </c>
      <c r="I91">
        <f t="shared" si="48"/>
        <v>686.75046418753698</v>
      </c>
      <c r="J91">
        <f t="shared" si="49"/>
        <v>41455.858349485898</v>
      </c>
    </row>
    <row r="92" spans="1:10">
      <c r="A92" t="s">
        <v>194</v>
      </c>
      <c r="B92">
        <f t="shared" si="50"/>
        <v>750.029780624056</v>
      </c>
      <c r="C92" s="52">
        <f t="shared" si="51"/>
        <v>68143.375982478698</v>
      </c>
      <c r="D92">
        <f t="shared" si="44"/>
        <v>745.78432983739503</v>
      </c>
      <c r="E92" s="52">
        <f t="shared" si="45"/>
        <v>4139.3314294714501</v>
      </c>
      <c r="F92">
        <f t="shared" si="46"/>
        <v>691.53470070417302</v>
      </c>
      <c r="G92" s="56">
        <f t="shared" si="47"/>
        <v>877.95088292415699</v>
      </c>
      <c r="H92" s="52">
        <f t="shared" si="38"/>
        <v>5017.2823123956068</v>
      </c>
      <c r="I92">
        <f t="shared" si="48"/>
        <v>755.92891112436905</v>
      </c>
      <c r="J92">
        <f t="shared" si="49"/>
        <v>50188.732749887196</v>
      </c>
    </row>
    <row r="93" spans="1:10">
      <c r="A93" t="s">
        <v>194</v>
      </c>
      <c r="B93">
        <f t="shared" si="50"/>
        <v>790.96939741735696</v>
      </c>
      <c r="C93" s="52">
        <f t="shared" si="51"/>
        <v>12693.621406484401</v>
      </c>
      <c r="D93">
        <f t="shared" si="44"/>
        <v>784.94427218395901</v>
      </c>
      <c r="E93" s="52">
        <f t="shared" si="45"/>
        <v>2328.8675701932202</v>
      </c>
      <c r="F93">
        <f t="shared" si="46"/>
        <v>774.05536372070605</v>
      </c>
      <c r="G93" s="56">
        <f t="shared" si="47"/>
        <v>951.25554015255796</v>
      </c>
      <c r="H93" s="52">
        <f t="shared" si="38"/>
        <v>3280.1231103457781</v>
      </c>
      <c r="I93">
        <f t="shared" si="48"/>
        <v>783.70405319509405</v>
      </c>
      <c r="J93">
        <f t="shared" si="49"/>
        <v>9212.4986020615397</v>
      </c>
    </row>
    <row r="94" spans="1:10">
      <c r="A94" t="s">
        <v>194</v>
      </c>
      <c r="B94">
        <f t="shared" si="50"/>
        <v>2324.6165972611798</v>
      </c>
      <c r="C94" s="52">
        <f t="shared" si="51"/>
        <v>14482.965474279201</v>
      </c>
      <c r="D94">
        <f>N31</f>
        <v>2317.8488575599599</v>
      </c>
      <c r="E94" s="52">
        <f>O31</f>
        <v>2353.3423704204502</v>
      </c>
      <c r="F94">
        <f>X30</f>
        <v>2435.5361936336099</v>
      </c>
      <c r="G94" s="56">
        <f>Y30</f>
        <v>626.724371813017</v>
      </c>
      <c r="H94" s="52">
        <f t="shared" si="38"/>
        <v>2980.0667422334673</v>
      </c>
      <c r="I94">
        <f>AH30</f>
        <v>2298.4908967720098</v>
      </c>
      <c r="J94">
        <f>AI30</f>
        <v>12582.216640169599</v>
      </c>
    </row>
    <row r="95" spans="1:10">
      <c r="A95" t="s">
        <v>198</v>
      </c>
      <c r="B95">
        <f>I6</f>
        <v>0.98882648996223999</v>
      </c>
      <c r="C95" s="52">
        <f>J6</f>
        <v>443026.65889663924</v>
      </c>
      <c r="D95">
        <f>S6</f>
        <v>0.96800865994244401</v>
      </c>
      <c r="E95" s="52">
        <f>T6</f>
        <v>4238.64362992102</v>
      </c>
      <c r="F95">
        <f>AC6</f>
        <v>0.99517226899272204</v>
      </c>
      <c r="G95" s="52">
        <f>AD6</f>
        <v>6124.3870426528201</v>
      </c>
      <c r="H95" s="52">
        <f>E95+G95</f>
        <v>10363.030672573841</v>
      </c>
      <c r="I95">
        <f>AM6</f>
        <v>1.0068683034511301</v>
      </c>
      <c r="J95" s="52">
        <f>AN6</f>
        <v>454628.05485924095</v>
      </c>
    </row>
    <row r="96" spans="1:10">
      <c r="A96" t="s">
        <v>198</v>
      </c>
      <c r="B96">
        <f t="shared" ref="B96:C96" si="52">I8</f>
        <v>4.9311349427055804</v>
      </c>
      <c r="C96" s="52">
        <f t="shared" si="52"/>
        <v>454962.02971159137</v>
      </c>
      <c r="D96">
        <f>S7</f>
        <v>4.7694114952781499</v>
      </c>
      <c r="E96" s="52">
        <f>T7</f>
        <v>7413.7361527198336</v>
      </c>
      <c r="F96">
        <f t="shared" ref="F96:G96" si="53">AC8</f>
        <v>5.1341508562685103</v>
      </c>
      <c r="G96" s="52">
        <f t="shared" si="53"/>
        <v>4641.2401078746998</v>
      </c>
      <c r="H96" s="52">
        <f t="shared" ref="H96:H113" si="54">E96+G96</f>
        <v>12054.976260594533</v>
      </c>
      <c r="I96">
        <f>AM8</f>
        <v>5.0828337208829799</v>
      </c>
      <c r="J96" s="52">
        <f>AN8</f>
        <v>358474.06970750802</v>
      </c>
    </row>
    <row r="97" spans="1:10">
      <c r="A97" t="s">
        <v>198</v>
      </c>
      <c r="B97">
        <f t="shared" ref="B97:C97" si="55">I10</f>
        <v>7.7293539192087701</v>
      </c>
      <c r="C97" s="52">
        <f t="shared" si="55"/>
        <v>165357.175675645</v>
      </c>
      <c r="D97">
        <f>S9</f>
        <v>7.8560798172153703</v>
      </c>
      <c r="E97" s="52">
        <f>T9</f>
        <v>1603.17451203103</v>
      </c>
      <c r="F97">
        <f>AC9</f>
        <v>8.0631894686841008</v>
      </c>
      <c r="G97" s="52">
        <f>AD9</f>
        <v>689.267282997498</v>
      </c>
      <c r="H97" s="52">
        <f t="shared" si="54"/>
        <v>2292.4417950285278</v>
      </c>
      <c r="I97">
        <f>AM9</f>
        <v>7.9849052503695903</v>
      </c>
      <c r="J97" s="52">
        <f>AN9</f>
        <v>149203.87930656699</v>
      </c>
    </row>
    <row r="98" spans="1:10">
      <c r="A98" t="s">
        <v>198</v>
      </c>
      <c r="B98">
        <f t="shared" ref="B98:C98" si="56">I12</f>
        <v>14.665535655814001</v>
      </c>
      <c r="C98" s="52">
        <f t="shared" si="56"/>
        <v>281153.94058808702</v>
      </c>
      <c r="D98">
        <f>S10</f>
        <v>14.825870694667399</v>
      </c>
      <c r="E98" s="52">
        <f>T10</f>
        <v>577.05242432617797</v>
      </c>
      <c r="F98">
        <f>AC11</f>
        <v>14.662745333802</v>
      </c>
      <c r="G98" s="52">
        <f>AD11</f>
        <v>420.86704726726703</v>
      </c>
      <c r="H98" s="52">
        <f t="shared" si="54"/>
        <v>997.919471593445</v>
      </c>
      <c r="I98">
        <f t="shared" ref="I98:J101" si="57">AM11</f>
        <v>15.1645061305261</v>
      </c>
      <c r="J98" s="52">
        <f t="shared" si="57"/>
        <v>272632.19582461199</v>
      </c>
    </row>
    <row r="99" spans="1:10">
      <c r="A99" t="s">
        <v>198</v>
      </c>
      <c r="B99">
        <f t="shared" ref="B99:C99" si="58">I15</f>
        <v>19.641539704393299</v>
      </c>
      <c r="C99" s="52">
        <f t="shared" si="58"/>
        <v>477509.13661193202</v>
      </c>
      <c r="D99">
        <f t="shared" ref="D99:D108" si="59">S13</f>
        <v>20.852725616138901</v>
      </c>
      <c r="E99" s="52">
        <f t="shared" ref="E99:E108" si="60">T13</f>
        <v>6759.5066981873733</v>
      </c>
      <c r="F99">
        <f t="shared" ref="F99:G101" si="61">AC14</f>
        <v>21.183041227172399</v>
      </c>
      <c r="G99" s="52">
        <f t="shared" si="61"/>
        <v>844.55952815340538</v>
      </c>
      <c r="H99" s="52">
        <f t="shared" si="54"/>
        <v>7604.0662263407785</v>
      </c>
      <c r="I99">
        <f t="shared" si="57"/>
        <v>19.288202145564199</v>
      </c>
      <c r="J99" s="52">
        <f t="shared" si="57"/>
        <v>445151.9676983938</v>
      </c>
    </row>
    <row r="100" spans="1:10">
      <c r="A100" t="s">
        <v>198</v>
      </c>
      <c r="B100">
        <f t="shared" ref="B100:C100" si="62">I16</f>
        <v>39.866647087058602</v>
      </c>
      <c r="C100" s="52">
        <f t="shared" si="62"/>
        <v>296071.48755964497</v>
      </c>
      <c r="D100">
        <f t="shared" si="59"/>
        <v>40.047981750584498</v>
      </c>
      <c r="E100" s="52">
        <f t="shared" si="60"/>
        <v>3413.8089599107202</v>
      </c>
      <c r="F100">
        <f t="shared" si="61"/>
        <v>40.369624878130402</v>
      </c>
      <c r="G100" s="52">
        <f t="shared" si="61"/>
        <v>1874.5167463570101</v>
      </c>
      <c r="H100" s="52">
        <f t="shared" si="54"/>
        <v>5288.3257062677303</v>
      </c>
      <c r="I100">
        <f t="shared" si="57"/>
        <v>39.132984801077498</v>
      </c>
      <c r="J100" s="52">
        <f t="shared" si="57"/>
        <v>288577.92566370202</v>
      </c>
    </row>
    <row r="101" spans="1:10">
      <c r="A101" t="s">
        <v>198</v>
      </c>
      <c r="B101">
        <f t="shared" ref="B101:C101" si="63">I18</f>
        <v>43.616315223761703</v>
      </c>
      <c r="C101" s="52">
        <f t="shared" si="63"/>
        <v>570975.72498849267</v>
      </c>
      <c r="D101">
        <f t="shared" si="59"/>
        <v>43.259958669456097</v>
      </c>
      <c r="E101" s="52">
        <f t="shared" si="60"/>
        <v>19373.83961990834</v>
      </c>
      <c r="F101">
        <f t="shared" si="61"/>
        <v>44.442750317378703</v>
      </c>
      <c r="G101" s="52">
        <f t="shared" si="61"/>
        <v>2488.9742892806398</v>
      </c>
      <c r="H101" s="52">
        <f t="shared" si="54"/>
        <v>21862.813909188979</v>
      </c>
      <c r="I101">
        <f t="shared" si="57"/>
        <v>45.921172061656002</v>
      </c>
      <c r="J101" s="52">
        <f t="shared" si="57"/>
        <v>480512.28640902694</v>
      </c>
    </row>
    <row r="102" spans="1:10">
      <c r="A102" t="s">
        <v>198</v>
      </c>
      <c r="B102">
        <f>I22</f>
        <v>57.762590815554297</v>
      </c>
      <c r="C102" s="52">
        <f>J22</f>
        <v>398906.82011201401</v>
      </c>
      <c r="D102">
        <f t="shared" si="59"/>
        <v>59.7205649479233</v>
      </c>
      <c r="E102" s="52">
        <f t="shared" si="60"/>
        <v>8823.2603489922603</v>
      </c>
      <c r="F102">
        <f>AC18</f>
        <v>59.371128425176899</v>
      </c>
      <c r="G102" s="52">
        <f>AD18</f>
        <v>3435.5540965565701</v>
      </c>
      <c r="H102" s="52">
        <f t="shared" si="54"/>
        <v>12258.814445548831</v>
      </c>
      <c r="I102">
        <f t="shared" ref="I102:J108" si="64">AM17</f>
        <v>59.509549080882202</v>
      </c>
      <c r="J102" s="52">
        <f t="shared" si="64"/>
        <v>161769.27250494499</v>
      </c>
    </row>
    <row r="103" spans="1:10">
      <c r="A103" t="s">
        <v>198</v>
      </c>
      <c r="B103">
        <f>I23</f>
        <v>73.134908965313798</v>
      </c>
      <c r="C103" s="52">
        <f>J23</f>
        <v>393232.775936338</v>
      </c>
      <c r="D103">
        <f t="shared" si="59"/>
        <v>72.921193240087703</v>
      </c>
      <c r="E103" s="52">
        <f t="shared" si="60"/>
        <v>81423.956665540594</v>
      </c>
      <c r="F103">
        <f>AC19</f>
        <v>79.1260375024262</v>
      </c>
      <c r="G103" s="52">
        <f>AD19</f>
        <v>13096.6274382921</v>
      </c>
      <c r="H103" s="52">
        <f t="shared" si="54"/>
        <v>94520.584103832691</v>
      </c>
      <c r="I103">
        <f t="shared" si="64"/>
        <v>78.0771737555133</v>
      </c>
      <c r="J103" s="52">
        <f t="shared" si="64"/>
        <v>326261.572712694</v>
      </c>
    </row>
    <row r="104" spans="1:10">
      <c r="A104" t="s">
        <v>198</v>
      </c>
      <c r="B104">
        <f t="shared" ref="B104:C108" si="65">I25</f>
        <v>148.44272136222401</v>
      </c>
      <c r="C104" s="52">
        <f t="shared" si="65"/>
        <v>118688.096511244</v>
      </c>
      <c r="D104">
        <f t="shared" si="59"/>
        <v>153.95029405870099</v>
      </c>
      <c r="E104" s="52">
        <f t="shared" si="60"/>
        <v>26975.0985113563</v>
      </c>
      <c r="F104">
        <f t="shared" ref="F104:G109" si="66">AC21</f>
        <v>151.09539904755101</v>
      </c>
      <c r="G104" s="52">
        <f t="shared" si="66"/>
        <v>6523.4739465624198</v>
      </c>
      <c r="H104" s="52">
        <f t="shared" si="54"/>
        <v>33498.572457918723</v>
      </c>
      <c r="I104">
        <f t="shared" si="64"/>
        <v>153.831236196444</v>
      </c>
      <c r="J104" s="52">
        <f t="shared" si="64"/>
        <v>111697.13438997031</v>
      </c>
    </row>
    <row r="105" spans="1:10">
      <c r="A105" t="s">
        <v>198</v>
      </c>
      <c r="B105">
        <f t="shared" si="65"/>
        <v>194.39124055854799</v>
      </c>
      <c r="C105" s="52">
        <f t="shared" si="65"/>
        <v>147248.49241872551</v>
      </c>
      <c r="D105">
        <f t="shared" si="59"/>
        <v>190.491526305729</v>
      </c>
      <c r="E105" s="52">
        <f t="shared" si="60"/>
        <v>34834.9175870607</v>
      </c>
      <c r="F105">
        <f t="shared" si="66"/>
        <v>199.260396993201</v>
      </c>
      <c r="G105" s="52">
        <f t="shared" si="66"/>
        <v>2262.0843248435699</v>
      </c>
      <c r="H105" s="52">
        <f t="shared" si="54"/>
        <v>37097.00191190427</v>
      </c>
      <c r="I105">
        <f t="shared" si="64"/>
        <v>195.64812778172299</v>
      </c>
      <c r="J105" s="52">
        <f t="shared" si="64"/>
        <v>105793.466558017</v>
      </c>
    </row>
    <row r="106" spans="1:10">
      <c r="A106" t="s">
        <v>198</v>
      </c>
      <c r="B106">
        <f t="shared" si="65"/>
        <v>224.96527710321399</v>
      </c>
      <c r="C106" s="52">
        <f t="shared" si="65"/>
        <v>186270.78472780599</v>
      </c>
      <c r="D106">
        <f t="shared" si="59"/>
        <v>227.11442987927899</v>
      </c>
      <c r="E106" s="52">
        <f t="shared" si="60"/>
        <v>29450.1436916614</v>
      </c>
      <c r="F106">
        <f t="shared" si="66"/>
        <v>229.91451533825801</v>
      </c>
      <c r="G106" s="52">
        <f t="shared" si="66"/>
        <v>5522.6957400602196</v>
      </c>
      <c r="H106" s="52">
        <f t="shared" si="54"/>
        <v>34972.839431721623</v>
      </c>
      <c r="I106">
        <f t="shared" si="64"/>
        <v>225.993330350615</v>
      </c>
      <c r="J106" s="52">
        <f t="shared" si="64"/>
        <v>128033.00267922301</v>
      </c>
    </row>
    <row r="107" spans="1:10">
      <c r="A107" t="s">
        <v>198</v>
      </c>
      <c r="B107">
        <f t="shared" si="65"/>
        <v>291.30864089297</v>
      </c>
      <c r="C107" s="52">
        <f t="shared" si="65"/>
        <v>148747.15409492701</v>
      </c>
      <c r="D107">
        <f t="shared" si="59"/>
        <v>289.58389979866001</v>
      </c>
      <c r="E107" s="52">
        <f t="shared" si="60"/>
        <v>26093.654006447301</v>
      </c>
      <c r="F107">
        <f t="shared" si="66"/>
        <v>297.70252616970703</v>
      </c>
      <c r="G107" s="52">
        <f t="shared" si="66"/>
        <v>4876.8479880279001</v>
      </c>
      <c r="H107" s="52">
        <f t="shared" si="54"/>
        <v>30970.501994475202</v>
      </c>
      <c r="I107">
        <f t="shared" si="64"/>
        <v>296.94723069690298</v>
      </c>
      <c r="J107" s="52">
        <f t="shared" si="64"/>
        <v>136210.06275860101</v>
      </c>
    </row>
    <row r="108" spans="1:10">
      <c r="A108" t="s">
        <v>198</v>
      </c>
      <c r="B108">
        <f t="shared" si="65"/>
        <v>340.93538192843101</v>
      </c>
      <c r="C108" s="52">
        <f t="shared" si="65"/>
        <v>164691.417332418</v>
      </c>
      <c r="D108">
        <f t="shared" si="59"/>
        <v>341.492253768838</v>
      </c>
      <c r="E108" s="52">
        <f t="shared" si="60"/>
        <v>12991.366811784001</v>
      </c>
      <c r="F108">
        <f t="shared" si="66"/>
        <v>347.072226127683</v>
      </c>
      <c r="G108" s="52">
        <f t="shared" si="66"/>
        <v>141.97414888370599</v>
      </c>
      <c r="H108" s="52">
        <f t="shared" si="54"/>
        <v>13133.340960667707</v>
      </c>
      <c r="I108">
        <f t="shared" si="64"/>
        <v>348.71641048695699</v>
      </c>
      <c r="J108" s="52">
        <f t="shared" si="64"/>
        <v>136045.77997006601</v>
      </c>
    </row>
    <row r="109" spans="1:10">
      <c r="A109" t="s">
        <v>198</v>
      </c>
      <c r="B109">
        <f>I32</f>
        <v>417.35960438101102</v>
      </c>
      <c r="C109" s="52">
        <f>J32</f>
        <v>146333.93124037626</v>
      </c>
      <c r="D109">
        <f>S25</f>
        <v>409.26622207279502</v>
      </c>
      <c r="E109" s="52">
        <f>T25</f>
        <v>6469.0805236067999</v>
      </c>
      <c r="F109">
        <f t="shared" si="66"/>
        <v>409.34065585705503</v>
      </c>
      <c r="G109" s="52">
        <f t="shared" si="66"/>
        <v>1524.5994932777733</v>
      </c>
      <c r="H109" s="52">
        <f t="shared" si="54"/>
        <v>7993.680016884573</v>
      </c>
      <c r="I109">
        <f>AM25</f>
        <v>410.79257005731603</v>
      </c>
      <c r="J109" s="52">
        <f>AN25</f>
        <v>48275.578923903595</v>
      </c>
    </row>
    <row r="110" spans="1:10">
      <c r="A110" t="s">
        <v>198</v>
      </c>
      <c r="B110">
        <f>I37</f>
        <v>493.979614535216</v>
      </c>
      <c r="C110" s="52">
        <f>J37</f>
        <v>212431.24680177099</v>
      </c>
      <c r="D110">
        <f t="shared" ref="D110:E112" si="67">S30</f>
        <v>504.852097440139</v>
      </c>
      <c r="E110" s="52">
        <f t="shared" si="67"/>
        <v>6754.2922937886096</v>
      </c>
      <c r="F110">
        <f>AC29</f>
        <v>508.742575337951</v>
      </c>
      <c r="G110" s="52">
        <f>AD29</f>
        <v>639.28078516551329</v>
      </c>
      <c r="H110" s="52">
        <f t="shared" si="54"/>
        <v>7393.573078954123</v>
      </c>
      <c r="I110">
        <f>AM26</f>
        <v>497.94392429189202</v>
      </c>
      <c r="J110" s="52">
        <f>AN26</f>
        <v>117764.37202498018</v>
      </c>
    </row>
    <row r="111" spans="1:10">
      <c r="A111" t="s">
        <v>198</v>
      </c>
      <c r="B111">
        <f>I39</f>
        <v>866.37200350443902</v>
      </c>
      <c r="C111" s="52">
        <f>J39</f>
        <v>99127.967031262597</v>
      </c>
      <c r="D111">
        <f t="shared" si="67"/>
        <v>869.54080383216399</v>
      </c>
      <c r="E111" s="52">
        <f t="shared" si="67"/>
        <v>23311.701737487401</v>
      </c>
      <c r="F111">
        <f>AC31</f>
        <v>893.64429403873896</v>
      </c>
      <c r="G111" s="52">
        <f>AD31</f>
        <v>1819.93054487824</v>
      </c>
      <c r="H111" s="52">
        <f t="shared" si="54"/>
        <v>25131.632282365641</v>
      </c>
      <c r="I111">
        <f>AM28</f>
        <v>887.38585893650497</v>
      </c>
      <c r="J111" s="52">
        <f>AN28</f>
        <v>58820.372368705503</v>
      </c>
    </row>
    <row r="112" spans="1:10">
      <c r="A112" t="s">
        <v>198</v>
      </c>
      <c r="B112">
        <f>I40</f>
        <v>980.35505833579396</v>
      </c>
      <c r="C112" s="52">
        <f>J40</f>
        <v>116316.843777243</v>
      </c>
      <c r="D112">
        <f t="shared" si="67"/>
        <v>975.00099538274901</v>
      </c>
      <c r="E112" s="52">
        <f t="shared" si="67"/>
        <v>17500.642245859999</v>
      </c>
      <c r="F112">
        <f>AC32</f>
        <v>984.46294352812004</v>
      </c>
      <c r="G112" s="52">
        <f>AD32</f>
        <v>1818.25058344134</v>
      </c>
      <c r="H112" s="52">
        <f t="shared" si="54"/>
        <v>19318.892829301338</v>
      </c>
      <c r="I112">
        <f>AM29</f>
        <v>992.00832152307396</v>
      </c>
      <c r="J112" s="52">
        <f>AN29</f>
        <v>91962.067872155094</v>
      </c>
    </row>
    <row r="113" spans="1:10">
      <c r="A113" t="s">
        <v>198</v>
      </c>
      <c r="B113">
        <f>I44</f>
        <v>3412.34665456214</v>
      </c>
      <c r="C113" s="52">
        <f>J44</f>
        <v>38045.223726480697</v>
      </c>
      <c r="D113">
        <f>S36</f>
        <v>3497.9112185423301</v>
      </c>
      <c r="E113" s="52">
        <f>T36</f>
        <v>15030.802036655799</v>
      </c>
      <c r="F113">
        <f>AC34</f>
        <v>3411.0790304617899</v>
      </c>
      <c r="G113" s="52">
        <f>AD34</f>
        <v>1408.0622325138199</v>
      </c>
      <c r="H113" s="52">
        <f t="shared" si="54"/>
        <v>16438.864269169619</v>
      </c>
      <c r="I113">
        <f>AM32</f>
        <v>3430.1383151609102</v>
      </c>
      <c r="J113" s="52">
        <f>AN32</f>
        <v>23032.4619482241</v>
      </c>
    </row>
  </sheetData>
  <sortState ref="Q6:R54">
    <sortCondition ref="Q6:Q54"/>
  </sortState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workbookViewId="0">
      <selection activeCell="M70" sqref="M70"/>
    </sheetView>
  </sheetViews>
  <sheetFormatPr baseColWidth="10" defaultRowHeight="13" x14ac:dyDescent="0"/>
  <sheetData>
    <row r="1" spans="1:14">
      <c r="A1" t="s">
        <v>270</v>
      </c>
    </row>
    <row r="3" spans="1:14" ht="33">
      <c r="A3" s="79" t="s">
        <v>80</v>
      </c>
      <c r="B3" s="96" t="s">
        <v>423</v>
      </c>
      <c r="C3" s="79" t="s">
        <v>426</v>
      </c>
      <c r="D3" s="80" t="s">
        <v>81</v>
      </c>
      <c r="E3" s="79" t="s">
        <v>82</v>
      </c>
      <c r="F3" s="79" t="s">
        <v>83</v>
      </c>
      <c r="G3" s="79" t="s">
        <v>84</v>
      </c>
      <c r="H3" s="79" t="s">
        <v>85</v>
      </c>
      <c r="I3" s="80" t="s">
        <v>86</v>
      </c>
      <c r="J3" s="80" t="s">
        <v>81</v>
      </c>
      <c r="K3" s="79" t="s">
        <v>82</v>
      </c>
      <c r="L3" s="79" t="s">
        <v>81</v>
      </c>
      <c r="M3" s="79" t="s">
        <v>87</v>
      </c>
      <c r="N3" s="79" t="s">
        <v>85</v>
      </c>
    </row>
    <row r="4" spans="1:14" ht="22">
      <c r="A4" s="79"/>
      <c r="B4" s="96"/>
      <c r="C4" s="79"/>
      <c r="D4" s="80" t="s">
        <v>88</v>
      </c>
      <c r="E4" s="79" t="s">
        <v>88</v>
      </c>
      <c r="F4" s="79" t="s">
        <v>89</v>
      </c>
      <c r="G4" s="79"/>
      <c r="H4" s="79"/>
      <c r="I4" s="80" t="s">
        <v>90</v>
      </c>
      <c r="J4" s="80" t="s">
        <v>88</v>
      </c>
      <c r="K4" s="79" t="s">
        <v>88</v>
      </c>
      <c r="L4" s="79" t="s">
        <v>91</v>
      </c>
      <c r="M4" s="79"/>
      <c r="N4" s="79"/>
    </row>
    <row r="5" spans="1:14">
      <c r="A5" s="79"/>
      <c r="B5" s="96"/>
      <c r="C5" s="79"/>
      <c r="D5" s="80" t="s">
        <v>92</v>
      </c>
      <c r="E5" s="79" t="s">
        <v>92</v>
      </c>
      <c r="F5" s="79"/>
      <c r="G5" s="79"/>
      <c r="H5" s="79" t="s">
        <v>93</v>
      </c>
      <c r="I5" s="80" t="s">
        <v>94</v>
      </c>
      <c r="J5" s="80" t="s">
        <v>92</v>
      </c>
      <c r="K5" s="79" t="s">
        <v>92</v>
      </c>
      <c r="L5" s="79" t="s">
        <v>82</v>
      </c>
      <c r="M5" s="79"/>
      <c r="N5" s="79"/>
    </row>
    <row r="6" spans="1:14">
      <c r="A6" s="79"/>
      <c r="B6" s="96"/>
      <c r="C6" s="79"/>
      <c r="D6" s="80"/>
      <c r="E6" s="79"/>
      <c r="F6" s="79"/>
      <c r="G6" s="79"/>
      <c r="H6" s="81"/>
      <c r="I6" s="80" t="s">
        <v>95</v>
      </c>
      <c r="J6" s="80"/>
      <c r="K6" s="79"/>
      <c r="L6" s="79" t="s">
        <v>88</v>
      </c>
      <c r="M6" s="79"/>
      <c r="N6" s="79"/>
    </row>
    <row r="7" spans="1:14">
      <c r="A7" s="79" t="s">
        <v>96</v>
      </c>
      <c r="B7" s="96"/>
      <c r="C7" s="79"/>
      <c r="D7" s="80"/>
      <c r="E7" s="79"/>
      <c r="F7" s="79"/>
      <c r="G7" s="79"/>
      <c r="H7" s="81"/>
      <c r="I7" s="80"/>
      <c r="J7" s="80"/>
      <c r="K7" s="79"/>
      <c r="L7" s="79" t="s">
        <v>92</v>
      </c>
      <c r="M7" s="79"/>
      <c r="N7" s="79" t="s">
        <v>97</v>
      </c>
    </row>
    <row r="8" spans="1:14">
      <c r="A8" s="81"/>
      <c r="B8" s="96"/>
      <c r="C8" s="79"/>
      <c r="D8" s="80"/>
      <c r="E8" s="79"/>
      <c r="F8" s="79"/>
      <c r="G8" s="79" t="s">
        <v>93</v>
      </c>
      <c r="H8" s="81"/>
      <c r="I8" s="80"/>
      <c r="J8" s="80"/>
      <c r="K8" s="79"/>
      <c r="L8" s="79"/>
      <c r="M8" s="79"/>
      <c r="N8" s="81"/>
    </row>
    <row r="9" spans="1:14">
      <c r="A9" s="81"/>
      <c r="B9" s="96"/>
      <c r="C9" s="79"/>
      <c r="D9" s="80"/>
      <c r="E9" s="79"/>
      <c r="F9" s="79"/>
      <c r="G9" s="81"/>
      <c r="H9" s="81"/>
      <c r="I9" s="80" t="s">
        <v>97</v>
      </c>
      <c r="J9" s="80"/>
      <c r="K9" s="79"/>
      <c r="L9" s="79"/>
      <c r="M9" s="79"/>
      <c r="N9" s="81"/>
    </row>
    <row r="10" spans="1:14">
      <c r="A10" s="81"/>
      <c r="B10" s="96"/>
      <c r="C10" s="79"/>
      <c r="D10" s="80" t="s">
        <v>93</v>
      </c>
      <c r="E10" s="79" t="s">
        <v>93</v>
      </c>
      <c r="F10" s="79" t="s">
        <v>93</v>
      </c>
      <c r="G10" s="81"/>
      <c r="H10" s="81"/>
      <c r="I10" s="82"/>
      <c r="J10" s="80"/>
      <c r="K10" s="79"/>
      <c r="L10" s="79"/>
      <c r="M10" s="79"/>
      <c r="N10" s="81"/>
    </row>
    <row r="11" spans="1:14" ht="27" thickBot="1">
      <c r="A11" s="83" t="s">
        <v>98</v>
      </c>
      <c r="B11" s="97"/>
      <c r="C11" s="84" t="s">
        <v>99</v>
      </c>
      <c r="D11" s="85" t="s">
        <v>100</v>
      </c>
      <c r="E11" s="83" t="s">
        <v>101</v>
      </c>
      <c r="F11" s="83" t="s">
        <v>102</v>
      </c>
      <c r="G11" s="83" t="s">
        <v>103</v>
      </c>
      <c r="H11" s="83" t="s">
        <v>264</v>
      </c>
      <c r="I11" s="85" t="s">
        <v>265</v>
      </c>
      <c r="J11" s="86" t="s">
        <v>266</v>
      </c>
      <c r="K11" s="84" t="s">
        <v>267</v>
      </c>
      <c r="L11" s="84" t="s">
        <v>268</v>
      </c>
      <c r="M11" s="84" t="s">
        <v>97</v>
      </c>
      <c r="N11" s="83"/>
    </row>
    <row r="12" spans="1:14">
      <c r="A12" s="87">
        <v>87</v>
      </c>
      <c r="B12" s="88">
        <v>34236</v>
      </c>
      <c r="C12" s="87">
        <v>5</v>
      </c>
      <c r="D12" s="89">
        <v>6</v>
      </c>
      <c r="E12" s="87">
        <v>8</v>
      </c>
      <c r="F12" s="87">
        <v>85</v>
      </c>
      <c r="G12" s="87">
        <v>0</v>
      </c>
      <c r="H12" s="87">
        <v>99</v>
      </c>
      <c r="I12" s="90">
        <v>241000</v>
      </c>
      <c r="J12" s="90">
        <v>15500</v>
      </c>
      <c r="K12" s="91">
        <v>19200</v>
      </c>
      <c r="L12" s="91">
        <v>34700</v>
      </c>
      <c r="M12" s="91">
        <v>204000</v>
      </c>
      <c r="N12" s="91">
        <v>237000</v>
      </c>
    </row>
    <row r="13" spans="1:14">
      <c r="A13" s="87">
        <v>87</v>
      </c>
      <c r="B13" s="88">
        <v>34236</v>
      </c>
      <c r="C13" s="87">
        <v>25</v>
      </c>
      <c r="D13" s="89">
        <v>6</v>
      </c>
      <c r="E13" s="87">
        <v>5</v>
      </c>
      <c r="F13" s="87">
        <v>76</v>
      </c>
      <c r="G13" s="87">
        <v>2</v>
      </c>
      <c r="H13" s="87">
        <v>84</v>
      </c>
      <c r="I13" s="90">
        <v>398000</v>
      </c>
      <c r="J13" s="90">
        <v>21900</v>
      </c>
      <c r="K13" s="91">
        <v>18500</v>
      </c>
      <c r="L13" s="91">
        <v>40400</v>
      </c>
      <c r="M13" s="91">
        <v>301000</v>
      </c>
      <c r="N13" s="91">
        <v>332000</v>
      </c>
    </row>
    <row r="14" spans="1:14">
      <c r="A14" s="87">
        <v>87</v>
      </c>
      <c r="B14" s="88">
        <v>34236</v>
      </c>
      <c r="C14" s="87">
        <v>45</v>
      </c>
      <c r="D14" s="89">
        <v>2</v>
      </c>
      <c r="E14" s="87">
        <v>2</v>
      </c>
      <c r="F14" s="87">
        <v>77</v>
      </c>
      <c r="G14" s="87">
        <v>0</v>
      </c>
      <c r="H14" s="87">
        <v>81</v>
      </c>
      <c r="I14" s="90">
        <v>398000</v>
      </c>
      <c r="J14" s="90">
        <v>8150</v>
      </c>
      <c r="K14" s="91">
        <v>6440</v>
      </c>
      <c r="L14" s="91">
        <v>14600</v>
      </c>
      <c r="M14" s="91">
        <v>308000</v>
      </c>
      <c r="N14" s="91">
        <v>322000</v>
      </c>
    </row>
    <row r="15" spans="1:14">
      <c r="A15" s="87">
        <v>87</v>
      </c>
      <c r="B15" s="88">
        <v>34236</v>
      </c>
      <c r="C15" s="87">
        <v>100</v>
      </c>
      <c r="D15" s="89">
        <v>5</v>
      </c>
      <c r="E15" s="87">
        <v>4</v>
      </c>
      <c r="F15" s="87">
        <v>69</v>
      </c>
      <c r="G15" s="87">
        <v>1</v>
      </c>
      <c r="H15" s="87">
        <v>76</v>
      </c>
      <c r="I15" s="90">
        <v>235000</v>
      </c>
      <c r="J15" s="90">
        <v>12200</v>
      </c>
      <c r="K15" s="91">
        <v>8300</v>
      </c>
      <c r="L15" s="91">
        <v>20500</v>
      </c>
      <c r="M15" s="91">
        <v>162000</v>
      </c>
      <c r="N15" s="91">
        <v>180000</v>
      </c>
    </row>
    <row r="16" spans="1:14">
      <c r="A16" s="87">
        <v>87</v>
      </c>
      <c r="B16" s="88">
        <v>34236</v>
      </c>
      <c r="C16" s="87">
        <v>300</v>
      </c>
      <c r="D16" s="89">
        <v>30</v>
      </c>
      <c r="E16" s="87">
        <v>8</v>
      </c>
      <c r="F16" s="87">
        <v>62</v>
      </c>
      <c r="G16" s="87">
        <v>0</v>
      </c>
      <c r="H16" s="87">
        <v>99</v>
      </c>
      <c r="I16" s="90">
        <v>56100</v>
      </c>
      <c r="J16" s="90">
        <v>16600</v>
      </c>
      <c r="K16" s="91">
        <v>4220</v>
      </c>
      <c r="L16" s="91">
        <v>20800</v>
      </c>
      <c r="M16" s="91">
        <v>34900</v>
      </c>
      <c r="N16" s="91">
        <v>55700</v>
      </c>
    </row>
    <row r="17" spans="1:14">
      <c r="A17" s="87">
        <v>87</v>
      </c>
      <c r="B17" s="88">
        <v>34236</v>
      </c>
      <c r="C17" s="87">
        <v>1000</v>
      </c>
      <c r="D17" s="89">
        <v>24</v>
      </c>
      <c r="E17" s="87">
        <v>4</v>
      </c>
      <c r="F17" s="87">
        <v>56</v>
      </c>
      <c r="G17" s="87">
        <v>5</v>
      </c>
      <c r="H17" s="87">
        <v>80</v>
      </c>
      <c r="I17" s="90">
        <v>9210</v>
      </c>
      <c r="J17" s="90">
        <v>2200</v>
      </c>
      <c r="K17" s="91">
        <v>405</v>
      </c>
      <c r="L17" s="91">
        <v>2610</v>
      </c>
      <c r="M17" s="91">
        <v>5180</v>
      </c>
      <c r="N17" s="91">
        <v>7330</v>
      </c>
    </row>
    <row r="18" spans="1:14">
      <c r="A18" s="87">
        <v>88</v>
      </c>
      <c r="B18" s="88">
        <v>34307</v>
      </c>
      <c r="C18" s="87">
        <v>5</v>
      </c>
      <c r="D18" s="89">
        <v>0</v>
      </c>
      <c r="E18" s="87">
        <v>1</v>
      </c>
      <c r="F18" s="87">
        <v>68</v>
      </c>
      <c r="G18" s="87">
        <v>4</v>
      </c>
      <c r="H18" s="87">
        <v>66</v>
      </c>
      <c r="I18" s="90">
        <v>154000</v>
      </c>
      <c r="J18" s="90">
        <v>731</v>
      </c>
      <c r="K18" s="91">
        <v>1430</v>
      </c>
      <c r="L18" s="91">
        <v>2160</v>
      </c>
      <c r="M18" s="91">
        <v>104000</v>
      </c>
      <c r="N18" s="91">
        <v>101000</v>
      </c>
    </row>
    <row r="19" spans="1:14">
      <c r="A19" s="87">
        <v>88</v>
      </c>
      <c r="B19" s="88">
        <v>34307</v>
      </c>
      <c r="C19" s="87">
        <v>25</v>
      </c>
      <c r="D19" s="89">
        <v>0</v>
      </c>
      <c r="E19" s="87">
        <v>1</v>
      </c>
      <c r="F19" s="87">
        <v>76</v>
      </c>
      <c r="G19" s="87">
        <v>2</v>
      </c>
      <c r="H19" s="87">
        <v>76</v>
      </c>
      <c r="I19" s="90">
        <v>243000</v>
      </c>
      <c r="J19" s="90">
        <v>1010</v>
      </c>
      <c r="K19" s="91">
        <v>3480</v>
      </c>
      <c r="L19" s="91">
        <v>4500</v>
      </c>
      <c r="M19" s="91">
        <v>185000</v>
      </c>
      <c r="N19" s="91">
        <v>184000</v>
      </c>
    </row>
    <row r="20" spans="1:14">
      <c r="A20" s="87">
        <v>88</v>
      </c>
      <c r="B20" s="88">
        <v>34307</v>
      </c>
      <c r="C20" s="87">
        <v>45</v>
      </c>
      <c r="D20" s="89">
        <v>2</v>
      </c>
      <c r="E20" s="87">
        <v>1</v>
      </c>
      <c r="F20" s="87">
        <v>76</v>
      </c>
      <c r="G20" s="87">
        <v>3</v>
      </c>
      <c r="H20" s="87">
        <v>76</v>
      </c>
      <c r="I20" s="90">
        <v>185000</v>
      </c>
      <c r="J20" s="90">
        <v>4330</v>
      </c>
      <c r="K20" s="91">
        <v>1620</v>
      </c>
      <c r="L20" s="91">
        <v>5950</v>
      </c>
      <c r="M20" s="91">
        <v>140000</v>
      </c>
      <c r="N20" s="91">
        <v>140000</v>
      </c>
    </row>
    <row r="21" spans="1:14">
      <c r="A21" s="87">
        <v>88</v>
      </c>
      <c r="B21" s="88">
        <v>34307</v>
      </c>
      <c r="C21" s="87">
        <v>100</v>
      </c>
      <c r="D21" s="89">
        <v>2</v>
      </c>
      <c r="E21" s="87">
        <v>3</v>
      </c>
      <c r="F21" s="87">
        <v>71</v>
      </c>
      <c r="G21" s="87">
        <v>3</v>
      </c>
      <c r="H21" s="87">
        <v>74</v>
      </c>
      <c r="I21" s="90">
        <v>176000</v>
      </c>
      <c r="J21" s="90">
        <v>3730</v>
      </c>
      <c r="K21" s="91">
        <v>5080</v>
      </c>
      <c r="L21" s="91">
        <v>8810</v>
      </c>
      <c r="M21" s="91">
        <v>126000</v>
      </c>
      <c r="N21" s="91">
        <v>130000</v>
      </c>
    </row>
    <row r="22" spans="1:14">
      <c r="A22" s="87">
        <v>88</v>
      </c>
      <c r="B22" s="88">
        <v>34307</v>
      </c>
      <c r="C22" s="87">
        <v>300</v>
      </c>
      <c r="D22" s="89">
        <v>13</v>
      </c>
      <c r="E22" s="87">
        <v>3</v>
      </c>
      <c r="F22" s="87">
        <v>62</v>
      </c>
      <c r="G22" s="87">
        <v>4</v>
      </c>
      <c r="H22" s="87">
        <v>74</v>
      </c>
      <c r="I22" s="90">
        <v>34500</v>
      </c>
      <c r="J22" s="90">
        <v>4520</v>
      </c>
      <c r="K22" s="91">
        <v>997</v>
      </c>
      <c r="L22" s="91">
        <v>5520</v>
      </c>
      <c r="M22" s="91">
        <v>21300</v>
      </c>
      <c r="N22" s="91">
        <v>25400</v>
      </c>
    </row>
    <row r="23" spans="1:14">
      <c r="A23" s="87">
        <v>88</v>
      </c>
      <c r="B23" s="88">
        <v>34307</v>
      </c>
      <c r="C23" s="87">
        <v>1000</v>
      </c>
      <c r="D23" s="89">
        <v>17</v>
      </c>
      <c r="E23" s="87">
        <v>1</v>
      </c>
      <c r="F23" s="87">
        <v>41</v>
      </c>
      <c r="G23" s="87">
        <v>3</v>
      </c>
      <c r="H23" s="87">
        <v>56</v>
      </c>
      <c r="I23" s="90">
        <v>14400</v>
      </c>
      <c r="J23" s="90">
        <v>2430</v>
      </c>
      <c r="K23" s="91">
        <v>193</v>
      </c>
      <c r="L23" s="91">
        <v>2630</v>
      </c>
      <c r="M23" s="91">
        <v>5960</v>
      </c>
      <c r="N23" s="91">
        <v>8090</v>
      </c>
    </row>
    <row r="24" spans="1:14">
      <c r="A24" s="87">
        <v>89</v>
      </c>
      <c r="B24" s="88">
        <v>34343</v>
      </c>
      <c r="C24" s="87">
        <v>5</v>
      </c>
      <c r="D24" s="89">
        <v>7</v>
      </c>
      <c r="E24" s="87">
        <v>6</v>
      </c>
      <c r="F24" s="87">
        <v>71</v>
      </c>
      <c r="G24" s="87">
        <v>1</v>
      </c>
      <c r="H24" s="87">
        <v>84</v>
      </c>
      <c r="I24" s="90">
        <v>132000</v>
      </c>
      <c r="J24" s="90">
        <v>9230</v>
      </c>
      <c r="K24" s="91">
        <v>8450</v>
      </c>
      <c r="L24" s="91">
        <v>17700</v>
      </c>
      <c r="M24" s="91">
        <v>93800</v>
      </c>
      <c r="N24" s="91">
        <v>110000</v>
      </c>
    </row>
    <row r="25" spans="1:14">
      <c r="A25" s="87">
        <v>89</v>
      </c>
      <c r="B25" s="88">
        <v>34343</v>
      </c>
      <c r="C25" s="87">
        <v>25</v>
      </c>
      <c r="D25" s="89">
        <v>4</v>
      </c>
      <c r="E25" s="87">
        <v>6</v>
      </c>
      <c r="F25" s="87">
        <v>68</v>
      </c>
      <c r="G25" s="87">
        <v>6</v>
      </c>
      <c r="H25" s="87">
        <v>72</v>
      </c>
      <c r="I25" s="90">
        <v>194000</v>
      </c>
      <c r="J25" s="90">
        <v>7850</v>
      </c>
      <c r="K25" s="91">
        <v>10900</v>
      </c>
      <c r="L25" s="91">
        <v>18700</v>
      </c>
      <c r="M25" s="91">
        <v>132000</v>
      </c>
      <c r="N25" s="91">
        <v>139000</v>
      </c>
    </row>
    <row r="26" spans="1:14">
      <c r="A26" s="87">
        <v>89</v>
      </c>
      <c r="B26" s="88">
        <v>34343</v>
      </c>
      <c r="C26" s="87">
        <v>45</v>
      </c>
      <c r="D26" s="89">
        <v>12</v>
      </c>
      <c r="E26" s="87">
        <v>1</v>
      </c>
      <c r="F26" s="87">
        <v>60</v>
      </c>
      <c r="G26" s="87">
        <v>0</v>
      </c>
      <c r="H26" s="87">
        <v>72</v>
      </c>
      <c r="I26" s="90">
        <v>180000</v>
      </c>
      <c r="J26" s="90">
        <v>21200</v>
      </c>
      <c r="K26" s="91">
        <v>1060</v>
      </c>
      <c r="L26" s="91">
        <v>22300</v>
      </c>
      <c r="M26" s="91">
        <v>108000</v>
      </c>
      <c r="N26" s="91">
        <v>129000</v>
      </c>
    </row>
    <row r="27" spans="1:14">
      <c r="A27" s="87">
        <v>89</v>
      </c>
      <c r="B27" s="88">
        <v>34343</v>
      </c>
      <c r="C27" s="87">
        <v>100</v>
      </c>
      <c r="D27" s="89">
        <v>14</v>
      </c>
      <c r="E27" s="87">
        <v>3</v>
      </c>
      <c r="F27" s="87">
        <v>60</v>
      </c>
      <c r="G27" s="87">
        <v>2</v>
      </c>
      <c r="H27" s="87">
        <v>74</v>
      </c>
      <c r="I27" s="90">
        <v>145000</v>
      </c>
      <c r="J27" s="90">
        <v>19900</v>
      </c>
      <c r="K27" s="91">
        <v>3630</v>
      </c>
      <c r="L27" s="91">
        <v>23500</v>
      </c>
      <c r="M27" s="91">
        <v>86700</v>
      </c>
      <c r="N27" s="91">
        <v>107000</v>
      </c>
    </row>
    <row r="28" spans="1:14">
      <c r="A28" s="87">
        <v>89</v>
      </c>
      <c r="B28" s="88">
        <v>34343</v>
      </c>
      <c r="C28" s="87">
        <v>250</v>
      </c>
      <c r="D28" s="89">
        <v>44</v>
      </c>
      <c r="E28" s="87">
        <v>7</v>
      </c>
      <c r="F28" s="87">
        <v>46</v>
      </c>
      <c r="G28" s="87">
        <v>0</v>
      </c>
      <c r="H28" s="87">
        <v>97</v>
      </c>
      <c r="I28" s="90">
        <v>41900</v>
      </c>
      <c r="J28" s="90">
        <v>18600</v>
      </c>
      <c r="K28" s="91">
        <v>2830</v>
      </c>
      <c r="L28" s="91">
        <v>21400</v>
      </c>
      <c r="M28" s="91">
        <v>19200</v>
      </c>
      <c r="N28" s="91">
        <v>40600</v>
      </c>
    </row>
    <row r="29" spans="1:14">
      <c r="A29" s="87">
        <v>89</v>
      </c>
      <c r="B29" s="88">
        <v>34343</v>
      </c>
      <c r="C29" s="87">
        <v>1000</v>
      </c>
      <c r="D29" s="89">
        <v>35</v>
      </c>
      <c r="E29" s="87">
        <v>8</v>
      </c>
      <c r="F29" s="87">
        <v>49</v>
      </c>
      <c r="G29" s="87">
        <v>7</v>
      </c>
      <c r="H29" s="87">
        <v>86</v>
      </c>
      <c r="I29" s="90">
        <v>9780</v>
      </c>
      <c r="J29" s="90">
        <v>3450</v>
      </c>
      <c r="K29" s="91">
        <v>812</v>
      </c>
      <c r="L29" s="91">
        <v>4260</v>
      </c>
      <c r="M29" s="91">
        <v>4790</v>
      </c>
      <c r="N29" s="91">
        <v>8390</v>
      </c>
    </row>
    <row r="30" spans="1:14">
      <c r="A30" s="87">
        <v>90</v>
      </c>
      <c r="B30" s="88">
        <v>34382</v>
      </c>
      <c r="C30" s="87">
        <v>5</v>
      </c>
      <c r="D30" s="89">
        <v>2</v>
      </c>
      <c r="E30" s="87">
        <v>3</v>
      </c>
      <c r="F30" s="87">
        <v>87</v>
      </c>
      <c r="G30" s="87">
        <v>1</v>
      </c>
      <c r="H30" s="87">
        <v>91</v>
      </c>
      <c r="I30" s="90">
        <v>149000</v>
      </c>
      <c r="J30" s="90">
        <v>2630</v>
      </c>
      <c r="K30" s="91">
        <v>5100</v>
      </c>
      <c r="L30" s="91">
        <v>7730</v>
      </c>
      <c r="M30" s="91">
        <v>130000</v>
      </c>
      <c r="N30" s="91">
        <v>136000</v>
      </c>
    </row>
    <row r="31" spans="1:14">
      <c r="A31" s="87">
        <v>90</v>
      </c>
      <c r="B31" s="88">
        <v>34382</v>
      </c>
      <c r="C31" s="87">
        <v>25</v>
      </c>
      <c r="D31" s="89">
        <v>0</v>
      </c>
      <c r="E31" s="87">
        <v>1</v>
      </c>
      <c r="F31" s="87">
        <v>89</v>
      </c>
      <c r="G31" s="87">
        <v>2</v>
      </c>
      <c r="H31" s="87">
        <v>88</v>
      </c>
      <c r="I31" s="90">
        <v>292000</v>
      </c>
      <c r="J31" s="90">
        <v>0</v>
      </c>
      <c r="K31" s="91">
        <v>1940</v>
      </c>
      <c r="L31" s="91">
        <v>1940</v>
      </c>
      <c r="M31" s="91">
        <v>260000</v>
      </c>
      <c r="N31" s="91">
        <v>256000</v>
      </c>
    </row>
    <row r="32" spans="1:14">
      <c r="A32" s="87">
        <v>90</v>
      </c>
      <c r="B32" s="88">
        <v>34382</v>
      </c>
      <c r="C32" s="87">
        <v>45</v>
      </c>
      <c r="D32" s="89">
        <v>1</v>
      </c>
      <c r="E32" s="87">
        <v>3</v>
      </c>
      <c r="F32" s="87">
        <v>80</v>
      </c>
      <c r="G32" s="87">
        <v>3</v>
      </c>
      <c r="H32" s="87">
        <v>81</v>
      </c>
      <c r="I32" s="90">
        <v>182000</v>
      </c>
      <c r="J32" s="90">
        <v>910</v>
      </c>
      <c r="K32" s="91">
        <v>4670</v>
      </c>
      <c r="L32" s="91">
        <v>5580</v>
      </c>
      <c r="M32" s="91">
        <v>146000</v>
      </c>
      <c r="N32" s="91">
        <v>147000</v>
      </c>
    </row>
    <row r="33" spans="1:14">
      <c r="A33" s="87">
        <v>90</v>
      </c>
      <c r="B33" s="88">
        <v>34382</v>
      </c>
      <c r="C33" s="87">
        <v>100</v>
      </c>
      <c r="D33" s="89">
        <v>3</v>
      </c>
      <c r="E33" s="87">
        <v>1</v>
      </c>
      <c r="F33" s="87">
        <v>75</v>
      </c>
      <c r="G33" s="87">
        <v>3</v>
      </c>
      <c r="H33" s="87">
        <v>76</v>
      </c>
      <c r="I33" s="90">
        <v>166000</v>
      </c>
      <c r="J33" s="90">
        <v>4880</v>
      </c>
      <c r="K33" s="91">
        <v>2050</v>
      </c>
      <c r="L33" s="91">
        <v>6940</v>
      </c>
      <c r="M33" s="91">
        <v>125000</v>
      </c>
      <c r="N33" s="91">
        <v>127000</v>
      </c>
    </row>
    <row r="34" spans="1:14">
      <c r="A34" s="87">
        <v>90</v>
      </c>
      <c r="B34" s="88">
        <v>34382</v>
      </c>
      <c r="C34" s="87">
        <v>250</v>
      </c>
      <c r="D34" s="89">
        <v>22</v>
      </c>
      <c r="E34" s="87">
        <v>1</v>
      </c>
      <c r="F34" s="87">
        <v>65</v>
      </c>
      <c r="G34" s="87">
        <v>4</v>
      </c>
      <c r="H34" s="87">
        <v>85</v>
      </c>
      <c r="I34" s="90">
        <v>58100</v>
      </c>
      <c r="J34" s="90">
        <v>13000</v>
      </c>
      <c r="K34" s="91">
        <v>544</v>
      </c>
      <c r="L34" s="91">
        <v>13500</v>
      </c>
      <c r="M34" s="91">
        <v>37700</v>
      </c>
      <c r="N34" s="91">
        <v>49100</v>
      </c>
    </row>
    <row r="35" spans="1:14">
      <c r="A35" s="87">
        <v>90</v>
      </c>
      <c r="B35" s="88">
        <v>34382</v>
      </c>
      <c r="C35" s="87">
        <v>1000</v>
      </c>
      <c r="D35" s="89">
        <v>28</v>
      </c>
      <c r="E35" s="87">
        <v>2</v>
      </c>
      <c r="F35" s="87">
        <v>55</v>
      </c>
      <c r="G35" s="87">
        <v>5</v>
      </c>
      <c r="H35" s="87">
        <v>80</v>
      </c>
      <c r="I35" s="90">
        <v>16700</v>
      </c>
      <c r="J35" s="90">
        <v>4660</v>
      </c>
      <c r="K35" s="91">
        <v>253</v>
      </c>
      <c r="L35" s="91">
        <v>4910</v>
      </c>
      <c r="M35" s="91">
        <v>9250</v>
      </c>
      <c r="N35" s="91">
        <v>13400</v>
      </c>
    </row>
    <row r="36" spans="1:14">
      <c r="A36" s="87">
        <v>91</v>
      </c>
      <c r="B36" s="88">
        <v>34411</v>
      </c>
      <c r="C36" s="87">
        <v>5</v>
      </c>
      <c r="D36" s="89">
        <v>1</v>
      </c>
      <c r="E36" s="87">
        <v>3</v>
      </c>
      <c r="F36" s="87">
        <v>79</v>
      </c>
      <c r="G36" s="87">
        <v>4</v>
      </c>
      <c r="H36" s="87">
        <v>78</v>
      </c>
      <c r="I36" s="90">
        <v>237000</v>
      </c>
      <c r="J36" s="90">
        <v>2160</v>
      </c>
      <c r="K36" s="91">
        <v>6070</v>
      </c>
      <c r="L36" s="91">
        <v>8220</v>
      </c>
      <c r="M36" s="91">
        <v>186000</v>
      </c>
      <c r="N36" s="91">
        <v>184000</v>
      </c>
    </row>
    <row r="37" spans="1:14">
      <c r="A37" s="87">
        <v>91</v>
      </c>
      <c r="B37" s="88">
        <v>34411</v>
      </c>
      <c r="C37" s="87">
        <v>25</v>
      </c>
      <c r="D37" s="89">
        <v>2</v>
      </c>
      <c r="E37" s="87">
        <v>6</v>
      </c>
      <c r="F37" s="87">
        <v>78</v>
      </c>
      <c r="G37" s="87">
        <v>2</v>
      </c>
      <c r="H37" s="87">
        <v>84</v>
      </c>
      <c r="I37" s="90">
        <v>313000</v>
      </c>
      <c r="J37" s="90">
        <v>6790</v>
      </c>
      <c r="K37" s="91">
        <v>20100</v>
      </c>
      <c r="L37" s="91">
        <v>26900</v>
      </c>
      <c r="M37" s="91">
        <v>243000</v>
      </c>
      <c r="N37" s="91">
        <v>263000</v>
      </c>
    </row>
    <row r="38" spans="1:14">
      <c r="A38" s="87">
        <v>91</v>
      </c>
      <c r="B38" s="88">
        <v>34411</v>
      </c>
      <c r="C38" s="87">
        <v>45</v>
      </c>
      <c r="D38" s="89">
        <v>3</v>
      </c>
      <c r="E38" s="87">
        <v>3</v>
      </c>
      <c r="F38" s="87">
        <v>79</v>
      </c>
      <c r="G38" s="87">
        <v>2</v>
      </c>
      <c r="H38" s="87">
        <v>83</v>
      </c>
      <c r="I38" s="90">
        <v>287000</v>
      </c>
      <c r="J38" s="90">
        <v>9660</v>
      </c>
      <c r="K38" s="91">
        <v>8220</v>
      </c>
      <c r="L38" s="91">
        <v>17900</v>
      </c>
      <c r="M38" s="91">
        <v>226000</v>
      </c>
      <c r="N38" s="91">
        <v>238000</v>
      </c>
    </row>
    <row r="39" spans="1:14">
      <c r="A39" s="87">
        <v>91</v>
      </c>
      <c r="B39" s="88">
        <v>34411</v>
      </c>
      <c r="C39" s="87">
        <v>100</v>
      </c>
      <c r="D39" s="89">
        <v>5</v>
      </c>
      <c r="E39" s="87">
        <v>8</v>
      </c>
      <c r="F39" s="87">
        <v>63</v>
      </c>
      <c r="G39" s="87">
        <v>2</v>
      </c>
      <c r="H39" s="87">
        <v>74</v>
      </c>
      <c r="I39" s="90">
        <v>225000</v>
      </c>
      <c r="J39" s="90">
        <v>10400</v>
      </c>
      <c r="K39" s="91">
        <v>18200</v>
      </c>
      <c r="L39" s="91">
        <v>28600</v>
      </c>
      <c r="M39" s="91">
        <v>143000</v>
      </c>
      <c r="N39" s="91">
        <v>166000</v>
      </c>
    </row>
    <row r="40" spans="1:14">
      <c r="A40" s="87">
        <v>91</v>
      </c>
      <c r="B40" s="88">
        <v>34411</v>
      </c>
      <c r="C40" s="87">
        <v>250</v>
      </c>
      <c r="D40" s="89">
        <v>23</v>
      </c>
      <c r="E40" s="87">
        <v>2</v>
      </c>
      <c r="F40" s="87">
        <v>69</v>
      </c>
      <c r="G40" s="87">
        <v>2</v>
      </c>
      <c r="H40" s="87">
        <v>92</v>
      </c>
      <c r="I40" s="90">
        <v>42300</v>
      </c>
      <c r="J40" s="90">
        <v>9720</v>
      </c>
      <c r="K40" s="91">
        <v>655</v>
      </c>
      <c r="L40" s="91">
        <v>10400</v>
      </c>
      <c r="M40" s="91">
        <v>29300</v>
      </c>
      <c r="N40" s="91">
        <v>38900</v>
      </c>
    </row>
    <row r="41" spans="1:14">
      <c r="A41" s="87">
        <v>91</v>
      </c>
      <c r="B41" s="88">
        <v>34411</v>
      </c>
      <c r="C41" s="87">
        <v>1000</v>
      </c>
      <c r="D41" s="89">
        <v>22</v>
      </c>
      <c r="E41" s="87">
        <v>3</v>
      </c>
      <c r="F41" s="87">
        <v>52</v>
      </c>
      <c r="G41" s="87">
        <v>3</v>
      </c>
      <c r="H41" s="87">
        <v>74</v>
      </c>
      <c r="I41" s="90">
        <v>18600</v>
      </c>
      <c r="J41" s="90">
        <v>4170</v>
      </c>
      <c r="K41" s="91">
        <v>535</v>
      </c>
      <c r="L41" s="91">
        <v>4710</v>
      </c>
      <c r="M41" s="91">
        <v>9610</v>
      </c>
      <c r="N41" s="91">
        <v>13700</v>
      </c>
    </row>
    <row r="42" spans="1:14">
      <c r="A42" s="87">
        <v>91</v>
      </c>
      <c r="B42" s="88">
        <v>34411</v>
      </c>
      <c r="C42" s="87">
        <v>2000</v>
      </c>
      <c r="D42" s="89">
        <v>26</v>
      </c>
      <c r="E42" s="87">
        <v>3</v>
      </c>
      <c r="F42" s="87">
        <v>8</v>
      </c>
      <c r="G42" s="87">
        <v>0</v>
      </c>
      <c r="H42" s="87">
        <v>37</v>
      </c>
      <c r="I42" s="90">
        <v>16700</v>
      </c>
      <c r="J42" s="90">
        <v>4350</v>
      </c>
      <c r="K42" s="91">
        <v>494</v>
      </c>
      <c r="L42" s="91">
        <v>4840</v>
      </c>
      <c r="M42" s="91">
        <v>1340</v>
      </c>
      <c r="N42" s="91">
        <v>6110</v>
      </c>
    </row>
    <row r="43" spans="1:14">
      <c r="A43" s="87">
        <v>91</v>
      </c>
      <c r="B43" s="88">
        <v>34411</v>
      </c>
      <c r="C43" s="87">
        <v>3000</v>
      </c>
      <c r="D43" s="89">
        <v>26</v>
      </c>
      <c r="E43" s="87">
        <v>3</v>
      </c>
      <c r="F43" s="87">
        <v>10</v>
      </c>
      <c r="G43" s="87">
        <v>1</v>
      </c>
      <c r="H43" s="87">
        <v>38</v>
      </c>
      <c r="I43" s="90">
        <v>7890</v>
      </c>
      <c r="J43" s="90">
        <v>2060</v>
      </c>
      <c r="K43" s="91">
        <v>229</v>
      </c>
      <c r="L43" s="91">
        <v>2290</v>
      </c>
      <c r="M43" s="91">
        <v>813</v>
      </c>
      <c r="N43" s="91">
        <v>3020</v>
      </c>
    </row>
    <row r="44" spans="1:14">
      <c r="A44" s="87">
        <v>91</v>
      </c>
      <c r="B44" s="88">
        <v>34411</v>
      </c>
      <c r="C44" s="87">
        <v>4750</v>
      </c>
      <c r="D44" s="89">
        <v>37</v>
      </c>
      <c r="E44" s="87">
        <v>10</v>
      </c>
      <c r="F44" s="87">
        <v>22</v>
      </c>
      <c r="G44" s="87">
        <v>2</v>
      </c>
      <c r="H44" s="87">
        <v>67</v>
      </c>
      <c r="I44" s="90">
        <v>7710</v>
      </c>
      <c r="J44" s="90">
        <v>2840</v>
      </c>
      <c r="K44" s="91">
        <v>775</v>
      </c>
      <c r="L44" s="91">
        <v>3620</v>
      </c>
      <c r="M44" s="91">
        <v>1730</v>
      </c>
      <c r="N44" s="91">
        <v>5190</v>
      </c>
    </row>
    <row r="45" spans="1:14">
      <c r="A45" s="87">
        <v>92</v>
      </c>
      <c r="B45" s="88">
        <v>34437</v>
      </c>
      <c r="C45" s="87">
        <v>5</v>
      </c>
      <c r="D45" s="89">
        <v>20</v>
      </c>
      <c r="E45" s="87">
        <v>1</v>
      </c>
      <c r="F45" s="87">
        <v>85</v>
      </c>
      <c r="G45" s="87">
        <v>25</v>
      </c>
      <c r="H45" s="87">
        <v>82</v>
      </c>
      <c r="I45" s="90">
        <v>213000</v>
      </c>
      <c r="J45" s="90">
        <v>43200</v>
      </c>
      <c r="K45" s="91">
        <v>3150</v>
      </c>
      <c r="L45" s="91">
        <v>46400</v>
      </c>
      <c r="M45" s="91">
        <v>180000</v>
      </c>
      <c r="N45" s="91">
        <v>174000</v>
      </c>
    </row>
    <row r="46" spans="1:14">
      <c r="A46" s="87">
        <v>92</v>
      </c>
      <c r="B46" s="88">
        <v>34437</v>
      </c>
      <c r="C46" s="87">
        <v>25</v>
      </c>
      <c r="D46" s="89">
        <v>24</v>
      </c>
      <c r="E46" s="87">
        <v>4</v>
      </c>
      <c r="F46" s="87">
        <v>86</v>
      </c>
      <c r="G46" s="87">
        <v>36</v>
      </c>
      <c r="H46" s="87">
        <v>78</v>
      </c>
      <c r="I46" s="90">
        <v>306000</v>
      </c>
      <c r="J46" s="90">
        <v>72500</v>
      </c>
      <c r="K46" s="91">
        <v>13800</v>
      </c>
      <c r="L46" s="91">
        <v>86300</v>
      </c>
      <c r="M46" s="91">
        <v>262000</v>
      </c>
      <c r="N46" s="91">
        <v>239000</v>
      </c>
    </row>
    <row r="47" spans="1:14">
      <c r="A47" s="87">
        <v>92</v>
      </c>
      <c r="B47" s="88">
        <v>34437</v>
      </c>
      <c r="C47" s="87">
        <v>45</v>
      </c>
      <c r="D47" s="89">
        <v>23</v>
      </c>
      <c r="E47" s="87">
        <v>6</v>
      </c>
      <c r="F47" s="87">
        <v>91</v>
      </c>
      <c r="G47" s="87">
        <v>4</v>
      </c>
      <c r="H47" s="87">
        <v>116</v>
      </c>
      <c r="I47" s="90">
        <v>361000</v>
      </c>
      <c r="J47" s="90">
        <v>84700</v>
      </c>
      <c r="K47" s="91">
        <v>20600</v>
      </c>
      <c r="L47" s="91">
        <v>105000</v>
      </c>
      <c r="M47" s="91">
        <v>331000</v>
      </c>
      <c r="N47" s="91">
        <v>420000</v>
      </c>
    </row>
    <row r="48" spans="1:14">
      <c r="A48" s="87">
        <v>92</v>
      </c>
      <c r="B48" s="88">
        <v>34437</v>
      </c>
      <c r="C48" s="87">
        <v>100</v>
      </c>
      <c r="D48" s="89">
        <v>14</v>
      </c>
      <c r="E48" s="87">
        <v>18</v>
      </c>
      <c r="F48" s="87">
        <v>79</v>
      </c>
      <c r="G48" s="87">
        <v>9</v>
      </c>
      <c r="H48" s="87">
        <v>102</v>
      </c>
      <c r="I48" s="90">
        <v>247000</v>
      </c>
      <c r="J48" s="90">
        <v>34900</v>
      </c>
      <c r="K48" s="91">
        <v>43400</v>
      </c>
      <c r="L48" s="91">
        <v>78200</v>
      </c>
      <c r="M48" s="91">
        <v>194000</v>
      </c>
      <c r="N48" s="91">
        <v>250000</v>
      </c>
    </row>
    <row r="49" spans="1:14">
      <c r="A49" s="87">
        <v>92</v>
      </c>
      <c r="B49" s="88">
        <v>34437</v>
      </c>
      <c r="C49" s="87">
        <v>250</v>
      </c>
      <c r="D49" s="89">
        <v>39</v>
      </c>
      <c r="E49" s="87">
        <v>1</v>
      </c>
      <c r="F49" s="87">
        <v>58</v>
      </c>
      <c r="G49" s="87">
        <v>5</v>
      </c>
      <c r="H49" s="87">
        <v>93</v>
      </c>
      <c r="I49" s="90">
        <v>101000</v>
      </c>
      <c r="J49" s="90">
        <v>39100</v>
      </c>
      <c r="K49" s="91">
        <v>1230</v>
      </c>
      <c r="L49" s="91">
        <v>40300</v>
      </c>
      <c r="M49" s="91">
        <v>58800</v>
      </c>
      <c r="N49" s="91">
        <v>94300</v>
      </c>
    </row>
    <row r="50" spans="1:14">
      <c r="A50" s="87">
        <v>92</v>
      </c>
      <c r="B50" s="88">
        <v>34437</v>
      </c>
      <c r="C50" s="87">
        <v>1000</v>
      </c>
      <c r="D50" s="89">
        <v>36</v>
      </c>
      <c r="E50" s="87">
        <v>1</v>
      </c>
      <c r="F50" s="87">
        <v>38</v>
      </c>
      <c r="G50" s="87">
        <v>1</v>
      </c>
      <c r="H50" s="87">
        <v>74</v>
      </c>
      <c r="I50" s="90">
        <v>23000</v>
      </c>
      <c r="J50" s="90">
        <v>8340</v>
      </c>
      <c r="K50" s="91">
        <v>285</v>
      </c>
      <c r="L50" s="91">
        <v>8630</v>
      </c>
      <c r="M50" s="91">
        <v>8730</v>
      </c>
      <c r="N50" s="91">
        <v>17100</v>
      </c>
    </row>
    <row r="51" spans="1:14">
      <c r="A51" s="87">
        <v>92</v>
      </c>
      <c r="B51" s="88">
        <v>34437</v>
      </c>
      <c r="C51" s="87">
        <v>2000</v>
      </c>
      <c r="D51" s="89">
        <v>41</v>
      </c>
      <c r="E51" s="87">
        <v>0</v>
      </c>
      <c r="F51" s="87">
        <v>36</v>
      </c>
      <c r="G51" s="87">
        <v>1</v>
      </c>
      <c r="H51" s="87">
        <v>75</v>
      </c>
      <c r="I51" s="90">
        <v>11200</v>
      </c>
      <c r="J51" s="90">
        <v>4570</v>
      </c>
      <c r="K51" s="91">
        <v>0</v>
      </c>
      <c r="L51" s="91">
        <v>4570</v>
      </c>
      <c r="M51" s="91">
        <v>3990</v>
      </c>
      <c r="N51" s="91">
        <v>8450</v>
      </c>
    </row>
    <row r="52" spans="1:14">
      <c r="A52" s="87">
        <v>92</v>
      </c>
      <c r="B52" s="88">
        <v>34437</v>
      </c>
      <c r="C52" s="87">
        <v>3000</v>
      </c>
      <c r="D52" s="89">
        <v>29</v>
      </c>
      <c r="E52" s="87">
        <v>1</v>
      </c>
      <c r="F52" s="87">
        <v>29</v>
      </c>
      <c r="G52" s="87">
        <v>1</v>
      </c>
      <c r="H52" s="87">
        <v>58</v>
      </c>
      <c r="I52" s="90">
        <v>8870</v>
      </c>
      <c r="J52" s="90">
        <v>2550</v>
      </c>
      <c r="K52" s="91">
        <v>65.099999999999994</v>
      </c>
      <c r="L52" s="91">
        <v>2620</v>
      </c>
      <c r="M52" s="91">
        <v>2610</v>
      </c>
      <c r="N52" s="91">
        <v>5110</v>
      </c>
    </row>
    <row r="53" spans="1:14">
      <c r="A53" s="87">
        <v>92</v>
      </c>
      <c r="B53" s="88">
        <v>34437</v>
      </c>
      <c r="C53" s="87">
        <v>4750</v>
      </c>
      <c r="D53" s="89">
        <v>34</v>
      </c>
      <c r="E53" s="87">
        <v>2</v>
      </c>
      <c r="F53" s="87">
        <v>43</v>
      </c>
      <c r="G53" s="87">
        <v>2</v>
      </c>
      <c r="H53" s="87">
        <v>78</v>
      </c>
      <c r="I53" s="90">
        <v>8110</v>
      </c>
      <c r="J53" s="90">
        <v>2790</v>
      </c>
      <c r="K53" s="91">
        <v>158</v>
      </c>
      <c r="L53" s="91">
        <v>2950</v>
      </c>
      <c r="M53" s="91">
        <v>3510</v>
      </c>
      <c r="N53" s="91">
        <v>6300</v>
      </c>
    </row>
    <row r="54" spans="1:14">
      <c r="A54" s="87">
        <v>93</v>
      </c>
      <c r="B54" s="88">
        <v>34465</v>
      </c>
      <c r="C54" s="87">
        <v>5</v>
      </c>
      <c r="D54" s="89">
        <v>1</v>
      </c>
      <c r="E54" s="87">
        <v>2</v>
      </c>
      <c r="F54" s="87">
        <v>76</v>
      </c>
      <c r="G54" s="87">
        <v>1</v>
      </c>
      <c r="H54" s="87">
        <v>78</v>
      </c>
      <c r="I54" s="90">
        <v>294000</v>
      </c>
      <c r="J54" s="90">
        <v>3810</v>
      </c>
      <c r="K54" s="91">
        <v>5360</v>
      </c>
      <c r="L54" s="91">
        <v>9170</v>
      </c>
      <c r="M54" s="91">
        <v>223000</v>
      </c>
      <c r="N54" s="91">
        <v>230000</v>
      </c>
    </row>
    <row r="55" spans="1:14">
      <c r="A55" s="87">
        <v>93</v>
      </c>
      <c r="B55" s="88">
        <v>34465</v>
      </c>
      <c r="C55" s="87">
        <v>25</v>
      </c>
      <c r="D55" s="89">
        <v>2</v>
      </c>
      <c r="E55" s="87">
        <v>3</v>
      </c>
      <c r="F55" s="87">
        <v>78</v>
      </c>
      <c r="G55" s="87">
        <v>2</v>
      </c>
      <c r="H55" s="87">
        <v>80</v>
      </c>
      <c r="I55" s="90">
        <v>399000</v>
      </c>
      <c r="J55" s="90">
        <v>6600</v>
      </c>
      <c r="K55" s="91">
        <v>11800</v>
      </c>
      <c r="L55" s="91">
        <v>18400</v>
      </c>
      <c r="M55" s="91">
        <v>310000</v>
      </c>
      <c r="N55" s="91">
        <v>321000</v>
      </c>
    </row>
    <row r="56" spans="1:14">
      <c r="A56" s="87">
        <v>93</v>
      </c>
      <c r="B56" s="88">
        <v>34465</v>
      </c>
      <c r="C56" s="87">
        <v>45</v>
      </c>
      <c r="D56" s="89">
        <v>1</v>
      </c>
      <c r="E56" s="87">
        <v>1</v>
      </c>
      <c r="F56" s="87">
        <v>88</v>
      </c>
      <c r="G56" s="87">
        <v>2</v>
      </c>
      <c r="H56" s="87">
        <v>89</v>
      </c>
      <c r="I56" s="90">
        <v>478000</v>
      </c>
      <c r="J56" s="90">
        <v>5070</v>
      </c>
      <c r="K56" s="91">
        <v>5630</v>
      </c>
      <c r="L56" s="91">
        <v>10700</v>
      </c>
      <c r="M56" s="91">
        <v>423000</v>
      </c>
      <c r="N56" s="91">
        <v>425000</v>
      </c>
    </row>
    <row r="57" spans="1:14">
      <c r="A57" s="87">
        <v>93</v>
      </c>
      <c r="B57" s="88">
        <v>34465</v>
      </c>
      <c r="C57" s="87">
        <v>100</v>
      </c>
      <c r="D57" s="89">
        <v>0</v>
      </c>
      <c r="E57" s="87">
        <v>0</v>
      </c>
      <c r="F57" s="87">
        <v>81</v>
      </c>
      <c r="G57" s="87">
        <v>0</v>
      </c>
      <c r="H57" s="87">
        <v>81</v>
      </c>
      <c r="I57" s="90">
        <v>280000</v>
      </c>
      <c r="J57" s="90">
        <v>0</v>
      </c>
      <c r="K57" s="91">
        <v>0</v>
      </c>
      <c r="L57" s="91">
        <v>0</v>
      </c>
      <c r="M57" s="91">
        <v>227000</v>
      </c>
      <c r="N57" s="91">
        <v>226000</v>
      </c>
    </row>
    <row r="58" spans="1:14">
      <c r="A58" s="87">
        <v>93</v>
      </c>
      <c r="B58" s="88">
        <v>34465</v>
      </c>
      <c r="C58" s="87">
        <v>250</v>
      </c>
      <c r="D58" s="89">
        <v>20</v>
      </c>
      <c r="E58" s="87">
        <v>1</v>
      </c>
      <c r="F58" s="87">
        <v>65</v>
      </c>
      <c r="G58" s="87">
        <v>1</v>
      </c>
      <c r="H58" s="87">
        <v>85</v>
      </c>
      <c r="I58" s="90">
        <v>67300</v>
      </c>
      <c r="J58" s="90">
        <v>13600</v>
      </c>
      <c r="K58" s="91">
        <v>831</v>
      </c>
      <c r="L58" s="91">
        <v>14400</v>
      </c>
      <c r="M58" s="91">
        <v>43600</v>
      </c>
      <c r="N58" s="91">
        <v>57500</v>
      </c>
    </row>
    <row r="59" spans="1:14">
      <c r="A59" s="87">
        <v>93</v>
      </c>
      <c r="B59" s="88">
        <v>34465</v>
      </c>
      <c r="C59" s="87">
        <v>1000</v>
      </c>
      <c r="D59" s="89">
        <v>33</v>
      </c>
      <c r="E59" s="87">
        <v>3</v>
      </c>
      <c r="F59" s="87">
        <v>57</v>
      </c>
      <c r="G59" s="87">
        <v>1</v>
      </c>
      <c r="H59" s="87">
        <v>93</v>
      </c>
      <c r="I59" s="90">
        <v>26100</v>
      </c>
      <c r="J59" s="90">
        <v>8570</v>
      </c>
      <c r="K59" s="91">
        <v>822</v>
      </c>
      <c r="L59" s="91">
        <v>9390</v>
      </c>
      <c r="M59" s="91">
        <v>15000</v>
      </c>
      <c r="N59" s="91">
        <v>24100</v>
      </c>
    </row>
    <row r="60" spans="1:14">
      <c r="A60" s="87">
        <v>93</v>
      </c>
      <c r="B60" s="88">
        <v>34465</v>
      </c>
      <c r="C60" s="87">
        <v>2000</v>
      </c>
      <c r="D60" s="89">
        <v>37</v>
      </c>
      <c r="E60" s="87">
        <v>3</v>
      </c>
      <c r="F60" s="87">
        <v>30</v>
      </c>
      <c r="G60" s="87">
        <v>1</v>
      </c>
      <c r="H60" s="87">
        <v>69</v>
      </c>
      <c r="I60" s="90">
        <v>7880</v>
      </c>
      <c r="J60" s="90">
        <v>2910</v>
      </c>
      <c r="K60" s="91">
        <v>267</v>
      </c>
      <c r="L60" s="91">
        <v>3180</v>
      </c>
      <c r="M60" s="91">
        <v>2330</v>
      </c>
      <c r="N60" s="91">
        <v>5460</v>
      </c>
    </row>
    <row r="61" spans="1:14">
      <c r="A61" s="87">
        <v>93</v>
      </c>
      <c r="B61" s="88">
        <v>34465</v>
      </c>
      <c r="C61" s="87">
        <v>3000</v>
      </c>
      <c r="D61" s="89">
        <v>38</v>
      </c>
      <c r="E61" s="87">
        <v>4</v>
      </c>
      <c r="F61" s="87">
        <v>40</v>
      </c>
      <c r="G61" s="87">
        <v>3</v>
      </c>
      <c r="H61" s="87">
        <v>80</v>
      </c>
      <c r="I61" s="90">
        <v>7260</v>
      </c>
      <c r="J61" s="90">
        <v>2740</v>
      </c>
      <c r="K61" s="91">
        <v>322</v>
      </c>
      <c r="L61" s="91">
        <v>3060</v>
      </c>
      <c r="M61" s="91">
        <v>2900</v>
      </c>
      <c r="N61" s="91">
        <v>5780</v>
      </c>
    </row>
    <row r="62" spans="1:14">
      <c r="A62" s="87">
        <v>93</v>
      </c>
      <c r="B62" s="88">
        <v>34465</v>
      </c>
      <c r="C62" s="87">
        <v>4750</v>
      </c>
      <c r="D62" s="89">
        <v>53</v>
      </c>
      <c r="E62" s="87">
        <v>5</v>
      </c>
      <c r="F62" s="87">
        <v>55</v>
      </c>
      <c r="G62" s="87">
        <v>2</v>
      </c>
      <c r="H62" s="87">
        <v>112</v>
      </c>
      <c r="I62" s="90">
        <v>6520</v>
      </c>
      <c r="J62" s="90">
        <v>3430</v>
      </c>
      <c r="K62" s="91">
        <v>352</v>
      </c>
      <c r="L62" s="91">
        <v>3780</v>
      </c>
      <c r="M62" s="91">
        <v>3600</v>
      </c>
      <c r="N62" s="91">
        <v>7270</v>
      </c>
    </row>
    <row r="63" spans="1:14">
      <c r="A63" s="87">
        <v>94</v>
      </c>
      <c r="B63" s="88">
        <v>34501</v>
      </c>
      <c r="C63" s="87">
        <v>5</v>
      </c>
      <c r="D63" s="89">
        <v>2</v>
      </c>
      <c r="E63" s="87">
        <v>0</v>
      </c>
      <c r="F63" s="87">
        <v>87</v>
      </c>
      <c r="G63" s="87">
        <v>1</v>
      </c>
      <c r="H63" s="87">
        <v>88</v>
      </c>
      <c r="I63" s="90">
        <v>521000</v>
      </c>
      <c r="J63" s="90">
        <v>10300</v>
      </c>
      <c r="K63" s="91">
        <v>1860</v>
      </c>
      <c r="L63" s="91">
        <v>12200</v>
      </c>
      <c r="M63" s="91">
        <v>452000</v>
      </c>
      <c r="N63" s="91">
        <v>457000</v>
      </c>
    </row>
    <row r="64" spans="1:14">
      <c r="A64" s="87">
        <v>94</v>
      </c>
      <c r="B64" s="88">
        <v>34501</v>
      </c>
      <c r="C64" s="87">
        <v>25</v>
      </c>
      <c r="D64" s="89">
        <v>2</v>
      </c>
      <c r="E64" s="87">
        <v>1</v>
      </c>
      <c r="F64" s="87">
        <v>86</v>
      </c>
      <c r="G64" s="87">
        <v>0</v>
      </c>
      <c r="H64" s="87">
        <v>89</v>
      </c>
      <c r="I64" s="90">
        <v>519000</v>
      </c>
      <c r="J64" s="90">
        <v>8810</v>
      </c>
      <c r="K64" s="91">
        <v>4120</v>
      </c>
      <c r="L64" s="91">
        <v>12900</v>
      </c>
      <c r="M64" s="91">
        <v>447000</v>
      </c>
      <c r="N64" s="91">
        <v>460000</v>
      </c>
    </row>
    <row r="65" spans="1:14">
      <c r="A65" s="87">
        <v>94</v>
      </c>
      <c r="B65" s="88">
        <v>34501</v>
      </c>
      <c r="C65" s="87">
        <v>45</v>
      </c>
      <c r="D65" s="89">
        <v>2</v>
      </c>
      <c r="E65" s="87">
        <v>1</v>
      </c>
      <c r="F65" s="87">
        <v>85</v>
      </c>
      <c r="G65" s="87">
        <v>0</v>
      </c>
      <c r="H65" s="87">
        <v>88</v>
      </c>
      <c r="I65" s="90">
        <v>567000</v>
      </c>
      <c r="J65" s="90">
        <v>13100</v>
      </c>
      <c r="K65" s="91">
        <v>4930</v>
      </c>
      <c r="L65" s="91">
        <v>18000</v>
      </c>
      <c r="M65" s="91">
        <v>483000</v>
      </c>
      <c r="N65" s="91">
        <v>500000</v>
      </c>
    </row>
    <row r="66" spans="1:14">
      <c r="A66" s="87">
        <v>94</v>
      </c>
      <c r="B66" s="88">
        <v>34501</v>
      </c>
      <c r="C66" s="87">
        <v>100</v>
      </c>
      <c r="D66" s="89">
        <v>2</v>
      </c>
      <c r="E66" s="87">
        <v>0</v>
      </c>
      <c r="F66" s="87">
        <v>84</v>
      </c>
      <c r="G66" s="87">
        <v>0</v>
      </c>
      <c r="H66" s="87">
        <v>86</v>
      </c>
      <c r="I66" s="90">
        <v>422000</v>
      </c>
      <c r="J66" s="90">
        <v>7330</v>
      </c>
      <c r="K66" s="91">
        <v>1830</v>
      </c>
      <c r="L66" s="91">
        <v>9160</v>
      </c>
      <c r="M66" s="91">
        <v>354000</v>
      </c>
      <c r="N66" s="91">
        <v>362000</v>
      </c>
    </row>
    <row r="67" spans="1:14">
      <c r="A67" s="87">
        <v>94</v>
      </c>
      <c r="B67" s="88">
        <v>34501</v>
      </c>
      <c r="C67" s="87">
        <v>250</v>
      </c>
      <c r="D67" s="89">
        <v>12</v>
      </c>
      <c r="E67" s="87">
        <v>4</v>
      </c>
      <c r="F67" s="87">
        <v>52</v>
      </c>
      <c r="G67" s="87">
        <v>1</v>
      </c>
      <c r="H67" s="87">
        <v>67</v>
      </c>
      <c r="I67" s="90">
        <v>128000</v>
      </c>
      <c r="J67" s="90">
        <v>15900</v>
      </c>
      <c r="K67" s="91">
        <v>4560</v>
      </c>
      <c r="L67" s="91">
        <v>20500</v>
      </c>
      <c r="M67" s="91">
        <v>66600</v>
      </c>
      <c r="N67" s="91">
        <v>85900</v>
      </c>
    </row>
    <row r="68" spans="1:14">
      <c r="A68" s="87">
        <v>94</v>
      </c>
      <c r="B68" s="88">
        <v>34501</v>
      </c>
      <c r="C68" s="87">
        <v>1000</v>
      </c>
      <c r="D68" s="89">
        <v>14</v>
      </c>
      <c r="E68" s="87">
        <v>3</v>
      </c>
      <c r="F68" s="87">
        <v>50</v>
      </c>
      <c r="G68" s="87">
        <v>2</v>
      </c>
      <c r="H68" s="87">
        <v>66</v>
      </c>
      <c r="I68" s="90">
        <v>23300</v>
      </c>
      <c r="J68" s="90">
        <v>3360</v>
      </c>
      <c r="K68" s="91">
        <v>755</v>
      </c>
      <c r="L68" s="91">
        <v>4120</v>
      </c>
      <c r="M68" s="91">
        <v>11600</v>
      </c>
      <c r="N68" s="91">
        <v>15300</v>
      </c>
    </row>
    <row r="69" spans="1:14">
      <c r="A69" s="87">
        <v>94</v>
      </c>
      <c r="B69" s="88">
        <v>34500</v>
      </c>
      <c r="C69" s="87">
        <v>2000</v>
      </c>
      <c r="D69" s="89">
        <v>17</v>
      </c>
      <c r="E69" s="87">
        <v>2</v>
      </c>
      <c r="F69" s="87">
        <v>35</v>
      </c>
      <c r="G69" s="87">
        <v>1</v>
      </c>
      <c r="H69" s="87">
        <v>52</v>
      </c>
      <c r="I69" s="90">
        <v>11900</v>
      </c>
      <c r="J69" s="90">
        <v>1990</v>
      </c>
      <c r="K69" s="91">
        <v>267</v>
      </c>
      <c r="L69" s="91">
        <v>2250</v>
      </c>
      <c r="M69" s="91">
        <v>4120</v>
      </c>
      <c r="N69" s="91">
        <v>6200</v>
      </c>
    </row>
    <row r="70" spans="1:14">
      <c r="A70" s="87">
        <v>94</v>
      </c>
      <c r="B70" s="88">
        <v>34500</v>
      </c>
      <c r="C70" s="87">
        <v>3000</v>
      </c>
      <c r="D70" s="89">
        <v>9</v>
      </c>
      <c r="E70" s="87">
        <v>4</v>
      </c>
      <c r="F70" s="87">
        <v>7</v>
      </c>
      <c r="G70" s="87">
        <v>1</v>
      </c>
      <c r="H70" s="87">
        <v>19</v>
      </c>
      <c r="I70" s="90">
        <v>8390</v>
      </c>
      <c r="J70" s="90">
        <v>719</v>
      </c>
      <c r="K70" s="91">
        <v>329</v>
      </c>
      <c r="L70" s="91">
        <v>1050</v>
      </c>
      <c r="M70" s="91">
        <v>574</v>
      </c>
      <c r="N70" s="91">
        <v>1580</v>
      </c>
    </row>
    <row r="71" spans="1:14">
      <c r="A71" s="87">
        <v>94</v>
      </c>
      <c r="B71" s="88">
        <v>34500</v>
      </c>
      <c r="C71" s="87">
        <v>4750</v>
      </c>
      <c r="D71" s="89">
        <v>16</v>
      </c>
      <c r="E71" s="87">
        <v>9</v>
      </c>
      <c r="F71" s="87">
        <v>32</v>
      </c>
      <c r="G71" s="87">
        <v>3</v>
      </c>
      <c r="H71" s="87">
        <v>53</v>
      </c>
      <c r="I71" s="90">
        <v>8620</v>
      </c>
      <c r="J71" s="90">
        <v>1350</v>
      </c>
      <c r="K71" s="91">
        <v>760</v>
      </c>
      <c r="L71" s="91">
        <v>2110</v>
      </c>
      <c r="M71" s="91">
        <v>2780</v>
      </c>
      <c r="N71" s="91">
        <v>4600</v>
      </c>
    </row>
    <row r="72" spans="1:14">
      <c r="A72" s="87">
        <v>95</v>
      </c>
      <c r="B72" s="88">
        <v>34529</v>
      </c>
      <c r="C72" s="87">
        <v>5</v>
      </c>
      <c r="D72" s="89">
        <v>0</v>
      </c>
      <c r="E72" s="87">
        <v>5</v>
      </c>
      <c r="F72" s="87">
        <v>79</v>
      </c>
      <c r="G72" s="87">
        <v>1</v>
      </c>
      <c r="H72" s="87">
        <v>83</v>
      </c>
      <c r="I72" s="90">
        <v>408000</v>
      </c>
      <c r="J72" s="90">
        <v>1570</v>
      </c>
      <c r="K72" s="91">
        <v>19200</v>
      </c>
      <c r="L72" s="91">
        <v>20700</v>
      </c>
      <c r="M72" s="91">
        <v>321000</v>
      </c>
      <c r="N72" s="91">
        <v>337000</v>
      </c>
    </row>
    <row r="73" spans="1:14">
      <c r="A73" s="87">
        <v>95</v>
      </c>
      <c r="B73" s="88">
        <v>34529</v>
      </c>
      <c r="C73" s="87">
        <v>25</v>
      </c>
      <c r="D73" s="89">
        <v>0</v>
      </c>
      <c r="E73" s="87">
        <v>5</v>
      </c>
      <c r="F73" s="87">
        <v>67</v>
      </c>
      <c r="G73" s="87">
        <v>4</v>
      </c>
      <c r="H73" s="87">
        <v>68</v>
      </c>
      <c r="I73" s="90">
        <v>548000</v>
      </c>
      <c r="J73" s="90">
        <v>0</v>
      </c>
      <c r="K73" s="91">
        <v>29800</v>
      </c>
      <c r="L73" s="91">
        <v>29800</v>
      </c>
      <c r="M73" s="91">
        <v>367000</v>
      </c>
      <c r="N73" s="91">
        <v>375000</v>
      </c>
    </row>
    <row r="74" spans="1:14">
      <c r="A74" s="87">
        <v>95</v>
      </c>
      <c r="B74" s="88">
        <v>34529</v>
      </c>
      <c r="C74" s="87">
        <v>45</v>
      </c>
      <c r="D74" s="89">
        <v>3</v>
      </c>
      <c r="E74" s="87">
        <v>2</v>
      </c>
      <c r="F74" s="87">
        <v>79</v>
      </c>
      <c r="G74" s="87">
        <v>0</v>
      </c>
      <c r="H74" s="87">
        <v>83</v>
      </c>
      <c r="I74" s="90">
        <v>383000</v>
      </c>
      <c r="J74" s="90">
        <v>11300</v>
      </c>
      <c r="K74" s="91">
        <v>7650</v>
      </c>
      <c r="L74" s="91">
        <v>18900</v>
      </c>
      <c r="M74" s="91">
        <v>301000</v>
      </c>
      <c r="N74" s="91">
        <v>319000</v>
      </c>
    </row>
    <row r="75" spans="1:14">
      <c r="A75" s="87">
        <v>95</v>
      </c>
      <c r="B75" s="88">
        <v>34529</v>
      </c>
      <c r="C75" s="87">
        <v>100</v>
      </c>
      <c r="D75" s="89">
        <v>7</v>
      </c>
      <c r="E75" s="87">
        <v>1</v>
      </c>
      <c r="F75" s="87">
        <v>72</v>
      </c>
      <c r="G75" s="87">
        <v>0</v>
      </c>
      <c r="H75" s="87">
        <v>80</v>
      </c>
      <c r="I75" s="90">
        <v>397000</v>
      </c>
      <c r="J75" s="90">
        <v>27900</v>
      </c>
      <c r="K75" s="91">
        <v>3610</v>
      </c>
      <c r="L75" s="91">
        <v>31500</v>
      </c>
      <c r="M75" s="91">
        <v>286000</v>
      </c>
      <c r="N75" s="91">
        <v>317000</v>
      </c>
    </row>
    <row r="76" spans="1:14">
      <c r="A76" s="87">
        <v>95</v>
      </c>
      <c r="B76" s="88">
        <v>34529</v>
      </c>
      <c r="C76" s="87">
        <v>250</v>
      </c>
      <c r="D76" s="89">
        <v>31</v>
      </c>
      <c r="E76" s="87">
        <v>2</v>
      </c>
      <c r="F76" s="87">
        <v>75</v>
      </c>
      <c r="G76" s="87">
        <v>1</v>
      </c>
      <c r="H76" s="87">
        <v>107</v>
      </c>
      <c r="I76" s="90">
        <v>77500</v>
      </c>
      <c r="J76" s="90">
        <v>23900</v>
      </c>
      <c r="K76" s="91">
        <v>1410</v>
      </c>
      <c r="L76" s="91">
        <v>25300</v>
      </c>
      <c r="M76" s="91">
        <v>58300</v>
      </c>
      <c r="N76" s="91">
        <v>83000</v>
      </c>
    </row>
    <row r="77" spans="1:14">
      <c r="A77" s="87">
        <v>95</v>
      </c>
      <c r="B77" s="88">
        <v>34529</v>
      </c>
      <c r="C77" s="87">
        <v>1000</v>
      </c>
      <c r="D77" s="89">
        <v>24</v>
      </c>
      <c r="E77" s="87">
        <v>5</v>
      </c>
      <c r="F77" s="87">
        <v>34</v>
      </c>
      <c r="G77" s="87">
        <v>0</v>
      </c>
      <c r="H77" s="87">
        <v>62</v>
      </c>
      <c r="I77" s="90">
        <v>25800</v>
      </c>
      <c r="J77" s="90">
        <v>6070</v>
      </c>
      <c r="K77" s="91">
        <v>1320</v>
      </c>
      <c r="L77" s="91">
        <v>7400</v>
      </c>
      <c r="M77" s="91">
        <v>8650</v>
      </c>
      <c r="N77" s="91">
        <v>16000</v>
      </c>
    </row>
    <row r="78" spans="1:14">
      <c r="A78" s="87">
        <v>95</v>
      </c>
      <c r="B78" s="88">
        <v>34528</v>
      </c>
      <c r="C78" s="87">
        <v>2000</v>
      </c>
      <c r="D78" s="89">
        <v>17</v>
      </c>
      <c r="E78" s="87">
        <v>4</v>
      </c>
      <c r="F78" s="87">
        <v>41</v>
      </c>
      <c r="G78" s="87">
        <v>1</v>
      </c>
      <c r="H78" s="87">
        <v>60</v>
      </c>
      <c r="I78" s="90">
        <v>11700</v>
      </c>
      <c r="J78" s="90">
        <v>1930</v>
      </c>
      <c r="K78" s="91">
        <v>422</v>
      </c>
      <c r="L78" s="91">
        <v>2350</v>
      </c>
      <c r="M78" s="91">
        <v>4760</v>
      </c>
      <c r="N78" s="91">
        <v>7010</v>
      </c>
    </row>
    <row r="79" spans="1:14">
      <c r="A79" s="87">
        <v>95</v>
      </c>
      <c r="B79" s="88">
        <v>34528</v>
      </c>
      <c r="C79" s="87">
        <v>3000</v>
      </c>
      <c r="D79" s="89">
        <v>28</v>
      </c>
      <c r="E79" s="87">
        <v>3</v>
      </c>
      <c r="F79" s="87">
        <v>45</v>
      </c>
      <c r="G79" s="87">
        <v>1</v>
      </c>
      <c r="H79" s="87">
        <v>74</v>
      </c>
      <c r="I79" s="90">
        <v>8480</v>
      </c>
      <c r="J79" s="90">
        <v>2330</v>
      </c>
      <c r="K79" s="91">
        <v>229</v>
      </c>
      <c r="L79" s="91">
        <v>2560</v>
      </c>
      <c r="M79" s="91">
        <v>3790</v>
      </c>
      <c r="N79" s="91">
        <v>6290</v>
      </c>
    </row>
    <row r="80" spans="1:14">
      <c r="A80" s="87">
        <v>95</v>
      </c>
      <c r="B80" s="88">
        <v>34528</v>
      </c>
      <c r="C80" s="87">
        <v>4750</v>
      </c>
      <c r="D80" s="89">
        <v>16</v>
      </c>
      <c r="E80" s="87">
        <v>8</v>
      </c>
      <c r="F80" s="87">
        <v>50</v>
      </c>
      <c r="G80" s="87">
        <v>2</v>
      </c>
      <c r="H80" s="87">
        <v>72</v>
      </c>
      <c r="I80" s="90">
        <v>10600</v>
      </c>
      <c r="J80" s="90">
        <v>1740</v>
      </c>
      <c r="K80" s="91">
        <v>836</v>
      </c>
      <c r="L80" s="91">
        <v>2570</v>
      </c>
      <c r="M80" s="91">
        <v>5250</v>
      </c>
      <c r="N80" s="91">
        <v>7580</v>
      </c>
    </row>
    <row r="81" spans="1:14">
      <c r="A81" s="87">
        <v>96</v>
      </c>
      <c r="B81" s="88">
        <v>34555</v>
      </c>
      <c r="C81" s="87">
        <v>5</v>
      </c>
      <c r="D81" s="89">
        <v>0</v>
      </c>
      <c r="E81" s="87">
        <v>3</v>
      </c>
      <c r="F81" s="87">
        <v>84</v>
      </c>
      <c r="G81" s="87">
        <v>4</v>
      </c>
      <c r="H81" s="87">
        <v>83</v>
      </c>
      <c r="I81" s="90">
        <v>450000</v>
      </c>
      <c r="J81" s="90">
        <v>1610</v>
      </c>
      <c r="K81" s="91">
        <v>14600</v>
      </c>
      <c r="L81" s="91">
        <v>16200</v>
      </c>
      <c r="M81" s="91">
        <v>377000</v>
      </c>
      <c r="N81" s="91">
        <v>375000</v>
      </c>
    </row>
    <row r="82" spans="1:14">
      <c r="A82" s="87">
        <v>96</v>
      </c>
      <c r="B82" s="88">
        <v>34555</v>
      </c>
      <c r="C82" s="87">
        <v>25</v>
      </c>
      <c r="D82" s="89">
        <v>1</v>
      </c>
      <c r="E82" s="87">
        <v>6</v>
      </c>
      <c r="F82" s="87">
        <v>85</v>
      </c>
      <c r="G82" s="87">
        <v>2</v>
      </c>
      <c r="H82" s="87">
        <v>89</v>
      </c>
      <c r="I82" s="90">
        <v>429000</v>
      </c>
      <c r="J82" s="90">
        <v>4590</v>
      </c>
      <c r="K82" s="91">
        <v>26000</v>
      </c>
      <c r="L82" s="91">
        <v>30600</v>
      </c>
      <c r="M82" s="91">
        <v>362000</v>
      </c>
      <c r="N82" s="91">
        <v>383000</v>
      </c>
    </row>
    <row r="83" spans="1:14">
      <c r="A83" s="87">
        <v>96</v>
      </c>
      <c r="B83" s="88">
        <v>34555</v>
      </c>
      <c r="C83" s="87">
        <v>45</v>
      </c>
      <c r="D83" s="89">
        <v>2</v>
      </c>
      <c r="E83" s="87">
        <v>7</v>
      </c>
      <c r="F83" s="87">
        <v>81</v>
      </c>
      <c r="G83" s="87">
        <v>2</v>
      </c>
      <c r="H83" s="87">
        <v>88</v>
      </c>
      <c r="I83" s="90">
        <v>376000</v>
      </c>
      <c r="J83" s="90">
        <v>6120</v>
      </c>
      <c r="K83" s="91">
        <v>26100</v>
      </c>
      <c r="L83" s="91">
        <v>32300</v>
      </c>
      <c r="M83" s="91">
        <v>304000</v>
      </c>
      <c r="N83" s="91">
        <v>330000</v>
      </c>
    </row>
    <row r="84" spans="1:14">
      <c r="A84" s="87">
        <v>96</v>
      </c>
      <c r="B84" s="88">
        <v>34555</v>
      </c>
      <c r="C84" s="87">
        <v>100</v>
      </c>
      <c r="D84" s="89">
        <v>3</v>
      </c>
      <c r="E84" s="87">
        <v>3</v>
      </c>
      <c r="F84" s="87">
        <v>60</v>
      </c>
      <c r="G84" s="87">
        <v>1</v>
      </c>
      <c r="H84" s="87">
        <v>65</v>
      </c>
      <c r="I84" s="90">
        <v>239000</v>
      </c>
      <c r="J84" s="90">
        <v>6990</v>
      </c>
      <c r="K84" s="91">
        <v>6780</v>
      </c>
      <c r="L84" s="91">
        <v>13800</v>
      </c>
      <c r="M84" s="91">
        <v>143000</v>
      </c>
      <c r="N84" s="91">
        <v>155000</v>
      </c>
    </row>
    <row r="85" spans="1:14">
      <c r="A85" s="87">
        <v>96</v>
      </c>
      <c r="B85" s="88">
        <v>34555</v>
      </c>
      <c r="C85" s="87">
        <v>250</v>
      </c>
      <c r="D85" s="89">
        <v>28</v>
      </c>
      <c r="E85" s="87">
        <v>3</v>
      </c>
      <c r="F85" s="87">
        <v>39</v>
      </c>
      <c r="G85" s="87">
        <v>2</v>
      </c>
      <c r="H85" s="87">
        <v>68</v>
      </c>
      <c r="I85" s="90">
        <v>62800</v>
      </c>
      <c r="J85" s="90">
        <v>17800</v>
      </c>
      <c r="K85" s="91">
        <v>1970</v>
      </c>
      <c r="L85" s="91">
        <v>19700</v>
      </c>
      <c r="M85" s="91">
        <v>24400</v>
      </c>
      <c r="N85" s="91">
        <v>43000</v>
      </c>
    </row>
    <row r="86" spans="1:14">
      <c r="A86" s="87">
        <v>96</v>
      </c>
      <c r="B86" s="88">
        <v>34555</v>
      </c>
      <c r="C86" s="87">
        <v>1000</v>
      </c>
      <c r="D86" s="89">
        <v>31</v>
      </c>
      <c r="E86" s="87">
        <v>3</v>
      </c>
      <c r="F86" s="87">
        <v>57</v>
      </c>
      <c r="G86" s="87">
        <v>3</v>
      </c>
      <c r="H86" s="87">
        <v>88</v>
      </c>
      <c r="I86" s="90">
        <v>15800</v>
      </c>
      <c r="J86" s="90">
        <v>4930</v>
      </c>
      <c r="K86" s="91">
        <v>397</v>
      </c>
      <c r="L86" s="91">
        <v>5330</v>
      </c>
      <c r="M86" s="91">
        <v>9080</v>
      </c>
      <c r="N86" s="91">
        <v>13900</v>
      </c>
    </row>
    <row r="87" spans="1:14">
      <c r="A87" s="87">
        <v>96</v>
      </c>
      <c r="B87" s="88">
        <v>34556</v>
      </c>
      <c r="C87" s="87">
        <v>2000</v>
      </c>
      <c r="D87" s="89">
        <v>49</v>
      </c>
      <c r="E87" s="87">
        <v>7</v>
      </c>
      <c r="F87" s="87">
        <v>33</v>
      </c>
      <c r="G87" s="87">
        <v>4</v>
      </c>
      <c r="H87" s="87">
        <v>86</v>
      </c>
      <c r="I87" s="90">
        <v>6800</v>
      </c>
      <c r="J87" s="90">
        <v>3350</v>
      </c>
      <c r="K87" s="91">
        <v>488</v>
      </c>
      <c r="L87" s="91">
        <v>3840</v>
      </c>
      <c r="M87" s="91">
        <v>2250</v>
      </c>
      <c r="N87" s="91">
        <v>5850</v>
      </c>
    </row>
    <row r="88" spans="1:14">
      <c r="A88" s="87">
        <v>96</v>
      </c>
      <c r="B88" s="88">
        <v>34556</v>
      </c>
      <c r="C88" s="87">
        <v>3000</v>
      </c>
      <c r="D88" s="89">
        <v>53</v>
      </c>
      <c r="E88" s="87">
        <v>3</v>
      </c>
      <c r="F88" s="87">
        <v>28</v>
      </c>
      <c r="G88" s="87">
        <v>3</v>
      </c>
      <c r="H88" s="87">
        <v>81</v>
      </c>
      <c r="I88" s="90">
        <v>6440</v>
      </c>
      <c r="J88" s="90">
        <v>3410</v>
      </c>
      <c r="K88" s="91">
        <v>198</v>
      </c>
      <c r="L88" s="91">
        <v>3610</v>
      </c>
      <c r="M88" s="91">
        <v>1780</v>
      </c>
      <c r="N88" s="91">
        <v>5220</v>
      </c>
    </row>
    <row r="89" spans="1:14">
      <c r="A89" s="87">
        <v>96</v>
      </c>
      <c r="B89" s="88">
        <v>34556</v>
      </c>
      <c r="C89" s="87">
        <v>4750</v>
      </c>
      <c r="D89" s="89">
        <v>42</v>
      </c>
      <c r="E89" s="87">
        <v>10</v>
      </c>
      <c r="F89" s="87">
        <v>23</v>
      </c>
      <c r="G89" s="87">
        <v>4</v>
      </c>
      <c r="H89" s="87">
        <v>72</v>
      </c>
      <c r="I89" s="90">
        <v>4790</v>
      </c>
      <c r="J89" s="90">
        <v>2030</v>
      </c>
      <c r="K89" s="91">
        <v>497</v>
      </c>
      <c r="L89" s="91">
        <v>2530</v>
      </c>
      <c r="M89" s="91">
        <v>1110</v>
      </c>
      <c r="N89" s="91">
        <v>3430</v>
      </c>
    </row>
    <row r="90" spans="1:14">
      <c r="A90" s="87">
        <v>97</v>
      </c>
      <c r="B90" s="88">
        <v>34603</v>
      </c>
      <c r="C90" s="87">
        <v>5</v>
      </c>
      <c r="D90" s="89">
        <v>5</v>
      </c>
      <c r="E90" s="87">
        <v>7</v>
      </c>
      <c r="F90" s="87">
        <v>77</v>
      </c>
      <c r="G90" s="87">
        <v>3</v>
      </c>
      <c r="H90" s="87">
        <v>86</v>
      </c>
      <c r="I90" s="90">
        <v>672000</v>
      </c>
      <c r="J90" s="90">
        <v>31600</v>
      </c>
      <c r="K90" s="91">
        <v>47800</v>
      </c>
      <c r="L90" s="91">
        <v>79400</v>
      </c>
      <c r="M90" s="91">
        <v>515000</v>
      </c>
      <c r="N90" s="91">
        <v>577000</v>
      </c>
    </row>
    <row r="91" spans="1:14">
      <c r="A91" s="87">
        <v>97</v>
      </c>
      <c r="B91" s="88">
        <v>34603</v>
      </c>
      <c r="C91" s="87">
        <v>25</v>
      </c>
      <c r="D91" s="89">
        <v>1</v>
      </c>
      <c r="E91" s="87">
        <v>6</v>
      </c>
      <c r="F91" s="87">
        <v>76</v>
      </c>
      <c r="G91" s="87">
        <v>1</v>
      </c>
      <c r="H91" s="87">
        <v>82</v>
      </c>
      <c r="I91" s="90">
        <v>592000</v>
      </c>
      <c r="J91" s="90">
        <v>2960</v>
      </c>
      <c r="K91" s="91">
        <v>36100</v>
      </c>
      <c r="L91" s="91">
        <v>39000</v>
      </c>
      <c r="M91" s="91">
        <v>450000</v>
      </c>
      <c r="N91" s="91">
        <v>483000</v>
      </c>
    </row>
    <row r="92" spans="1:14">
      <c r="A92" s="87">
        <v>97</v>
      </c>
      <c r="B92" s="88">
        <v>34603</v>
      </c>
      <c r="C92" s="87">
        <v>45</v>
      </c>
      <c r="D92" s="89">
        <v>2</v>
      </c>
      <c r="E92" s="87">
        <v>10</v>
      </c>
      <c r="F92" s="87">
        <v>68</v>
      </c>
      <c r="G92" s="87">
        <v>1</v>
      </c>
      <c r="H92" s="87">
        <v>79</v>
      </c>
      <c r="I92" s="90">
        <v>406000</v>
      </c>
      <c r="J92" s="90">
        <v>8000</v>
      </c>
      <c r="K92" s="91">
        <v>41400</v>
      </c>
      <c r="L92" s="91">
        <v>49400</v>
      </c>
      <c r="M92" s="91">
        <v>275000</v>
      </c>
      <c r="N92" s="91">
        <v>319000</v>
      </c>
    </row>
    <row r="93" spans="1:14">
      <c r="A93" s="87">
        <v>97</v>
      </c>
      <c r="B93" s="88">
        <v>34603</v>
      </c>
      <c r="C93" s="87">
        <v>100</v>
      </c>
      <c r="D93" s="89">
        <v>10</v>
      </c>
      <c r="E93" s="87">
        <v>4</v>
      </c>
      <c r="F93" s="87">
        <v>72</v>
      </c>
      <c r="G93" s="87">
        <v>2</v>
      </c>
      <c r="H93" s="87">
        <v>84</v>
      </c>
      <c r="I93" s="90">
        <v>222000</v>
      </c>
      <c r="J93" s="90">
        <v>22000</v>
      </c>
      <c r="K93" s="91">
        <v>9080</v>
      </c>
      <c r="L93" s="91">
        <v>31000</v>
      </c>
      <c r="M93" s="91">
        <v>161000</v>
      </c>
      <c r="N93" s="91">
        <v>187000</v>
      </c>
    </row>
    <row r="94" spans="1:14">
      <c r="A94" s="87">
        <v>97</v>
      </c>
      <c r="B94" s="88">
        <v>34603</v>
      </c>
      <c r="C94" s="87">
        <v>150</v>
      </c>
      <c r="D94" s="89">
        <v>21</v>
      </c>
      <c r="E94" s="87">
        <v>4</v>
      </c>
      <c r="F94" s="87">
        <v>72</v>
      </c>
      <c r="G94" s="87">
        <v>3</v>
      </c>
      <c r="H94" s="87">
        <v>95</v>
      </c>
      <c r="I94" s="90">
        <v>187000</v>
      </c>
      <c r="J94" s="90">
        <v>39300</v>
      </c>
      <c r="K94" s="91">
        <v>8000</v>
      </c>
      <c r="L94" s="91">
        <v>47300</v>
      </c>
      <c r="M94" s="91">
        <v>135000</v>
      </c>
      <c r="N94" s="91">
        <v>177000</v>
      </c>
    </row>
    <row r="95" spans="1:14">
      <c r="A95" s="87">
        <v>97</v>
      </c>
      <c r="B95" s="88">
        <v>34603</v>
      </c>
      <c r="C95" s="87">
        <v>250</v>
      </c>
      <c r="D95" s="89">
        <v>19</v>
      </c>
      <c r="E95" s="87">
        <v>2</v>
      </c>
      <c r="F95" s="87">
        <v>50</v>
      </c>
      <c r="G95" s="87">
        <v>1</v>
      </c>
      <c r="H95" s="87">
        <v>70</v>
      </c>
      <c r="I95" s="90">
        <v>129000</v>
      </c>
      <c r="J95" s="90">
        <v>24200</v>
      </c>
      <c r="K95" s="91">
        <v>3020</v>
      </c>
      <c r="L95" s="91">
        <v>27300</v>
      </c>
      <c r="M95" s="91">
        <v>64600</v>
      </c>
      <c r="N95" s="91">
        <v>90900</v>
      </c>
    </row>
    <row r="96" spans="1:14">
      <c r="A96" s="87">
        <v>97</v>
      </c>
      <c r="B96" s="88">
        <v>34603</v>
      </c>
      <c r="C96" s="87">
        <v>500</v>
      </c>
      <c r="D96" s="89">
        <v>27</v>
      </c>
      <c r="E96" s="87">
        <v>6</v>
      </c>
      <c r="F96" s="87">
        <v>61</v>
      </c>
      <c r="G96" s="87">
        <v>3</v>
      </c>
      <c r="H96" s="87">
        <v>90</v>
      </c>
      <c r="I96" s="90">
        <v>47600</v>
      </c>
      <c r="J96" s="90">
        <v>12700</v>
      </c>
      <c r="K96" s="91">
        <v>2690</v>
      </c>
      <c r="L96" s="91">
        <v>15400</v>
      </c>
      <c r="M96" s="91">
        <v>28900</v>
      </c>
      <c r="N96" s="91">
        <v>42800</v>
      </c>
    </row>
    <row r="97" spans="1:14">
      <c r="A97" s="87">
        <v>97</v>
      </c>
      <c r="B97" s="88">
        <v>34603</v>
      </c>
      <c r="C97" s="87">
        <v>1000</v>
      </c>
      <c r="D97" s="89">
        <v>34</v>
      </c>
      <c r="E97" s="87">
        <v>7</v>
      </c>
      <c r="F97" s="87">
        <v>38</v>
      </c>
      <c r="G97" s="87">
        <v>4</v>
      </c>
      <c r="H97" s="87">
        <v>75</v>
      </c>
      <c r="I97" s="90">
        <v>21700</v>
      </c>
      <c r="J97" s="90">
        <v>7350</v>
      </c>
      <c r="K97" s="91">
        <v>1480</v>
      </c>
      <c r="L97" s="91">
        <v>8840</v>
      </c>
      <c r="M97" s="91">
        <v>8250</v>
      </c>
      <c r="N97" s="91">
        <v>16300</v>
      </c>
    </row>
    <row r="98" spans="1:14">
      <c r="A98" s="87">
        <v>97</v>
      </c>
      <c r="B98" s="88">
        <v>34605</v>
      </c>
      <c r="C98" s="87">
        <v>2000</v>
      </c>
      <c r="D98" s="89">
        <v>42</v>
      </c>
      <c r="E98" s="87">
        <v>4</v>
      </c>
      <c r="F98" s="87">
        <v>18</v>
      </c>
      <c r="G98" s="87">
        <v>2</v>
      </c>
      <c r="H98" s="87">
        <v>62</v>
      </c>
      <c r="I98" s="90">
        <v>16900</v>
      </c>
      <c r="J98" s="90">
        <v>7160</v>
      </c>
      <c r="K98" s="91">
        <v>657</v>
      </c>
      <c r="L98" s="91">
        <v>7820</v>
      </c>
      <c r="M98" s="91">
        <v>3020</v>
      </c>
      <c r="N98" s="91">
        <v>10600</v>
      </c>
    </row>
    <row r="99" spans="1:14">
      <c r="A99" s="87">
        <v>97</v>
      </c>
      <c r="B99" s="88">
        <v>34605</v>
      </c>
      <c r="C99" s="87">
        <v>3000</v>
      </c>
      <c r="D99" s="89">
        <v>42</v>
      </c>
      <c r="E99" s="87">
        <v>4</v>
      </c>
      <c r="F99" s="87">
        <v>34</v>
      </c>
      <c r="G99" s="87">
        <v>1</v>
      </c>
      <c r="H99" s="87">
        <v>79</v>
      </c>
      <c r="I99" s="90">
        <v>11300</v>
      </c>
      <c r="J99" s="90">
        <v>4800</v>
      </c>
      <c r="K99" s="91">
        <v>410</v>
      </c>
      <c r="L99" s="91">
        <v>5210</v>
      </c>
      <c r="M99" s="91">
        <v>3860</v>
      </c>
      <c r="N99" s="91">
        <v>8940</v>
      </c>
    </row>
    <row r="100" spans="1:14">
      <c r="A100" s="87">
        <v>97</v>
      </c>
      <c r="B100" s="88">
        <v>34605</v>
      </c>
      <c r="C100" s="87">
        <v>4750</v>
      </c>
      <c r="D100" s="89">
        <v>47</v>
      </c>
      <c r="E100" s="87">
        <v>4</v>
      </c>
      <c r="F100" s="87">
        <v>45</v>
      </c>
      <c r="G100" s="87">
        <v>3</v>
      </c>
      <c r="H100" s="87">
        <v>93</v>
      </c>
      <c r="I100" s="90">
        <v>7030</v>
      </c>
      <c r="J100" s="90">
        <v>3330</v>
      </c>
      <c r="K100" s="91">
        <v>277</v>
      </c>
      <c r="L100" s="91">
        <v>3610</v>
      </c>
      <c r="M100" s="91">
        <v>3190</v>
      </c>
      <c r="N100" s="91">
        <v>6570</v>
      </c>
    </row>
    <row r="101" spans="1:14">
      <c r="A101" s="87">
        <v>98</v>
      </c>
      <c r="B101" s="88">
        <v>34625</v>
      </c>
      <c r="C101" s="87">
        <v>5</v>
      </c>
      <c r="D101" s="89">
        <v>7</v>
      </c>
      <c r="E101" s="87">
        <v>2</v>
      </c>
      <c r="F101" s="87">
        <v>89</v>
      </c>
      <c r="G101" s="87">
        <v>4</v>
      </c>
      <c r="H101" s="87">
        <v>94</v>
      </c>
      <c r="I101" s="90">
        <v>525000</v>
      </c>
      <c r="J101" s="90">
        <v>37700</v>
      </c>
      <c r="K101" s="91">
        <v>10400</v>
      </c>
      <c r="L101" s="91">
        <v>48000</v>
      </c>
      <c r="M101" s="91">
        <v>469000</v>
      </c>
      <c r="N101" s="91">
        <v>494000</v>
      </c>
    </row>
    <row r="102" spans="1:14">
      <c r="A102" s="87">
        <v>98</v>
      </c>
      <c r="B102" s="88">
        <v>34625</v>
      </c>
      <c r="C102" s="87">
        <v>25</v>
      </c>
      <c r="D102" s="89">
        <v>4</v>
      </c>
      <c r="E102" s="87">
        <v>3</v>
      </c>
      <c r="F102" s="87">
        <v>82</v>
      </c>
      <c r="G102" s="87">
        <v>3</v>
      </c>
      <c r="H102" s="87">
        <v>86</v>
      </c>
      <c r="I102" s="90">
        <v>546000</v>
      </c>
      <c r="J102" s="90">
        <v>21300</v>
      </c>
      <c r="K102" s="91">
        <v>14600</v>
      </c>
      <c r="L102" s="91">
        <v>35900</v>
      </c>
      <c r="M102" s="91">
        <v>448000</v>
      </c>
      <c r="N102" s="91">
        <v>469000</v>
      </c>
    </row>
    <row r="103" spans="1:14">
      <c r="A103" s="87">
        <v>98</v>
      </c>
      <c r="B103" s="88">
        <v>34625</v>
      </c>
      <c r="C103" s="87">
        <v>45</v>
      </c>
      <c r="D103" s="89">
        <v>11</v>
      </c>
      <c r="E103" s="87">
        <v>3</v>
      </c>
      <c r="F103" s="87">
        <v>82</v>
      </c>
      <c r="G103" s="87">
        <v>3</v>
      </c>
      <c r="H103" s="87">
        <v>93</v>
      </c>
      <c r="I103" s="90">
        <v>381000</v>
      </c>
      <c r="J103" s="90">
        <v>42800</v>
      </c>
      <c r="K103" s="91">
        <v>10800</v>
      </c>
      <c r="L103" s="91">
        <v>53600</v>
      </c>
      <c r="M103" s="91">
        <v>312000</v>
      </c>
      <c r="N103" s="91">
        <v>353000</v>
      </c>
    </row>
    <row r="104" spans="1:14">
      <c r="A104" s="87">
        <v>98</v>
      </c>
      <c r="B104" s="88">
        <v>34625</v>
      </c>
      <c r="C104" s="87">
        <v>100</v>
      </c>
      <c r="D104" s="89">
        <v>19</v>
      </c>
      <c r="E104" s="87">
        <v>1</v>
      </c>
      <c r="F104" s="87">
        <v>78</v>
      </c>
      <c r="G104" s="87">
        <v>2</v>
      </c>
      <c r="H104" s="87">
        <v>95</v>
      </c>
      <c r="I104" s="90">
        <v>459000</v>
      </c>
      <c r="J104" s="90">
        <v>85900</v>
      </c>
      <c r="K104" s="91">
        <v>5040</v>
      </c>
      <c r="L104" s="91">
        <v>91000</v>
      </c>
      <c r="M104" s="91">
        <v>356000</v>
      </c>
      <c r="N104" s="91">
        <v>438000</v>
      </c>
    </row>
    <row r="105" spans="1:14">
      <c r="A105" s="87">
        <v>98</v>
      </c>
      <c r="B105" s="88">
        <v>34625</v>
      </c>
      <c r="C105" s="87">
        <v>150</v>
      </c>
      <c r="D105" s="89">
        <v>15</v>
      </c>
      <c r="E105" s="87">
        <v>2</v>
      </c>
      <c r="F105" s="87">
        <v>77</v>
      </c>
      <c r="G105" s="87">
        <v>0</v>
      </c>
      <c r="H105" s="87">
        <v>93</v>
      </c>
      <c r="I105" s="90">
        <v>298000</v>
      </c>
      <c r="J105" s="90">
        <v>44700</v>
      </c>
      <c r="K105" s="91">
        <v>4680</v>
      </c>
      <c r="L105" s="91">
        <v>49400</v>
      </c>
      <c r="M105" s="91">
        <v>228000</v>
      </c>
      <c r="N105" s="91">
        <v>277000</v>
      </c>
    </row>
    <row r="106" spans="1:14">
      <c r="A106" s="87">
        <v>98</v>
      </c>
      <c r="B106" s="88">
        <v>34625</v>
      </c>
      <c r="C106" s="87">
        <v>250</v>
      </c>
      <c r="D106" s="89">
        <v>24</v>
      </c>
      <c r="E106" s="87">
        <v>7</v>
      </c>
      <c r="F106" s="87">
        <v>55</v>
      </c>
      <c r="G106" s="87">
        <v>0</v>
      </c>
      <c r="H106" s="87">
        <v>86</v>
      </c>
      <c r="I106" s="90">
        <v>125000</v>
      </c>
      <c r="J106" s="90">
        <v>30000</v>
      </c>
      <c r="K106" s="91">
        <v>8830</v>
      </c>
      <c r="L106" s="91">
        <v>38800</v>
      </c>
      <c r="M106" s="91">
        <v>69000</v>
      </c>
      <c r="N106" s="91">
        <v>107000</v>
      </c>
    </row>
    <row r="107" spans="1:14">
      <c r="A107" s="87">
        <v>98</v>
      </c>
      <c r="B107" s="88">
        <v>34625</v>
      </c>
      <c r="C107" s="87">
        <v>500</v>
      </c>
      <c r="D107" s="89">
        <v>19</v>
      </c>
      <c r="E107" s="87">
        <v>9</v>
      </c>
      <c r="F107" s="87">
        <v>56</v>
      </c>
      <c r="G107" s="87">
        <v>1</v>
      </c>
      <c r="H107" s="87">
        <v>83</v>
      </c>
      <c r="I107" s="90">
        <v>52200</v>
      </c>
      <c r="J107" s="90">
        <v>9960</v>
      </c>
      <c r="K107" s="91">
        <v>4450</v>
      </c>
      <c r="L107" s="91">
        <v>14400</v>
      </c>
      <c r="M107" s="91">
        <v>29400</v>
      </c>
      <c r="N107" s="91">
        <v>43300</v>
      </c>
    </row>
    <row r="108" spans="1:14">
      <c r="A108" s="87">
        <v>98</v>
      </c>
      <c r="B108" s="88">
        <v>34625</v>
      </c>
      <c r="C108" s="87">
        <v>1000</v>
      </c>
      <c r="D108" s="89">
        <v>19</v>
      </c>
      <c r="E108" s="87">
        <v>8</v>
      </c>
      <c r="F108" s="87">
        <v>50</v>
      </c>
      <c r="G108" s="87">
        <v>0</v>
      </c>
      <c r="H108" s="87">
        <v>77</v>
      </c>
      <c r="I108" s="90">
        <v>38400</v>
      </c>
      <c r="J108" s="90">
        <v>7370</v>
      </c>
      <c r="K108" s="91">
        <v>3120</v>
      </c>
      <c r="L108" s="91">
        <v>10500</v>
      </c>
      <c r="M108" s="91">
        <v>19100</v>
      </c>
      <c r="N108" s="91">
        <v>29500</v>
      </c>
    </row>
    <row r="109" spans="1:14">
      <c r="A109" s="87">
        <v>98</v>
      </c>
      <c r="B109" s="88">
        <v>34624</v>
      </c>
      <c r="C109" s="87">
        <v>2000</v>
      </c>
      <c r="D109" s="92" t="s">
        <v>269</v>
      </c>
      <c r="E109" s="93" t="s">
        <v>269</v>
      </c>
      <c r="F109" s="87">
        <v>42</v>
      </c>
      <c r="G109" s="87">
        <v>2</v>
      </c>
      <c r="H109" s="93" t="s">
        <v>269</v>
      </c>
      <c r="I109" s="92" t="s">
        <v>269</v>
      </c>
      <c r="J109" s="92" t="s">
        <v>269</v>
      </c>
      <c r="K109" s="93" t="s">
        <v>269</v>
      </c>
      <c r="L109" s="93" t="s">
        <v>269</v>
      </c>
      <c r="M109" s="93" t="s">
        <v>269</v>
      </c>
      <c r="N109" s="93" t="s">
        <v>269</v>
      </c>
    </row>
    <row r="110" spans="1:14">
      <c r="A110" s="87">
        <v>98</v>
      </c>
      <c r="B110" s="88">
        <v>34624</v>
      </c>
      <c r="C110" s="87">
        <v>3000</v>
      </c>
      <c r="D110" s="92" t="s">
        <v>269</v>
      </c>
      <c r="E110" s="93" t="s">
        <v>269</v>
      </c>
      <c r="F110" s="87">
        <v>30</v>
      </c>
      <c r="G110" s="87">
        <v>3</v>
      </c>
      <c r="H110" s="93" t="s">
        <v>269</v>
      </c>
      <c r="I110" s="92" t="s">
        <v>269</v>
      </c>
      <c r="J110" s="92" t="s">
        <v>269</v>
      </c>
      <c r="K110" s="93" t="s">
        <v>269</v>
      </c>
      <c r="L110" s="93" t="s">
        <v>269</v>
      </c>
      <c r="M110" s="93" t="s">
        <v>269</v>
      </c>
      <c r="N110" s="93" t="s">
        <v>269</v>
      </c>
    </row>
    <row r="111" spans="1:14">
      <c r="A111" s="87">
        <v>98</v>
      </c>
      <c r="B111" s="88">
        <v>34624</v>
      </c>
      <c r="C111" s="87">
        <v>4750</v>
      </c>
      <c r="D111" s="92" t="s">
        <v>269</v>
      </c>
      <c r="E111" s="93" t="s">
        <v>269</v>
      </c>
      <c r="F111" s="87">
        <v>39</v>
      </c>
      <c r="G111" s="87">
        <v>2</v>
      </c>
      <c r="H111" s="93" t="s">
        <v>269</v>
      </c>
      <c r="I111" s="92" t="s">
        <v>269</v>
      </c>
      <c r="J111" s="92" t="s">
        <v>269</v>
      </c>
      <c r="K111" s="93" t="s">
        <v>269</v>
      </c>
      <c r="L111" s="93" t="s">
        <v>269</v>
      </c>
      <c r="M111" s="93" t="s">
        <v>269</v>
      </c>
      <c r="N111" s="93" t="s">
        <v>269</v>
      </c>
    </row>
    <row r="112" spans="1:14">
      <c r="A112" s="87">
        <v>99</v>
      </c>
      <c r="B112" s="88">
        <v>34648</v>
      </c>
      <c r="C112" s="87">
        <v>5</v>
      </c>
      <c r="D112" s="89">
        <v>1</v>
      </c>
      <c r="E112" s="87">
        <v>4</v>
      </c>
      <c r="F112" s="87">
        <v>78</v>
      </c>
      <c r="G112" s="87">
        <v>2</v>
      </c>
      <c r="H112" s="87">
        <v>80</v>
      </c>
      <c r="I112" s="92" t="s">
        <v>269</v>
      </c>
      <c r="J112" s="92" t="s">
        <v>269</v>
      </c>
      <c r="K112" s="93" t="s">
        <v>269</v>
      </c>
      <c r="L112" s="93" t="s">
        <v>269</v>
      </c>
      <c r="M112" s="93" t="s">
        <v>269</v>
      </c>
      <c r="N112" s="93" t="s">
        <v>269</v>
      </c>
    </row>
    <row r="113" spans="1:14">
      <c r="A113" s="87">
        <v>99</v>
      </c>
      <c r="B113" s="88">
        <v>34648</v>
      </c>
      <c r="C113" s="87">
        <v>25</v>
      </c>
      <c r="D113" s="89">
        <v>0</v>
      </c>
      <c r="E113" s="87">
        <v>4</v>
      </c>
      <c r="F113" s="87">
        <v>86</v>
      </c>
      <c r="G113" s="87">
        <v>1</v>
      </c>
      <c r="H113" s="87">
        <v>90</v>
      </c>
      <c r="I113" s="92" t="s">
        <v>269</v>
      </c>
      <c r="J113" s="92" t="s">
        <v>269</v>
      </c>
      <c r="K113" s="93" t="s">
        <v>269</v>
      </c>
      <c r="L113" s="93" t="s">
        <v>269</v>
      </c>
      <c r="M113" s="93" t="s">
        <v>269</v>
      </c>
      <c r="N113" s="93" t="s">
        <v>269</v>
      </c>
    </row>
    <row r="114" spans="1:14">
      <c r="A114" s="87">
        <v>99</v>
      </c>
      <c r="B114" s="88">
        <v>34648</v>
      </c>
      <c r="C114" s="87">
        <v>45</v>
      </c>
      <c r="D114" s="89">
        <v>0</v>
      </c>
      <c r="E114" s="87">
        <v>1</v>
      </c>
      <c r="F114" s="87">
        <v>84</v>
      </c>
      <c r="G114" s="87">
        <v>1</v>
      </c>
      <c r="H114" s="87">
        <v>84</v>
      </c>
      <c r="I114" s="92" t="s">
        <v>269</v>
      </c>
      <c r="J114" s="92" t="s">
        <v>269</v>
      </c>
      <c r="K114" s="93" t="s">
        <v>269</v>
      </c>
      <c r="L114" s="93" t="s">
        <v>269</v>
      </c>
      <c r="M114" s="93" t="s">
        <v>269</v>
      </c>
      <c r="N114" s="93" t="s">
        <v>269</v>
      </c>
    </row>
    <row r="115" spans="1:14">
      <c r="A115" s="87">
        <v>99</v>
      </c>
      <c r="B115" s="88">
        <v>34648</v>
      </c>
      <c r="C115" s="87">
        <v>100</v>
      </c>
      <c r="D115" s="89">
        <v>0</v>
      </c>
      <c r="E115" s="87">
        <v>1</v>
      </c>
      <c r="F115" s="87">
        <v>75</v>
      </c>
      <c r="G115" s="87">
        <v>0</v>
      </c>
      <c r="H115" s="87">
        <v>76</v>
      </c>
      <c r="I115" s="92" t="s">
        <v>269</v>
      </c>
      <c r="J115" s="92" t="s">
        <v>269</v>
      </c>
      <c r="K115" s="93" t="s">
        <v>269</v>
      </c>
      <c r="L115" s="93" t="s">
        <v>269</v>
      </c>
      <c r="M115" s="93" t="s">
        <v>269</v>
      </c>
      <c r="N115" s="93" t="s">
        <v>269</v>
      </c>
    </row>
    <row r="116" spans="1:14">
      <c r="A116" s="87">
        <v>99</v>
      </c>
      <c r="B116" s="88">
        <v>34648</v>
      </c>
      <c r="C116" s="87">
        <v>150</v>
      </c>
      <c r="D116" s="89">
        <v>11</v>
      </c>
      <c r="E116" s="87">
        <v>4</v>
      </c>
      <c r="F116" s="87">
        <v>70</v>
      </c>
      <c r="G116" s="87">
        <v>0</v>
      </c>
      <c r="H116" s="87">
        <v>86</v>
      </c>
      <c r="I116" s="92" t="s">
        <v>269</v>
      </c>
      <c r="J116" s="92" t="s">
        <v>269</v>
      </c>
      <c r="K116" s="93" t="s">
        <v>269</v>
      </c>
      <c r="L116" s="93" t="s">
        <v>269</v>
      </c>
      <c r="M116" s="93" t="s">
        <v>269</v>
      </c>
      <c r="N116" s="93" t="s">
        <v>269</v>
      </c>
    </row>
    <row r="117" spans="1:14">
      <c r="A117" s="87">
        <v>99</v>
      </c>
      <c r="B117" s="88">
        <v>34648</v>
      </c>
      <c r="C117" s="87">
        <v>250</v>
      </c>
      <c r="D117" s="89">
        <v>18</v>
      </c>
      <c r="E117" s="87">
        <v>2</v>
      </c>
      <c r="F117" s="87">
        <v>61</v>
      </c>
      <c r="G117" s="87">
        <v>1</v>
      </c>
      <c r="H117" s="87">
        <v>80</v>
      </c>
      <c r="I117" s="92" t="s">
        <v>269</v>
      </c>
      <c r="J117" s="92" t="s">
        <v>269</v>
      </c>
      <c r="K117" s="93" t="s">
        <v>269</v>
      </c>
      <c r="L117" s="93" t="s">
        <v>269</v>
      </c>
      <c r="M117" s="93" t="s">
        <v>269</v>
      </c>
      <c r="N117" s="93" t="s">
        <v>269</v>
      </c>
    </row>
    <row r="118" spans="1:14">
      <c r="A118" s="87">
        <v>99</v>
      </c>
      <c r="B118" s="88">
        <v>34648</v>
      </c>
      <c r="C118" s="87">
        <v>500</v>
      </c>
      <c r="D118" s="89">
        <v>38</v>
      </c>
      <c r="E118" s="87">
        <v>2</v>
      </c>
      <c r="F118" s="87">
        <v>54</v>
      </c>
      <c r="G118" s="87">
        <v>0</v>
      </c>
      <c r="H118" s="87">
        <v>94</v>
      </c>
      <c r="I118" s="90">
        <v>80700</v>
      </c>
      <c r="J118" s="90">
        <v>31000</v>
      </c>
      <c r="K118" s="91">
        <v>1570</v>
      </c>
      <c r="L118" s="91">
        <v>32500</v>
      </c>
      <c r="M118" s="91">
        <v>43500</v>
      </c>
      <c r="N118" s="91">
        <v>75800</v>
      </c>
    </row>
    <row r="119" spans="1:14">
      <c r="A119" s="87">
        <v>99</v>
      </c>
      <c r="B119" s="88">
        <v>34648</v>
      </c>
      <c r="C119" s="87">
        <v>1000</v>
      </c>
      <c r="D119" s="89">
        <v>22</v>
      </c>
      <c r="E119" s="87">
        <v>2</v>
      </c>
      <c r="F119" s="87">
        <v>48</v>
      </c>
      <c r="G119" s="87">
        <v>1</v>
      </c>
      <c r="H119" s="87">
        <v>70</v>
      </c>
      <c r="I119" s="90">
        <v>26500</v>
      </c>
      <c r="J119" s="90">
        <v>5840</v>
      </c>
      <c r="K119" s="91">
        <v>495</v>
      </c>
      <c r="L119" s="91">
        <v>6340</v>
      </c>
      <c r="M119" s="91">
        <v>12700</v>
      </c>
      <c r="N119" s="91">
        <v>18700</v>
      </c>
    </row>
    <row r="120" spans="1:14">
      <c r="A120" s="87">
        <v>99</v>
      </c>
      <c r="B120" s="88">
        <v>34647</v>
      </c>
      <c r="C120" s="87">
        <v>2000</v>
      </c>
      <c r="D120" s="89">
        <v>39</v>
      </c>
      <c r="E120" s="87">
        <v>4</v>
      </c>
      <c r="F120" s="87">
        <v>35</v>
      </c>
      <c r="G120" s="87">
        <v>2</v>
      </c>
      <c r="H120" s="87">
        <v>75</v>
      </c>
      <c r="I120" s="90">
        <v>16300</v>
      </c>
      <c r="J120" s="90">
        <v>6400</v>
      </c>
      <c r="K120" s="91">
        <v>658</v>
      </c>
      <c r="L120" s="91">
        <v>7060</v>
      </c>
      <c r="M120" s="91">
        <v>5640</v>
      </c>
      <c r="N120" s="91">
        <v>12300</v>
      </c>
    </row>
    <row r="121" spans="1:14">
      <c r="A121" s="87">
        <v>99</v>
      </c>
      <c r="B121" s="88">
        <v>34647</v>
      </c>
      <c r="C121" s="87">
        <v>3000</v>
      </c>
      <c r="D121" s="89">
        <v>38</v>
      </c>
      <c r="E121" s="87">
        <v>2</v>
      </c>
      <c r="F121" s="87">
        <v>42</v>
      </c>
      <c r="G121" s="87">
        <v>2</v>
      </c>
      <c r="H121" s="87">
        <v>81</v>
      </c>
      <c r="I121" s="90">
        <v>12600</v>
      </c>
      <c r="J121" s="90">
        <v>4820</v>
      </c>
      <c r="K121" s="91">
        <v>308</v>
      </c>
      <c r="L121" s="91">
        <v>5130</v>
      </c>
      <c r="M121" s="91">
        <v>5320</v>
      </c>
      <c r="N121" s="91">
        <v>10200</v>
      </c>
    </row>
    <row r="122" spans="1:14">
      <c r="A122" s="87">
        <v>99</v>
      </c>
      <c r="B122" s="88">
        <v>34647</v>
      </c>
      <c r="C122" s="87">
        <v>4750</v>
      </c>
      <c r="D122" s="89">
        <v>38</v>
      </c>
      <c r="E122" s="87">
        <v>10</v>
      </c>
      <c r="F122" s="87">
        <v>61</v>
      </c>
      <c r="G122" s="87">
        <v>2</v>
      </c>
      <c r="H122" s="87">
        <v>107</v>
      </c>
      <c r="I122" s="90">
        <v>22100</v>
      </c>
      <c r="J122" s="90">
        <v>8400</v>
      </c>
      <c r="K122" s="91">
        <v>2180</v>
      </c>
      <c r="L122" s="91">
        <v>10600</v>
      </c>
      <c r="M122" s="91">
        <v>13500</v>
      </c>
      <c r="N122" s="91">
        <v>23600</v>
      </c>
    </row>
    <row r="123" spans="1:14">
      <c r="A123" s="87">
        <v>100</v>
      </c>
      <c r="B123" s="88">
        <v>34676</v>
      </c>
      <c r="C123" s="87">
        <v>5</v>
      </c>
      <c r="D123" s="89">
        <v>29</v>
      </c>
      <c r="E123" s="87">
        <v>21</v>
      </c>
      <c r="F123" s="87">
        <v>66</v>
      </c>
      <c r="G123" s="87">
        <v>1</v>
      </c>
      <c r="H123" s="87">
        <v>115</v>
      </c>
      <c r="I123" s="90">
        <v>411000</v>
      </c>
      <c r="J123" s="90">
        <v>118000</v>
      </c>
      <c r="K123" s="91">
        <v>88300</v>
      </c>
      <c r="L123" s="91">
        <v>206000</v>
      </c>
      <c r="M123" s="91">
        <v>273000</v>
      </c>
      <c r="N123" s="91">
        <v>473000</v>
      </c>
    </row>
    <row r="124" spans="1:14">
      <c r="A124" s="87">
        <v>100</v>
      </c>
      <c r="B124" s="88">
        <v>34676</v>
      </c>
      <c r="C124" s="87">
        <v>25</v>
      </c>
      <c r="D124" s="89">
        <v>28</v>
      </c>
      <c r="E124" s="87">
        <v>11</v>
      </c>
      <c r="F124" s="87">
        <v>60</v>
      </c>
      <c r="G124" s="87">
        <v>1</v>
      </c>
      <c r="H124" s="87">
        <v>99</v>
      </c>
      <c r="I124" s="90">
        <v>370000</v>
      </c>
      <c r="J124" s="90">
        <v>103000</v>
      </c>
      <c r="K124" s="91">
        <v>42600</v>
      </c>
      <c r="L124" s="91">
        <v>146000</v>
      </c>
      <c r="M124" s="91">
        <v>223000</v>
      </c>
      <c r="N124" s="91">
        <v>366000</v>
      </c>
    </row>
    <row r="125" spans="1:14">
      <c r="A125" s="87">
        <v>100</v>
      </c>
      <c r="B125" s="88">
        <v>34676</v>
      </c>
      <c r="C125" s="87">
        <v>45</v>
      </c>
      <c r="D125" s="89">
        <v>23</v>
      </c>
      <c r="E125" s="87">
        <v>18</v>
      </c>
      <c r="F125" s="87">
        <v>66</v>
      </c>
      <c r="G125" s="87">
        <v>3</v>
      </c>
      <c r="H125" s="87">
        <v>105</v>
      </c>
      <c r="I125" s="90">
        <v>239000</v>
      </c>
      <c r="J125" s="90">
        <v>55700</v>
      </c>
      <c r="K125" s="91">
        <v>43400</v>
      </c>
      <c r="L125" s="91">
        <v>99100</v>
      </c>
      <c r="M125" s="91">
        <v>158000</v>
      </c>
      <c r="N125" s="91">
        <v>251000</v>
      </c>
    </row>
    <row r="126" spans="1:14">
      <c r="A126" s="87">
        <v>100</v>
      </c>
      <c r="B126" s="88">
        <v>34676</v>
      </c>
      <c r="C126" s="87">
        <v>100</v>
      </c>
      <c r="D126" s="89">
        <v>29</v>
      </c>
      <c r="E126" s="87">
        <v>5</v>
      </c>
      <c r="F126" s="87">
        <v>73</v>
      </c>
      <c r="G126" s="87">
        <v>1</v>
      </c>
      <c r="H126" s="87">
        <v>106</v>
      </c>
      <c r="I126" s="90">
        <v>233000</v>
      </c>
      <c r="J126" s="90">
        <v>67600</v>
      </c>
      <c r="K126" s="91">
        <v>11700</v>
      </c>
      <c r="L126" s="91">
        <v>79300</v>
      </c>
      <c r="M126" s="91">
        <v>171000</v>
      </c>
      <c r="N126" s="91">
        <v>247000</v>
      </c>
    </row>
    <row r="127" spans="1:14">
      <c r="A127" s="87">
        <v>100</v>
      </c>
      <c r="B127" s="88">
        <v>34676</v>
      </c>
      <c r="C127" s="87">
        <v>150</v>
      </c>
      <c r="D127" s="89">
        <v>24</v>
      </c>
      <c r="E127" s="87">
        <v>8</v>
      </c>
      <c r="F127" s="87">
        <v>56</v>
      </c>
      <c r="G127" s="87">
        <v>3</v>
      </c>
      <c r="H127" s="87">
        <v>85</v>
      </c>
      <c r="I127" s="90">
        <v>169000</v>
      </c>
      <c r="J127" s="90">
        <v>40600</v>
      </c>
      <c r="K127" s="91">
        <v>13600</v>
      </c>
      <c r="L127" s="91">
        <v>54200</v>
      </c>
      <c r="M127" s="91">
        <v>95000</v>
      </c>
      <c r="N127" s="91">
        <v>144000</v>
      </c>
    </row>
    <row r="128" spans="1:14">
      <c r="A128" s="87">
        <v>100</v>
      </c>
      <c r="B128" s="88">
        <v>34676</v>
      </c>
      <c r="C128" s="87">
        <v>250</v>
      </c>
      <c r="D128" s="89">
        <v>52</v>
      </c>
      <c r="E128" s="87">
        <v>6</v>
      </c>
      <c r="F128" s="87">
        <v>38</v>
      </c>
      <c r="G128" s="87">
        <v>2</v>
      </c>
      <c r="H128" s="87">
        <v>94</v>
      </c>
      <c r="I128" s="90">
        <v>103000</v>
      </c>
      <c r="J128" s="90">
        <v>54000</v>
      </c>
      <c r="K128" s="91">
        <v>5810</v>
      </c>
      <c r="L128" s="91">
        <v>59800</v>
      </c>
      <c r="M128" s="91">
        <v>39100</v>
      </c>
      <c r="N128" s="91">
        <v>97000</v>
      </c>
    </row>
    <row r="129" spans="1:14">
      <c r="A129" s="87">
        <v>100</v>
      </c>
      <c r="B129" s="88">
        <v>34676</v>
      </c>
      <c r="C129" s="87">
        <v>500</v>
      </c>
      <c r="D129" s="89">
        <v>49</v>
      </c>
      <c r="E129" s="87">
        <v>8</v>
      </c>
      <c r="F129" s="87">
        <v>38</v>
      </c>
      <c r="G129" s="87">
        <v>2</v>
      </c>
      <c r="H129" s="87">
        <v>93</v>
      </c>
      <c r="I129" s="90">
        <v>48800</v>
      </c>
      <c r="J129" s="90">
        <v>24200</v>
      </c>
      <c r="K129" s="91">
        <v>3770</v>
      </c>
      <c r="L129" s="91">
        <v>27900</v>
      </c>
      <c r="M129" s="91">
        <v>18500</v>
      </c>
      <c r="N129" s="91">
        <v>45600</v>
      </c>
    </row>
    <row r="130" spans="1:14">
      <c r="A130" s="87">
        <v>100</v>
      </c>
      <c r="B130" s="88">
        <v>34676</v>
      </c>
      <c r="C130" s="87">
        <v>1000</v>
      </c>
      <c r="D130" s="89">
        <v>48</v>
      </c>
      <c r="E130" s="87">
        <v>4</v>
      </c>
      <c r="F130" s="87">
        <v>33</v>
      </c>
      <c r="G130" s="87">
        <v>0</v>
      </c>
      <c r="H130" s="87">
        <v>85</v>
      </c>
      <c r="I130" s="90">
        <v>36800</v>
      </c>
      <c r="J130" s="90">
        <v>17700</v>
      </c>
      <c r="K130" s="91">
        <v>1350</v>
      </c>
      <c r="L130" s="91">
        <v>19000</v>
      </c>
      <c r="M130" s="91">
        <v>12200</v>
      </c>
      <c r="N130" s="91">
        <v>31200</v>
      </c>
    </row>
    <row r="131" spans="1:14">
      <c r="A131" s="87">
        <v>100</v>
      </c>
      <c r="B131" s="88">
        <v>34675</v>
      </c>
      <c r="C131" s="87">
        <v>2000</v>
      </c>
      <c r="D131" s="89">
        <v>47</v>
      </c>
      <c r="E131" s="87">
        <v>5</v>
      </c>
      <c r="F131" s="87">
        <v>34</v>
      </c>
      <c r="G131" s="87">
        <v>1</v>
      </c>
      <c r="H131" s="87">
        <v>85</v>
      </c>
      <c r="I131" s="90">
        <v>14600</v>
      </c>
      <c r="J131" s="90">
        <v>6910</v>
      </c>
      <c r="K131" s="91">
        <v>705</v>
      </c>
      <c r="L131" s="91">
        <v>7610</v>
      </c>
      <c r="M131" s="91">
        <v>5010</v>
      </c>
      <c r="N131" s="91">
        <v>12500</v>
      </c>
    </row>
    <row r="132" spans="1:14">
      <c r="A132" s="87">
        <v>100</v>
      </c>
      <c r="B132" s="88">
        <v>34675</v>
      </c>
      <c r="C132" s="87">
        <v>3000</v>
      </c>
      <c r="D132" s="89">
        <v>37</v>
      </c>
      <c r="E132" s="87">
        <v>4</v>
      </c>
      <c r="F132" s="87">
        <v>49</v>
      </c>
      <c r="G132" s="87">
        <v>2</v>
      </c>
      <c r="H132" s="87">
        <v>89</v>
      </c>
      <c r="I132" s="90">
        <v>13500</v>
      </c>
      <c r="J132" s="90">
        <v>4970</v>
      </c>
      <c r="K132" s="91">
        <v>598</v>
      </c>
      <c r="L132" s="91">
        <v>5560</v>
      </c>
      <c r="M132" s="91">
        <v>6600</v>
      </c>
      <c r="N132" s="91">
        <v>11900</v>
      </c>
    </row>
    <row r="133" spans="1:14">
      <c r="A133" s="87">
        <v>100</v>
      </c>
      <c r="B133" s="88">
        <v>34675</v>
      </c>
      <c r="C133" s="87">
        <v>4750</v>
      </c>
      <c r="D133" s="89">
        <v>43</v>
      </c>
      <c r="E133" s="87">
        <v>4</v>
      </c>
      <c r="F133" s="87">
        <v>43</v>
      </c>
      <c r="G133" s="87">
        <v>2</v>
      </c>
      <c r="H133" s="87">
        <v>89</v>
      </c>
      <c r="I133" s="90">
        <v>16300</v>
      </c>
      <c r="J133" s="90">
        <v>7070</v>
      </c>
      <c r="K133" s="91">
        <v>691</v>
      </c>
      <c r="L133" s="91">
        <v>7760</v>
      </c>
      <c r="M133" s="91">
        <v>7070</v>
      </c>
      <c r="N133" s="91">
        <v>14600</v>
      </c>
    </row>
  </sheetData>
  <mergeCells count="1">
    <mergeCell ref="B3:B11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I131"/>
  <sheetViews>
    <sheetView topLeftCell="A40" workbookViewId="0">
      <selection activeCell="G112" sqref="G112"/>
    </sheetView>
  </sheetViews>
  <sheetFormatPr baseColWidth="10" defaultRowHeight="13" x14ac:dyDescent="0"/>
  <sheetData>
    <row r="14" spans="3:3">
      <c r="C14">
        <v>1000</v>
      </c>
    </row>
    <row r="15" spans="3:3">
      <c r="C15" s="52">
        <v>10000000000</v>
      </c>
    </row>
    <row r="48" spans="4:4">
      <c r="D48" t="s">
        <v>223</v>
      </c>
    </row>
    <row r="49" spans="3:9">
      <c r="C49" t="s">
        <v>521</v>
      </c>
      <c r="D49" t="s">
        <v>221</v>
      </c>
      <c r="E49" t="s">
        <v>222</v>
      </c>
      <c r="F49" t="s">
        <v>529</v>
      </c>
      <c r="H49" t="s">
        <v>235</v>
      </c>
      <c r="I49" t="s">
        <v>236</v>
      </c>
    </row>
    <row r="50" spans="3:9">
      <c r="C50" s="78" t="s">
        <v>229</v>
      </c>
      <c r="D50" s="52">
        <v>104838803.00331615</v>
      </c>
      <c r="E50" s="52">
        <v>78990368.441232279</v>
      </c>
      <c r="F50" t="s">
        <v>233</v>
      </c>
      <c r="H50" s="52">
        <f>D50/10^3</f>
        <v>104838.80300331615</v>
      </c>
      <c r="I50" s="52">
        <f>E50/10^3</f>
        <v>78990.368441232276</v>
      </c>
    </row>
    <row r="51" spans="3:9">
      <c r="C51" s="78" t="s">
        <v>229</v>
      </c>
      <c r="D51" s="52">
        <v>7762804.9320514612</v>
      </c>
      <c r="E51" s="52">
        <v>6502438.0500593232</v>
      </c>
      <c r="F51" t="s">
        <v>233</v>
      </c>
      <c r="H51" s="52">
        <f t="shared" ref="H51:H114" si="0">D51/10^3</f>
        <v>7762.804932051461</v>
      </c>
      <c r="I51" s="52">
        <f t="shared" ref="I51:I114" si="1">E51/10^3</f>
        <v>6502.4380500593234</v>
      </c>
    </row>
    <row r="52" spans="3:9">
      <c r="C52" s="78" t="s">
        <v>229</v>
      </c>
      <c r="D52" s="52">
        <v>3460072.2291652155</v>
      </c>
      <c r="E52" s="52">
        <v>3293896.1061229538</v>
      </c>
      <c r="F52" t="s">
        <v>233</v>
      </c>
      <c r="H52" s="52">
        <f t="shared" si="0"/>
        <v>3460.0722291652155</v>
      </c>
      <c r="I52" s="52">
        <f t="shared" si="1"/>
        <v>3293.8961061229538</v>
      </c>
    </row>
    <row r="53" spans="3:9">
      <c r="C53" s="78" t="s">
        <v>229</v>
      </c>
      <c r="D53" s="52">
        <v>8140679.5839442471</v>
      </c>
      <c r="E53" s="52">
        <v>6887637.1216811975</v>
      </c>
      <c r="F53" t="s">
        <v>233</v>
      </c>
      <c r="H53" s="52">
        <f t="shared" si="0"/>
        <v>8140.6795839442475</v>
      </c>
      <c r="I53" s="52">
        <f t="shared" si="1"/>
        <v>6887.6371216811976</v>
      </c>
    </row>
    <row r="54" spans="3:9">
      <c r="C54" s="78" t="s">
        <v>229</v>
      </c>
      <c r="D54" s="52">
        <v>6081262.7311283695</v>
      </c>
      <c r="E54" s="52">
        <v>4901228.8933057962</v>
      </c>
      <c r="F54" t="s">
        <v>233</v>
      </c>
      <c r="H54" s="52">
        <f t="shared" si="0"/>
        <v>6081.2627311283695</v>
      </c>
      <c r="I54" s="52">
        <f t="shared" si="1"/>
        <v>4901.2288933057962</v>
      </c>
    </row>
    <row r="55" spans="3:9">
      <c r="C55" s="78" t="s">
        <v>231</v>
      </c>
      <c r="D55" s="52">
        <v>194615384.61538461</v>
      </c>
      <c r="E55" s="52">
        <v>138461538.46153846</v>
      </c>
      <c r="F55" t="s">
        <v>367</v>
      </c>
      <c r="H55" s="52">
        <f t="shared" si="0"/>
        <v>194615.3846153846</v>
      </c>
      <c r="I55" s="52">
        <f t="shared" si="1"/>
        <v>138461.53846153847</v>
      </c>
    </row>
    <row r="56" spans="3:9">
      <c r="C56" s="78" t="s">
        <v>231</v>
      </c>
      <c r="D56" s="52">
        <v>136923076.92307693</v>
      </c>
      <c r="E56" s="52">
        <v>117230769.23076922</v>
      </c>
      <c r="F56" t="s">
        <v>367</v>
      </c>
      <c r="H56" s="52">
        <f t="shared" si="0"/>
        <v>136923.07692307694</v>
      </c>
      <c r="I56" s="52">
        <f t="shared" si="1"/>
        <v>117230.76923076922</v>
      </c>
    </row>
    <row r="57" spans="3:9">
      <c r="C57" s="78" t="s">
        <v>231</v>
      </c>
      <c r="D57" s="52">
        <v>170000000</v>
      </c>
      <c r="E57" s="52">
        <v>127923076.92307691</v>
      </c>
      <c r="F57" t="s">
        <v>367</v>
      </c>
      <c r="H57" s="52">
        <f t="shared" si="0"/>
        <v>170000</v>
      </c>
      <c r="I57" s="52">
        <f t="shared" si="1"/>
        <v>127923.07692307691</v>
      </c>
    </row>
    <row r="58" spans="3:9">
      <c r="C58" s="78" t="s">
        <v>231</v>
      </c>
      <c r="D58" s="52">
        <v>214615384.61538461</v>
      </c>
      <c r="E58" s="52">
        <v>173153846.15384614</v>
      </c>
      <c r="F58" t="s">
        <v>367</v>
      </c>
      <c r="H58" s="52">
        <f t="shared" si="0"/>
        <v>214615.3846153846</v>
      </c>
      <c r="I58" s="52">
        <f t="shared" si="1"/>
        <v>173153.84615384616</v>
      </c>
    </row>
    <row r="59" spans="3:9">
      <c r="C59" s="78" t="s">
        <v>228</v>
      </c>
      <c r="D59" s="52">
        <v>182000000</v>
      </c>
      <c r="E59" s="52">
        <v>194071428.5714286</v>
      </c>
      <c r="F59" t="s">
        <v>366</v>
      </c>
      <c r="H59" s="52">
        <f t="shared" si="0"/>
        <v>182000</v>
      </c>
      <c r="I59" s="52">
        <f t="shared" si="1"/>
        <v>194071.42857142861</v>
      </c>
    </row>
    <row r="60" spans="3:9">
      <c r="C60" s="78" t="s">
        <v>228</v>
      </c>
      <c r="D60" s="52">
        <v>182000000</v>
      </c>
      <c r="E60" s="52">
        <v>197785714.28571427</v>
      </c>
      <c r="F60" t="s">
        <v>366</v>
      </c>
      <c r="H60" s="52">
        <f t="shared" si="0"/>
        <v>182000</v>
      </c>
      <c r="I60" s="52">
        <f t="shared" si="1"/>
        <v>197785.71428571426</v>
      </c>
    </row>
    <row r="61" spans="3:9">
      <c r="C61" s="78" t="s">
        <v>228</v>
      </c>
      <c r="D61" s="52">
        <v>100100000</v>
      </c>
      <c r="E61" s="52">
        <v>111693877.55102041</v>
      </c>
      <c r="F61" t="s">
        <v>366</v>
      </c>
      <c r="H61" s="52">
        <f t="shared" si="0"/>
        <v>100100</v>
      </c>
      <c r="I61" s="52">
        <f t="shared" si="1"/>
        <v>111693.87755102041</v>
      </c>
    </row>
    <row r="62" spans="3:9">
      <c r="C62" s="78" t="s">
        <v>228</v>
      </c>
      <c r="D62" s="52">
        <v>114400000</v>
      </c>
      <c r="E62" s="52">
        <v>124800000</v>
      </c>
      <c r="F62" t="s">
        <v>366</v>
      </c>
      <c r="H62" s="52">
        <f t="shared" si="0"/>
        <v>114400</v>
      </c>
      <c r="I62" s="52">
        <f t="shared" si="1"/>
        <v>124800</v>
      </c>
    </row>
    <row r="63" spans="3:9">
      <c r="C63" s="78" t="s">
        <v>228</v>
      </c>
      <c r="D63" s="52">
        <v>247000000</v>
      </c>
      <c r="E63" s="52">
        <v>264642857.14285716</v>
      </c>
      <c r="F63" t="s">
        <v>366</v>
      </c>
      <c r="H63" s="52">
        <f t="shared" si="0"/>
        <v>247000</v>
      </c>
      <c r="I63" s="52">
        <f t="shared" si="1"/>
        <v>264642.85714285716</v>
      </c>
    </row>
    <row r="64" spans="3:9">
      <c r="C64" s="78" t="s">
        <v>228</v>
      </c>
      <c r="D64" s="52">
        <v>130000000</v>
      </c>
      <c r="E64" s="52">
        <v>143596938.77551022</v>
      </c>
      <c r="F64" t="s">
        <v>366</v>
      </c>
      <c r="H64" s="52">
        <f t="shared" si="0"/>
        <v>130000</v>
      </c>
      <c r="I64" s="52">
        <f t="shared" si="1"/>
        <v>143596.93877551024</v>
      </c>
    </row>
    <row r="65" spans="3:9">
      <c r="C65" s="78" t="s">
        <v>228</v>
      </c>
      <c r="D65" s="52">
        <v>535600000</v>
      </c>
      <c r="E65" s="52">
        <v>563616326.53061223</v>
      </c>
      <c r="F65" t="s">
        <v>366</v>
      </c>
      <c r="H65" s="52">
        <f t="shared" si="0"/>
        <v>535600</v>
      </c>
      <c r="I65" s="52">
        <f t="shared" si="1"/>
        <v>563616.32653061219</v>
      </c>
    </row>
    <row r="66" spans="3:9">
      <c r="C66" s="78" t="s">
        <v>228</v>
      </c>
      <c r="D66" s="52">
        <v>542100000</v>
      </c>
      <c r="E66" s="52">
        <v>571827551.02040815</v>
      </c>
      <c r="F66" t="s">
        <v>366</v>
      </c>
      <c r="H66" s="52">
        <f t="shared" si="0"/>
        <v>542100</v>
      </c>
      <c r="I66" s="52">
        <f t="shared" si="1"/>
        <v>571827.55102040817</v>
      </c>
    </row>
    <row r="67" spans="3:9">
      <c r="C67" s="78" t="s">
        <v>228</v>
      </c>
      <c r="D67" s="52">
        <v>367900000</v>
      </c>
      <c r="E67" s="52">
        <v>389588775.51020414</v>
      </c>
      <c r="F67" t="s">
        <v>366</v>
      </c>
      <c r="H67" s="52">
        <f t="shared" si="0"/>
        <v>367900</v>
      </c>
      <c r="I67" s="52">
        <f t="shared" si="1"/>
        <v>389588.77551020414</v>
      </c>
    </row>
    <row r="68" spans="3:9">
      <c r="C68" s="78" t="s">
        <v>225</v>
      </c>
      <c r="D68" s="52">
        <v>1987397260.2739727</v>
      </c>
      <c r="E68" s="52"/>
      <c r="F68" t="s">
        <v>234</v>
      </c>
      <c r="H68" s="52">
        <f t="shared" si="0"/>
        <v>1987397.2602739728</v>
      </c>
      <c r="I68" s="52">
        <f t="shared" si="1"/>
        <v>0</v>
      </c>
    </row>
    <row r="69" spans="3:9">
      <c r="C69" s="78" t="s">
        <v>226</v>
      </c>
      <c r="D69" s="52">
        <v>2030136986.3013699</v>
      </c>
      <c r="E69" s="52">
        <v>1260821917.8082192</v>
      </c>
      <c r="F69" t="s">
        <v>234</v>
      </c>
      <c r="H69" s="52">
        <f t="shared" si="0"/>
        <v>2030136.98630137</v>
      </c>
      <c r="I69" s="52">
        <f t="shared" si="1"/>
        <v>1260821.9178082191</v>
      </c>
    </row>
    <row r="70" spans="3:9">
      <c r="C70" s="78" t="s">
        <v>225</v>
      </c>
      <c r="D70" s="52">
        <v>1923287671.2328768</v>
      </c>
      <c r="E70" s="52">
        <v>1292876712.3287673</v>
      </c>
      <c r="F70" t="s">
        <v>234</v>
      </c>
      <c r="H70" s="52">
        <f t="shared" si="0"/>
        <v>1923287.6712328768</v>
      </c>
      <c r="I70" s="52">
        <f t="shared" si="1"/>
        <v>1292876.7123287674</v>
      </c>
    </row>
    <row r="71" spans="3:9">
      <c r="C71" s="78" t="s">
        <v>225</v>
      </c>
      <c r="D71" s="52">
        <v>1987397260.2739727</v>
      </c>
      <c r="E71" s="52">
        <v>1453150684.9315071</v>
      </c>
      <c r="F71" t="s">
        <v>234</v>
      </c>
      <c r="H71" s="52">
        <f t="shared" si="0"/>
        <v>1987397.2602739728</v>
      </c>
      <c r="I71" s="52">
        <f t="shared" si="1"/>
        <v>1453150.6849315071</v>
      </c>
    </row>
    <row r="72" spans="3:9">
      <c r="C72" s="78" t="s">
        <v>225</v>
      </c>
      <c r="D72" s="52">
        <v>1538630136.9863014</v>
      </c>
      <c r="E72" s="52">
        <v>1602739726.0273972</v>
      </c>
      <c r="F72" t="s">
        <v>234</v>
      </c>
      <c r="H72" s="52">
        <f t="shared" si="0"/>
        <v>1538630.1369863015</v>
      </c>
      <c r="I72" s="52">
        <f t="shared" si="1"/>
        <v>1602739.7260273972</v>
      </c>
    </row>
    <row r="73" spans="3:9">
      <c r="C73" s="78" t="s">
        <v>225</v>
      </c>
      <c r="D73" s="52">
        <v>1068493150.6849315</v>
      </c>
      <c r="E73" s="52">
        <v>1303561643.8356166</v>
      </c>
      <c r="F73" t="s">
        <v>234</v>
      </c>
      <c r="H73" s="52">
        <f t="shared" si="0"/>
        <v>1068493.1506849315</v>
      </c>
      <c r="I73" s="52">
        <f t="shared" si="1"/>
        <v>1303561.6438356165</v>
      </c>
    </row>
    <row r="74" spans="3:9">
      <c r="C74" s="78" t="s">
        <v>225</v>
      </c>
      <c r="D74" s="52">
        <v>1132602739.7260275</v>
      </c>
      <c r="E74" s="52">
        <v>1004383561.6438358</v>
      </c>
      <c r="F74" t="s">
        <v>234</v>
      </c>
      <c r="H74" s="52">
        <f t="shared" si="0"/>
        <v>1132602.7397260275</v>
      </c>
      <c r="I74" s="52">
        <f t="shared" si="1"/>
        <v>1004383.5616438357</v>
      </c>
    </row>
    <row r="75" spans="3:9">
      <c r="C75" s="78" t="s">
        <v>225</v>
      </c>
      <c r="D75" s="52">
        <v>630410958.90410972</v>
      </c>
      <c r="E75" s="52">
        <v>566301369.86301374</v>
      </c>
      <c r="F75" t="s">
        <v>234</v>
      </c>
      <c r="H75" s="52">
        <f t="shared" si="0"/>
        <v>630410.95890410966</v>
      </c>
      <c r="I75" s="52">
        <f t="shared" si="1"/>
        <v>566301.36986301374</v>
      </c>
    </row>
    <row r="76" spans="3:9">
      <c r="C76" s="78" t="s">
        <v>225</v>
      </c>
      <c r="D76" s="52">
        <v>160273972.60273975</v>
      </c>
      <c r="E76" s="52">
        <v>149589041.09589043</v>
      </c>
      <c r="F76" t="s">
        <v>234</v>
      </c>
      <c r="H76" s="52">
        <f t="shared" si="0"/>
        <v>160273.97260273976</v>
      </c>
      <c r="I76" s="52">
        <f t="shared" si="1"/>
        <v>149589.04109589042</v>
      </c>
    </row>
    <row r="77" spans="3:9">
      <c r="C77" s="78" t="s">
        <v>225</v>
      </c>
      <c r="D77" s="52">
        <v>181643835.61643836</v>
      </c>
      <c r="E77" s="52">
        <v>160273972.60273975</v>
      </c>
      <c r="F77" t="s">
        <v>234</v>
      </c>
      <c r="H77" s="52">
        <f t="shared" si="0"/>
        <v>181643.83561643836</v>
      </c>
      <c r="I77" s="52">
        <f t="shared" si="1"/>
        <v>160273.97260273976</v>
      </c>
    </row>
    <row r="78" spans="3:9">
      <c r="C78" s="78" t="s">
        <v>225</v>
      </c>
      <c r="D78" s="52">
        <v>213698630.13698635</v>
      </c>
      <c r="E78" s="52">
        <v>181643835.61643836</v>
      </c>
      <c r="F78" t="s">
        <v>234</v>
      </c>
      <c r="H78" s="52">
        <f t="shared" si="0"/>
        <v>213698.63013698635</v>
      </c>
      <c r="I78" s="52">
        <f t="shared" si="1"/>
        <v>181643.83561643836</v>
      </c>
    </row>
    <row r="79" spans="3:9">
      <c r="C79" s="78" t="s">
        <v>225</v>
      </c>
      <c r="D79" s="52">
        <v>245753424.65753424</v>
      </c>
      <c r="E79" s="52">
        <v>192328767.12328768</v>
      </c>
      <c r="F79" t="s">
        <v>234</v>
      </c>
      <c r="H79" s="52">
        <f t="shared" si="0"/>
        <v>245753.42465753425</v>
      </c>
      <c r="I79" s="52">
        <f t="shared" si="1"/>
        <v>192328.76712328769</v>
      </c>
    </row>
    <row r="80" spans="3:9">
      <c r="C80" s="78" t="s">
        <v>225</v>
      </c>
      <c r="D80" s="52">
        <v>245753424.65753424</v>
      </c>
      <c r="E80" s="52">
        <v>192328767.12328768</v>
      </c>
      <c r="F80" t="s">
        <v>234</v>
      </c>
      <c r="H80" s="52">
        <f t="shared" si="0"/>
        <v>245753.42465753425</v>
      </c>
      <c r="I80" s="52">
        <f t="shared" si="1"/>
        <v>192328.76712328769</v>
      </c>
    </row>
    <row r="81" spans="3:9">
      <c r="C81" s="78" t="s">
        <v>225</v>
      </c>
      <c r="D81" s="52">
        <v>192328767.12328768</v>
      </c>
      <c r="E81" s="52">
        <v>149589041.0958904</v>
      </c>
      <c r="F81" t="s">
        <v>234</v>
      </c>
      <c r="H81" s="52">
        <f t="shared" si="0"/>
        <v>192328.76712328769</v>
      </c>
      <c r="I81" s="52">
        <f t="shared" si="1"/>
        <v>149589.0410958904</v>
      </c>
    </row>
    <row r="82" spans="3:9">
      <c r="C82" s="78" t="s">
        <v>225</v>
      </c>
      <c r="D82" s="52">
        <v>181643835.61643836</v>
      </c>
      <c r="E82" s="52">
        <v>149589041.09589043</v>
      </c>
      <c r="F82" t="s">
        <v>234</v>
      </c>
      <c r="H82" s="52">
        <f t="shared" si="0"/>
        <v>181643.83561643836</v>
      </c>
      <c r="I82" s="52">
        <f t="shared" si="1"/>
        <v>149589.04109589042</v>
      </c>
    </row>
    <row r="83" spans="3:9">
      <c r="C83" s="78" t="s">
        <v>225</v>
      </c>
      <c r="D83" s="52">
        <v>213698630.13698635</v>
      </c>
      <c r="E83" s="52">
        <v>170958904.10958904</v>
      </c>
      <c r="F83" t="s">
        <v>234</v>
      </c>
      <c r="H83" s="52">
        <f t="shared" si="0"/>
        <v>213698.63013698635</v>
      </c>
      <c r="I83" s="52">
        <f t="shared" si="1"/>
        <v>170958.90410958903</v>
      </c>
    </row>
    <row r="84" spans="3:9">
      <c r="C84" s="78" t="s">
        <v>225</v>
      </c>
      <c r="D84" s="52">
        <v>21369863.01369863</v>
      </c>
      <c r="E84" s="52"/>
      <c r="F84" t="s">
        <v>234</v>
      </c>
      <c r="H84" s="52">
        <f t="shared" si="0"/>
        <v>21369.863013698628</v>
      </c>
      <c r="I84" s="52">
        <f t="shared" si="1"/>
        <v>0</v>
      </c>
    </row>
    <row r="85" spans="3:9">
      <c r="C85" s="78" t="s">
        <v>225</v>
      </c>
      <c r="D85" s="52">
        <v>256438356.16438359</v>
      </c>
      <c r="E85" s="52">
        <v>106849315.06849316</v>
      </c>
      <c r="F85" t="s">
        <v>234</v>
      </c>
      <c r="H85" s="52">
        <f t="shared" si="0"/>
        <v>256438.35616438359</v>
      </c>
      <c r="I85" s="52">
        <f t="shared" si="1"/>
        <v>106849.31506849316</v>
      </c>
    </row>
    <row r="86" spans="3:9">
      <c r="C86" s="78" t="s">
        <v>225</v>
      </c>
      <c r="D86" s="52">
        <v>21369863.01369863</v>
      </c>
      <c r="E86" s="52"/>
      <c r="F86" t="s">
        <v>234</v>
      </c>
      <c r="H86" s="52">
        <f t="shared" si="0"/>
        <v>21369.863013698628</v>
      </c>
      <c r="I86" s="52">
        <f t="shared" si="1"/>
        <v>0</v>
      </c>
    </row>
    <row r="87" spans="3:9">
      <c r="C87" s="78" t="s">
        <v>227</v>
      </c>
      <c r="D87" s="52">
        <v>371428571.42857146</v>
      </c>
      <c r="E87" s="52">
        <v>315714285.71428573</v>
      </c>
      <c r="F87" t="s">
        <v>535</v>
      </c>
      <c r="H87" s="52">
        <f t="shared" si="0"/>
        <v>371428.57142857148</v>
      </c>
      <c r="I87" s="52">
        <f t="shared" si="1"/>
        <v>315714.28571428574</v>
      </c>
    </row>
    <row r="88" spans="3:9">
      <c r="C88" s="78" t="s">
        <v>227</v>
      </c>
      <c r="D88" s="52">
        <v>464285714.28571439</v>
      </c>
      <c r="E88" s="52">
        <v>390000000</v>
      </c>
      <c r="F88" t="s">
        <v>535</v>
      </c>
      <c r="H88" s="52">
        <f t="shared" si="0"/>
        <v>464285.71428571438</v>
      </c>
      <c r="I88" s="52">
        <f t="shared" si="1"/>
        <v>390000</v>
      </c>
    </row>
    <row r="89" spans="3:9">
      <c r="C89" s="78" t="s">
        <v>227</v>
      </c>
      <c r="D89" s="52">
        <v>492142857.14285719</v>
      </c>
      <c r="E89" s="52">
        <v>417857142.85714293</v>
      </c>
      <c r="F89" t="s">
        <v>535</v>
      </c>
      <c r="H89" s="52">
        <f t="shared" si="0"/>
        <v>492142.85714285722</v>
      </c>
      <c r="I89" s="52">
        <f t="shared" si="1"/>
        <v>417857.1428571429</v>
      </c>
    </row>
    <row r="90" spans="3:9">
      <c r="C90" s="78" t="s">
        <v>227</v>
      </c>
      <c r="D90" s="52">
        <v>417857142.85714293</v>
      </c>
      <c r="E90" s="52">
        <v>362142857.14285719</v>
      </c>
      <c r="F90" t="s">
        <v>535</v>
      </c>
      <c r="H90" s="52">
        <f t="shared" si="0"/>
        <v>417857.1428571429</v>
      </c>
      <c r="I90" s="52">
        <f t="shared" si="1"/>
        <v>362142.85714285722</v>
      </c>
    </row>
    <row r="91" spans="3:9">
      <c r="C91" s="78" t="s">
        <v>227</v>
      </c>
      <c r="D91" s="52">
        <v>603571428.57142866</v>
      </c>
      <c r="E91" s="52">
        <v>510714285.71428573</v>
      </c>
      <c r="F91" t="s">
        <v>535</v>
      </c>
      <c r="H91" s="52">
        <f t="shared" si="0"/>
        <v>603571.42857142864</v>
      </c>
      <c r="I91" s="52">
        <f t="shared" si="1"/>
        <v>510714.28571428574</v>
      </c>
    </row>
    <row r="92" spans="3:9">
      <c r="C92" s="78" t="s">
        <v>227</v>
      </c>
      <c r="D92" s="52">
        <v>722222222.22222209</v>
      </c>
      <c r="E92" s="52">
        <v>558518518.51851845</v>
      </c>
      <c r="F92" t="s">
        <v>535</v>
      </c>
      <c r="H92" s="52">
        <f t="shared" si="0"/>
        <v>722222.22222222213</v>
      </c>
      <c r="I92" s="52">
        <f t="shared" si="1"/>
        <v>558518.51851851842</v>
      </c>
    </row>
    <row r="93" spans="3:9">
      <c r="C93" s="78" t="s">
        <v>227</v>
      </c>
      <c r="D93" s="52">
        <v>905185185.18518519</v>
      </c>
      <c r="E93" s="52">
        <v>702962962.96296287</v>
      </c>
      <c r="F93" t="s">
        <v>535</v>
      </c>
      <c r="H93" s="52">
        <f t="shared" si="0"/>
        <v>905185.18518518517</v>
      </c>
      <c r="I93" s="52">
        <f t="shared" si="1"/>
        <v>702962.96296296292</v>
      </c>
    </row>
    <row r="94" spans="3:9">
      <c r="C94" s="78" t="s">
        <v>227</v>
      </c>
      <c r="D94" s="52">
        <v>866666666.66666663</v>
      </c>
      <c r="E94" s="52">
        <v>693333333.33333325</v>
      </c>
      <c r="F94" t="s">
        <v>535</v>
      </c>
      <c r="H94" s="52">
        <f t="shared" si="0"/>
        <v>866666.66666666663</v>
      </c>
      <c r="I94" s="52">
        <f t="shared" si="1"/>
        <v>693333.33333333326</v>
      </c>
    </row>
    <row r="95" spans="3:9">
      <c r="C95" s="78" t="s">
        <v>227</v>
      </c>
      <c r="D95" s="52">
        <v>914814814.81481481</v>
      </c>
      <c r="E95" s="52">
        <v>731851851.85185182</v>
      </c>
      <c r="F95" t="s">
        <v>535</v>
      </c>
      <c r="H95" s="52">
        <f t="shared" si="0"/>
        <v>914814.81481481483</v>
      </c>
      <c r="I95" s="52">
        <f t="shared" si="1"/>
        <v>731851.8518518518</v>
      </c>
    </row>
    <row r="96" spans="3:9">
      <c r="C96" s="78" t="s">
        <v>227</v>
      </c>
      <c r="D96" s="52">
        <v>346666666.66666669</v>
      </c>
      <c r="E96" s="52">
        <v>288888888.8888889</v>
      </c>
      <c r="F96" t="s">
        <v>535</v>
      </c>
      <c r="H96" s="52">
        <f t="shared" si="0"/>
        <v>346666.66666666669</v>
      </c>
      <c r="I96" s="52">
        <f t="shared" si="1"/>
        <v>288888.88888888888</v>
      </c>
    </row>
    <row r="97" spans="3:9">
      <c r="C97" s="78" t="s">
        <v>230</v>
      </c>
      <c r="D97" s="52">
        <v>442962962.96296287</v>
      </c>
      <c r="E97" s="52">
        <v>308148148.14814812</v>
      </c>
      <c r="F97" t="s">
        <v>535</v>
      </c>
      <c r="H97" s="52">
        <f t="shared" si="0"/>
        <v>442962.96296296286</v>
      </c>
      <c r="I97" s="52">
        <f t="shared" si="1"/>
        <v>308148.14814814815</v>
      </c>
    </row>
    <row r="98" spans="3:9">
      <c r="C98" s="78" t="s">
        <v>227</v>
      </c>
      <c r="D98" s="52">
        <v>231111111.1111111</v>
      </c>
      <c r="E98" s="52">
        <v>192592592.5925926</v>
      </c>
      <c r="F98" t="s">
        <v>535</v>
      </c>
      <c r="H98" s="52">
        <f t="shared" si="0"/>
        <v>231111.11111111109</v>
      </c>
      <c r="I98" s="52">
        <f t="shared" si="1"/>
        <v>192592.59259259258</v>
      </c>
    </row>
    <row r="99" spans="3:9">
      <c r="C99" s="78" t="s">
        <v>230</v>
      </c>
      <c r="D99" s="52">
        <v>269629629.62962961</v>
      </c>
      <c r="E99" s="52">
        <v>211851851.85185185</v>
      </c>
      <c r="F99" t="s">
        <v>535</v>
      </c>
      <c r="H99" s="52">
        <f t="shared" si="0"/>
        <v>269629.62962962961</v>
      </c>
      <c r="I99" s="52">
        <f t="shared" si="1"/>
        <v>211851.85185185185</v>
      </c>
    </row>
    <row r="100" spans="3:9">
      <c r="C100" s="78" t="s">
        <v>230</v>
      </c>
      <c r="D100" s="52">
        <v>953333333.33333325</v>
      </c>
      <c r="E100" s="52">
        <v>770370370.37037039</v>
      </c>
      <c r="F100" t="s">
        <v>535</v>
      </c>
      <c r="H100" s="52">
        <f t="shared" si="0"/>
        <v>953333.33333333326</v>
      </c>
      <c r="I100" s="52">
        <f t="shared" si="1"/>
        <v>770370.37037037034</v>
      </c>
    </row>
    <row r="101" spans="3:9">
      <c r="C101" s="78" t="s">
        <v>230</v>
      </c>
      <c r="D101" s="52">
        <v>327407407.4074074</v>
      </c>
      <c r="E101" s="52"/>
      <c r="F101" t="s">
        <v>535</v>
      </c>
      <c r="H101" s="52">
        <f t="shared" si="0"/>
        <v>327407.40740740742</v>
      </c>
      <c r="I101" s="52">
        <f t="shared" si="1"/>
        <v>0</v>
      </c>
    </row>
    <row r="102" spans="3:9">
      <c r="C102" s="78" t="s">
        <v>227</v>
      </c>
      <c r="D102" s="52">
        <v>377812500</v>
      </c>
      <c r="E102" s="52">
        <v>322968750</v>
      </c>
      <c r="F102" t="s">
        <v>535</v>
      </c>
      <c r="H102" s="52">
        <f t="shared" si="0"/>
        <v>377812.5</v>
      </c>
      <c r="I102" s="52">
        <f t="shared" si="1"/>
        <v>322968.75</v>
      </c>
    </row>
    <row r="103" spans="3:9">
      <c r="C103" s="78" t="s">
        <v>230</v>
      </c>
      <c r="D103" s="52">
        <v>633750000</v>
      </c>
      <c r="E103" s="52">
        <v>560625000</v>
      </c>
      <c r="F103" t="s">
        <v>535</v>
      </c>
      <c r="H103" s="52">
        <f t="shared" si="0"/>
        <v>633750</v>
      </c>
      <c r="I103" s="52">
        <f t="shared" si="1"/>
        <v>560625</v>
      </c>
    </row>
    <row r="104" spans="3:9">
      <c r="C104" s="78" t="s">
        <v>227</v>
      </c>
      <c r="D104" s="52">
        <v>390000000</v>
      </c>
      <c r="E104" s="52">
        <v>329062500</v>
      </c>
      <c r="F104" t="s">
        <v>535</v>
      </c>
      <c r="H104" s="52">
        <f t="shared" si="0"/>
        <v>390000</v>
      </c>
      <c r="I104" s="52">
        <f t="shared" si="1"/>
        <v>329062.5</v>
      </c>
    </row>
    <row r="105" spans="3:9">
      <c r="C105" s="78" t="s">
        <v>230</v>
      </c>
      <c r="D105" s="52">
        <v>627656250</v>
      </c>
      <c r="E105" s="52">
        <v>530156250</v>
      </c>
      <c r="F105" t="s">
        <v>535</v>
      </c>
      <c r="H105" s="52">
        <f t="shared" si="0"/>
        <v>627656.25</v>
      </c>
      <c r="I105" s="52">
        <f t="shared" si="1"/>
        <v>530156.25</v>
      </c>
    </row>
    <row r="106" spans="3:9">
      <c r="C106" s="78" t="s">
        <v>230</v>
      </c>
      <c r="D106" s="52">
        <v>353437500</v>
      </c>
      <c r="E106" s="52">
        <v>255937500</v>
      </c>
      <c r="F106" t="s">
        <v>535</v>
      </c>
      <c r="H106" s="52">
        <f t="shared" si="0"/>
        <v>353437.5</v>
      </c>
      <c r="I106" s="52">
        <f t="shared" si="1"/>
        <v>255937.5</v>
      </c>
    </row>
    <row r="107" spans="3:9">
      <c r="C107" s="78" t="s">
        <v>232</v>
      </c>
      <c r="D107" s="52">
        <v>3440000000</v>
      </c>
      <c r="E107" s="52">
        <v>3200000000</v>
      </c>
      <c r="F107" t="s">
        <v>535</v>
      </c>
      <c r="H107" s="52">
        <f t="shared" si="0"/>
        <v>3440000</v>
      </c>
      <c r="I107" s="52">
        <f t="shared" si="1"/>
        <v>3200000</v>
      </c>
    </row>
    <row r="108" spans="3:9">
      <c r="C108" s="78" t="s">
        <v>232</v>
      </c>
      <c r="D108" s="52">
        <v>1980000000</v>
      </c>
      <c r="E108" s="52">
        <v>1054000000</v>
      </c>
      <c r="F108" t="s">
        <v>535</v>
      </c>
      <c r="H108" s="52">
        <f t="shared" si="0"/>
        <v>1980000</v>
      </c>
      <c r="I108" s="52">
        <f t="shared" si="1"/>
        <v>1054000</v>
      </c>
    </row>
    <row r="109" spans="3:9">
      <c r="C109" s="78" t="s">
        <v>232</v>
      </c>
      <c r="D109" s="52">
        <v>0</v>
      </c>
      <c r="E109" s="52">
        <v>0</v>
      </c>
      <c r="F109" t="s">
        <v>535</v>
      </c>
      <c r="H109" s="52">
        <f t="shared" si="0"/>
        <v>0</v>
      </c>
      <c r="I109" s="52">
        <f t="shared" si="1"/>
        <v>0</v>
      </c>
    </row>
    <row r="110" spans="3:9">
      <c r="C110" s="78" t="s">
        <v>232</v>
      </c>
      <c r="D110" s="52">
        <v>0</v>
      </c>
      <c r="E110" s="52">
        <v>0</v>
      </c>
      <c r="F110" t="s">
        <v>535</v>
      </c>
      <c r="H110" s="52">
        <f t="shared" si="0"/>
        <v>0</v>
      </c>
      <c r="I110" s="52">
        <f t="shared" si="1"/>
        <v>0</v>
      </c>
    </row>
    <row r="111" spans="3:9">
      <c r="C111" s="78" t="s">
        <v>232</v>
      </c>
      <c r="D111" s="52">
        <v>1090000000</v>
      </c>
      <c r="E111" s="52">
        <v>512000000</v>
      </c>
      <c r="F111" t="s">
        <v>535</v>
      </c>
      <c r="H111" s="52">
        <f t="shared" si="0"/>
        <v>1090000</v>
      </c>
      <c r="I111" s="52">
        <f t="shared" si="1"/>
        <v>512000</v>
      </c>
    </row>
    <row r="112" spans="3:9">
      <c r="C112" s="78" t="s">
        <v>232</v>
      </c>
      <c r="D112" s="52">
        <v>1750000000</v>
      </c>
      <c r="E112" s="52">
        <v>916000000</v>
      </c>
      <c r="F112" t="s">
        <v>535</v>
      </c>
      <c r="H112" s="52">
        <f t="shared" si="0"/>
        <v>1750000</v>
      </c>
      <c r="I112" s="52">
        <f t="shared" si="1"/>
        <v>916000</v>
      </c>
    </row>
    <row r="113" spans="3:9">
      <c r="C113" s="78" t="s">
        <v>232</v>
      </c>
      <c r="D113" s="52">
        <v>1220000000</v>
      </c>
      <c r="E113" s="52">
        <v>593000000</v>
      </c>
      <c r="F113" t="s">
        <v>535</v>
      </c>
      <c r="H113" s="52">
        <f t="shared" si="0"/>
        <v>1220000</v>
      </c>
      <c r="I113" s="52">
        <f t="shared" si="1"/>
        <v>593000</v>
      </c>
    </row>
    <row r="114" spans="3:9">
      <c r="C114" s="78" t="s">
        <v>232</v>
      </c>
      <c r="D114" s="52">
        <v>1270000000</v>
      </c>
      <c r="E114" s="52">
        <v>619000000</v>
      </c>
      <c r="F114" t="s">
        <v>535</v>
      </c>
      <c r="H114" s="52">
        <f t="shared" si="0"/>
        <v>1270000</v>
      </c>
      <c r="I114" s="52">
        <f t="shared" si="1"/>
        <v>619000</v>
      </c>
    </row>
    <row r="115" spans="3:9">
      <c r="C115" s="78" t="s">
        <v>232</v>
      </c>
      <c r="D115" s="52">
        <v>1050000000</v>
      </c>
      <c r="E115" s="52">
        <v>486000000</v>
      </c>
      <c r="F115" t="s">
        <v>535</v>
      </c>
      <c r="H115" s="52">
        <f t="shared" ref="H115:H131" si="2">D115/10^3</f>
        <v>1050000</v>
      </c>
      <c r="I115" s="52">
        <f t="shared" ref="I115:I131" si="3">E115/10^3</f>
        <v>486000</v>
      </c>
    </row>
    <row r="116" spans="3:9">
      <c r="C116" s="78" t="s">
        <v>232</v>
      </c>
      <c r="D116" s="52">
        <v>0</v>
      </c>
      <c r="E116" s="52">
        <v>0</v>
      </c>
      <c r="F116" t="s">
        <v>535</v>
      </c>
      <c r="H116" s="52">
        <f t="shared" si="2"/>
        <v>0</v>
      </c>
      <c r="I116" s="52">
        <f t="shared" si="3"/>
        <v>0</v>
      </c>
    </row>
    <row r="117" spans="3:9">
      <c r="C117" s="78" t="s">
        <v>232</v>
      </c>
      <c r="D117" s="52">
        <v>1020000000</v>
      </c>
      <c r="E117" s="52">
        <v>470000000</v>
      </c>
      <c r="F117" t="s">
        <v>535</v>
      </c>
      <c r="H117" s="52">
        <f t="shared" si="2"/>
        <v>1020000</v>
      </c>
      <c r="I117" s="52">
        <f t="shared" si="3"/>
        <v>470000</v>
      </c>
    </row>
    <row r="118" spans="3:9">
      <c r="C118" s="78" t="s">
        <v>232</v>
      </c>
      <c r="D118" s="52">
        <v>1460000000</v>
      </c>
      <c r="E118" s="52">
        <v>737000000</v>
      </c>
      <c r="F118" t="s">
        <v>535</v>
      </c>
      <c r="H118" s="52">
        <f t="shared" si="2"/>
        <v>1460000</v>
      </c>
      <c r="I118" s="52">
        <f t="shared" si="3"/>
        <v>737000</v>
      </c>
    </row>
    <row r="119" spans="3:9">
      <c r="C119" s="78" t="s">
        <v>232</v>
      </c>
      <c r="D119" s="52">
        <v>1580000000</v>
      </c>
      <c r="E119" s="52">
        <v>814000000</v>
      </c>
      <c r="F119" t="s">
        <v>535</v>
      </c>
      <c r="H119" s="52">
        <f t="shared" si="2"/>
        <v>1580000</v>
      </c>
      <c r="I119" s="52">
        <f t="shared" si="3"/>
        <v>814000</v>
      </c>
    </row>
    <row r="120" spans="3:9">
      <c r="C120" s="78" t="s">
        <v>232</v>
      </c>
      <c r="D120" s="52">
        <v>1320000000</v>
      </c>
      <c r="E120" s="52">
        <v>654000000</v>
      </c>
      <c r="F120" t="s">
        <v>535</v>
      </c>
      <c r="H120" s="52">
        <f t="shared" si="2"/>
        <v>1320000</v>
      </c>
      <c r="I120" s="52">
        <f t="shared" si="3"/>
        <v>654000</v>
      </c>
    </row>
    <row r="121" spans="3:9">
      <c r="C121" s="78" t="s">
        <v>232</v>
      </c>
      <c r="D121" s="52">
        <v>872000000</v>
      </c>
      <c r="E121" s="52">
        <v>379000000</v>
      </c>
      <c r="F121" t="s">
        <v>535</v>
      </c>
      <c r="H121" s="52">
        <f t="shared" si="2"/>
        <v>872000</v>
      </c>
      <c r="I121" s="52">
        <f t="shared" si="3"/>
        <v>379000</v>
      </c>
    </row>
    <row r="122" spans="3:9">
      <c r="C122" s="78" t="s">
        <v>232</v>
      </c>
      <c r="D122" s="52">
        <v>1140000000</v>
      </c>
      <c r="E122" s="52">
        <v>542000000</v>
      </c>
      <c r="F122" t="s">
        <v>535</v>
      </c>
      <c r="H122" s="52">
        <f t="shared" si="2"/>
        <v>1140000</v>
      </c>
      <c r="I122" s="52">
        <f t="shared" si="3"/>
        <v>542000</v>
      </c>
    </row>
    <row r="123" spans="3:9">
      <c r="C123" s="78" t="s">
        <v>232</v>
      </c>
      <c r="D123" s="52">
        <v>939000000</v>
      </c>
      <c r="E123" s="52">
        <v>420000000</v>
      </c>
      <c r="F123" t="s">
        <v>535</v>
      </c>
      <c r="H123" s="52">
        <f t="shared" si="2"/>
        <v>939000</v>
      </c>
      <c r="I123" s="52">
        <f t="shared" si="3"/>
        <v>420000</v>
      </c>
    </row>
    <row r="124" spans="3:9">
      <c r="C124" s="78" t="s">
        <v>232</v>
      </c>
      <c r="D124" s="52">
        <v>1070000000</v>
      </c>
      <c r="E124" s="52">
        <v>501000000</v>
      </c>
      <c r="F124" t="s">
        <v>535</v>
      </c>
      <c r="H124" s="52">
        <f t="shared" si="2"/>
        <v>1070000</v>
      </c>
      <c r="I124" s="52">
        <f t="shared" si="3"/>
        <v>501000</v>
      </c>
    </row>
    <row r="125" spans="3:9">
      <c r="C125" s="78" t="s">
        <v>232</v>
      </c>
      <c r="D125" s="52">
        <v>587000000</v>
      </c>
      <c r="E125" s="52">
        <v>205100000</v>
      </c>
      <c r="F125" t="s">
        <v>535</v>
      </c>
      <c r="H125" s="52">
        <f t="shared" si="2"/>
        <v>587000</v>
      </c>
      <c r="I125" s="52">
        <f t="shared" si="3"/>
        <v>205100</v>
      </c>
    </row>
    <row r="126" spans="3:9">
      <c r="C126" s="78" t="s">
        <v>232</v>
      </c>
      <c r="D126" s="52">
        <v>0</v>
      </c>
      <c r="E126" s="52">
        <v>0</v>
      </c>
      <c r="F126" t="s">
        <v>535</v>
      </c>
      <c r="H126" s="52">
        <f t="shared" si="2"/>
        <v>0</v>
      </c>
      <c r="I126" s="52">
        <f t="shared" si="3"/>
        <v>0</v>
      </c>
    </row>
    <row r="127" spans="3:9">
      <c r="C127" s="78" t="s">
        <v>232</v>
      </c>
      <c r="D127" s="52">
        <v>620000000</v>
      </c>
      <c r="E127" s="52">
        <v>224700000</v>
      </c>
      <c r="F127" t="s">
        <v>535</v>
      </c>
      <c r="H127" s="52">
        <f t="shared" si="2"/>
        <v>620000</v>
      </c>
      <c r="I127" s="52">
        <f t="shared" si="3"/>
        <v>224700</v>
      </c>
    </row>
    <row r="128" spans="3:9">
      <c r="C128" s="78" t="s">
        <v>232</v>
      </c>
      <c r="D128" s="52">
        <v>545000000</v>
      </c>
      <c r="E128" s="52">
        <v>178600000</v>
      </c>
      <c r="F128" t="s">
        <v>535</v>
      </c>
      <c r="H128" s="52">
        <f t="shared" si="2"/>
        <v>545000</v>
      </c>
      <c r="I128" s="52">
        <f t="shared" si="3"/>
        <v>178600</v>
      </c>
    </row>
    <row r="129" spans="3:9">
      <c r="C129" s="78" t="s">
        <v>232</v>
      </c>
      <c r="D129" s="52">
        <v>436000000</v>
      </c>
      <c r="E129" s="52">
        <v>112500000</v>
      </c>
      <c r="F129" t="s">
        <v>535</v>
      </c>
      <c r="H129" s="52">
        <f t="shared" si="2"/>
        <v>436000</v>
      </c>
      <c r="I129" s="52">
        <f t="shared" si="3"/>
        <v>112500</v>
      </c>
    </row>
    <row r="130" spans="3:9">
      <c r="C130" s="78" t="s">
        <v>232</v>
      </c>
      <c r="D130" s="52">
        <v>159000000</v>
      </c>
      <c r="E130" s="52">
        <v>56210000</v>
      </c>
      <c r="F130" t="s">
        <v>535</v>
      </c>
      <c r="H130" s="52">
        <f t="shared" si="2"/>
        <v>159000</v>
      </c>
      <c r="I130" s="52">
        <f t="shared" si="3"/>
        <v>56210</v>
      </c>
    </row>
    <row r="131" spans="3:9">
      <c r="C131" s="78" t="s">
        <v>232</v>
      </c>
      <c r="D131" s="52">
        <v>176000000</v>
      </c>
      <c r="E131" s="52">
        <v>56210000</v>
      </c>
      <c r="F131" t="s">
        <v>535</v>
      </c>
      <c r="H131" s="52">
        <f t="shared" si="2"/>
        <v>176000</v>
      </c>
      <c r="I131" s="52">
        <f t="shared" si="3"/>
        <v>56210</v>
      </c>
    </row>
  </sheetData>
  <sortState ref="C50:E131">
    <sortCondition ref="C50:C131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6" sqref="D6"/>
    </sheetView>
  </sheetViews>
  <sheetFormatPr baseColWidth="10" defaultRowHeight="13" x14ac:dyDescent="0"/>
  <sheetData>
    <row r="1" spans="1:11">
      <c r="A1" t="s">
        <v>437</v>
      </c>
    </row>
    <row r="2" spans="1:11">
      <c r="A2" t="s">
        <v>438</v>
      </c>
    </row>
    <row r="3" spans="1:11">
      <c r="A3" t="s">
        <v>440</v>
      </c>
    </row>
    <row r="4" spans="1:11">
      <c r="A4" t="s">
        <v>439</v>
      </c>
    </row>
    <row r="5" spans="1:11" s="55" customFormat="1" ht="39">
      <c r="B5" s="55" t="s">
        <v>238</v>
      </c>
      <c r="C5" s="55" t="s">
        <v>520</v>
      </c>
      <c r="D5" s="55" t="s">
        <v>239</v>
      </c>
      <c r="E5" s="55" t="s">
        <v>243</v>
      </c>
      <c r="F5" s="55" t="s">
        <v>350</v>
      </c>
      <c r="G5" s="55" t="s">
        <v>237</v>
      </c>
      <c r="H5" s="55" t="s">
        <v>241</v>
      </c>
      <c r="I5" s="55" t="s">
        <v>240</v>
      </c>
      <c r="J5" s="55" t="s">
        <v>242</v>
      </c>
      <c r="K5" s="55" t="s">
        <v>244</v>
      </c>
    </row>
    <row r="6" spans="1:11">
      <c r="A6" t="s">
        <v>441</v>
      </c>
      <c r="B6">
        <v>70.1203633272182</v>
      </c>
      <c r="C6">
        <v>0</v>
      </c>
      <c r="D6">
        <v>9.6702313302608598</v>
      </c>
      <c r="E6">
        <f>(B6+D6)/100</f>
        <v>0.79790594657479064</v>
      </c>
      <c r="F6">
        <f>D6/(B6+D6)</f>
        <v>0.12119512796931428</v>
      </c>
      <c r="G6">
        <v>82.540395212024904</v>
      </c>
      <c r="H6">
        <v>0</v>
      </c>
      <c r="I6">
        <v>12.3371103559037</v>
      </c>
      <c r="J6">
        <f>(G6+H6+I6)/100</f>
        <v>0.94877505567928611</v>
      </c>
      <c r="K6">
        <f>(H6+I6)/(G6+H6+I6)</f>
        <v>0.13003198473710725</v>
      </c>
    </row>
    <row r="7" spans="1:11">
      <c r="A7" t="s">
        <v>441</v>
      </c>
      <c r="B7">
        <v>77.939057675958594</v>
      </c>
      <c r="C7">
        <v>20.0357957850463</v>
      </c>
      <c r="D7">
        <v>11.790236699628601</v>
      </c>
      <c r="E7">
        <f t="shared" ref="E7:E10" si="0">(B7+D7)/100</f>
        <v>0.89729294375587187</v>
      </c>
      <c r="F7">
        <f t="shared" ref="F7:F10" si="1">D7/(B7+D7)</f>
        <v>0.13139785375194471</v>
      </c>
      <c r="G7">
        <v>88.523056992519898</v>
      </c>
      <c r="H7">
        <v>0.32564619029449898</v>
      </c>
      <c r="I7">
        <v>0.151731603652205</v>
      </c>
      <c r="J7">
        <f t="shared" ref="J7:J10" si="2">(G7+H7+I7)/100</f>
        <v>0.89000434786466598</v>
      </c>
      <c r="K7">
        <f t="shared" ref="K7:K10" si="3">(H7+I7)/(G7+H7+I7)</f>
        <v>5.3637692342969768E-3</v>
      </c>
    </row>
    <row r="8" spans="1:11">
      <c r="A8" t="s">
        <v>441</v>
      </c>
      <c r="B8">
        <v>57.432547317553301</v>
      </c>
      <c r="C8">
        <v>40.083672647545697</v>
      </c>
      <c r="D8">
        <v>17.8817844198845</v>
      </c>
      <c r="E8">
        <f t="shared" si="0"/>
        <v>0.75314331737437801</v>
      </c>
      <c r="F8">
        <f t="shared" si="1"/>
        <v>0.23742870722433421</v>
      </c>
      <c r="G8">
        <v>62.793636145839798</v>
      </c>
      <c r="H8">
        <v>5.4216985066415804</v>
      </c>
      <c r="I8">
        <v>3.2836138741248702</v>
      </c>
      <c r="J8">
        <f t="shared" si="2"/>
        <v>0.71498948526606243</v>
      </c>
      <c r="K8">
        <f t="shared" si="3"/>
        <v>0.12175441122084506</v>
      </c>
    </row>
    <row r="9" spans="1:11">
      <c r="A9" t="s">
        <v>441</v>
      </c>
      <c r="B9">
        <v>61.888227661192801</v>
      </c>
      <c r="C9">
        <v>99.962861873014404</v>
      </c>
      <c r="D9">
        <v>21.299386997180999</v>
      </c>
      <c r="E9">
        <f t="shared" si="0"/>
        <v>0.83187614658373799</v>
      </c>
      <c r="F9">
        <f t="shared" si="1"/>
        <v>0.25604036231416294</v>
      </c>
      <c r="G9">
        <v>64.542010133186594</v>
      </c>
      <c r="H9">
        <v>8.05952137995898</v>
      </c>
      <c r="I9">
        <v>0.93257260490330296</v>
      </c>
      <c r="J9">
        <f t="shared" si="2"/>
        <v>0.73534104118048871</v>
      </c>
      <c r="K9">
        <f t="shared" si="3"/>
        <v>0.12228467447467253</v>
      </c>
    </row>
    <row r="10" spans="1:11">
      <c r="A10" t="s">
        <v>441</v>
      </c>
      <c r="B10">
        <v>39.667994093695398</v>
      </c>
      <c r="C10">
        <v>200.82643518725601</v>
      </c>
      <c r="D10">
        <v>37.767237907736302</v>
      </c>
      <c r="E10">
        <f t="shared" si="0"/>
        <v>0.77435232001431697</v>
      </c>
      <c r="F10">
        <f t="shared" si="1"/>
        <v>0.48772679995377327</v>
      </c>
      <c r="G10">
        <v>67.389950221386101</v>
      </c>
      <c r="H10">
        <v>32.6446552320783</v>
      </c>
      <c r="I10">
        <v>-0.31606314164278598</v>
      </c>
      <c r="J10">
        <f t="shared" si="2"/>
        <v>0.99718542311821612</v>
      </c>
      <c r="K10">
        <f t="shared" si="3"/>
        <v>0.32419840223238972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opLeftCell="A2" workbookViewId="0">
      <selection activeCell="D21" sqref="D21"/>
    </sheetView>
  </sheetViews>
  <sheetFormatPr baseColWidth="10" defaultRowHeight="13" x14ac:dyDescent="0"/>
  <sheetData>
    <row r="2" spans="1:7">
      <c r="A2" t="s">
        <v>399</v>
      </c>
    </row>
    <row r="3" spans="1:7">
      <c r="A3" t="s">
        <v>401</v>
      </c>
    </row>
    <row r="4" spans="1:7" s="55" customFormat="1" ht="26">
      <c r="A4" s="55" t="s">
        <v>520</v>
      </c>
      <c r="B4" s="55" t="s">
        <v>383</v>
      </c>
      <c r="C4" s="55" t="s">
        <v>398</v>
      </c>
      <c r="D4" s="55" t="s">
        <v>400</v>
      </c>
      <c r="E4" s="55" t="s">
        <v>393</v>
      </c>
      <c r="F4" s="55" t="s">
        <v>402</v>
      </c>
      <c r="G4" s="55" t="s">
        <v>403</v>
      </c>
    </row>
    <row r="5" spans="1:7">
      <c r="A5">
        <v>25</v>
      </c>
      <c r="B5">
        <v>74.357682619647306</v>
      </c>
      <c r="C5">
        <v>9.1111838632734408</v>
      </c>
      <c r="D5">
        <v>100.681406356577</v>
      </c>
      <c r="E5" s="52">
        <f>D5*10^4</f>
        <v>1006814.06356577</v>
      </c>
      <c r="F5" s="52">
        <f>(B5/100)*$E5</f>
        <v>748643.60595620936</v>
      </c>
      <c r="G5" s="52">
        <f>(C5/100)*$E5</f>
        <v>91732.680492772037</v>
      </c>
    </row>
    <row r="6" spans="1:7">
      <c r="A6">
        <v>100</v>
      </c>
      <c r="B6">
        <v>61.662468513853803</v>
      </c>
      <c r="C6">
        <v>15.984258807651401</v>
      </c>
      <c r="D6">
        <v>70.523697645737499</v>
      </c>
      <c r="E6" s="52">
        <f t="shared" ref="E6:E11" si="0">D6*10^4</f>
        <v>705236.97645737499</v>
      </c>
      <c r="F6" s="52">
        <f t="shared" ref="F6:F11" si="1">(B6/100)*$E6</f>
        <v>434866.52855608345</v>
      </c>
      <c r="G6" s="52">
        <f t="shared" ref="G6:G11" si="2">(C6/100)*$E6</f>
        <v>112726.9035242024</v>
      </c>
    </row>
    <row r="7" spans="1:7">
      <c r="A7">
        <v>500</v>
      </c>
      <c r="B7">
        <v>51.914357682619602</v>
      </c>
      <c r="C7">
        <v>27.165783618737098</v>
      </c>
      <c r="D7">
        <v>10.2463122067506</v>
      </c>
      <c r="E7" s="52">
        <f t="shared" si="0"/>
        <v>102463.122067506</v>
      </c>
      <c r="F7" s="52">
        <f t="shared" si="1"/>
        <v>53193.071682904207</v>
      </c>
      <c r="G7" s="52">
        <f t="shared" si="2"/>
        <v>27834.910029861145</v>
      </c>
    </row>
    <row r="8" spans="1:7">
      <c r="A8">
        <v>1000</v>
      </c>
      <c r="B8">
        <v>47.833753148614598</v>
      </c>
      <c r="C8">
        <v>29.970334934623299</v>
      </c>
      <c r="D8">
        <v>6.9325690190917397</v>
      </c>
      <c r="E8" s="52">
        <f t="shared" si="0"/>
        <v>69325.69019091739</v>
      </c>
      <c r="F8" s="52">
        <f t="shared" si="1"/>
        <v>33161.079514496749</v>
      </c>
      <c r="G8" s="52">
        <f t="shared" si="2"/>
        <v>20777.141545957231</v>
      </c>
    </row>
    <row r="9" spans="1:7">
      <c r="A9">
        <v>1800</v>
      </c>
      <c r="B9">
        <v>41.259445843828701</v>
      </c>
      <c r="C9">
        <v>31.858476257925702</v>
      </c>
      <c r="D9">
        <v>6.3786249233503201</v>
      </c>
      <c r="E9" s="52">
        <f t="shared" si="0"/>
        <v>63786.2492335032</v>
      </c>
      <c r="F9" s="52">
        <f t="shared" si="1"/>
        <v>26317.852958306852</v>
      </c>
      <c r="G9" s="52">
        <f t="shared" si="2"/>
        <v>20321.32706787693</v>
      </c>
    </row>
    <row r="10" spans="1:7">
      <c r="A10">
        <v>2000</v>
      </c>
      <c r="B10">
        <v>37.632241813601901</v>
      </c>
      <c r="C10">
        <v>37.372570504640102</v>
      </c>
      <c r="D10">
        <v>5.7320812175745202</v>
      </c>
      <c r="E10" s="52">
        <f t="shared" si="0"/>
        <v>57320.812175745203</v>
      </c>
      <c r="F10" s="52">
        <f t="shared" si="1"/>
        <v>21571.106647496996</v>
      </c>
      <c r="G10" s="52">
        <f t="shared" si="2"/>
        <v>21422.260944212703</v>
      </c>
    </row>
    <row r="11" spans="1:7">
      <c r="A11">
        <v>2200</v>
      </c>
      <c r="B11">
        <v>36.045340050377703</v>
      </c>
      <c r="C11">
        <v>37.899325854707897</v>
      </c>
      <c r="D11">
        <v>3.72878786834863</v>
      </c>
      <c r="E11" s="52">
        <f t="shared" si="0"/>
        <v>37287.878683486299</v>
      </c>
      <c r="F11" s="52">
        <f t="shared" si="1"/>
        <v>13440.542669034938</v>
      </c>
      <c r="G11" s="52">
        <f t="shared" si="2"/>
        <v>14131.854646562639</v>
      </c>
    </row>
    <row r="12" spans="1:7">
      <c r="E12" s="52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64"/>
  <sheetViews>
    <sheetView workbookViewId="0">
      <pane xSplit="2" ySplit="6" topLeftCell="C14" activePane="bottomRight" state="frozenSplit"/>
      <selection pane="topRight" activeCell="C1" sqref="C1"/>
      <selection pane="bottomLeft" activeCell="A7" sqref="A7"/>
      <selection pane="bottomRight" activeCell="D46" sqref="D46"/>
    </sheetView>
  </sheetViews>
  <sheetFormatPr baseColWidth="10" defaultRowHeight="13" x14ac:dyDescent="0.75"/>
  <cols>
    <col min="3" max="3" width="6.28515625" customWidth="1"/>
    <col min="5" max="5" width="6.140625" customWidth="1"/>
    <col min="7" max="7" width="6" customWidth="1"/>
    <col min="9" max="9" width="8.7109375" customWidth="1"/>
    <col min="11" max="11" width="6.85546875" customWidth="1"/>
    <col min="13" max="13" width="2.7109375" style="20" customWidth="1"/>
    <col min="14" max="14" width="5.5703125" customWidth="1"/>
    <col min="15" max="15" width="8" customWidth="1"/>
    <col min="16" max="16" width="6.85546875" customWidth="1"/>
    <col min="20" max="20" width="7" customWidth="1"/>
  </cols>
  <sheetData>
    <row r="1" spans="1:29">
      <c r="A1" t="s">
        <v>737</v>
      </c>
      <c r="G1" t="s">
        <v>737</v>
      </c>
    </row>
    <row r="2" spans="1:29">
      <c r="A2" t="s">
        <v>652</v>
      </c>
      <c r="G2" t="s">
        <v>691</v>
      </c>
    </row>
    <row r="3" spans="1:29">
      <c r="A3" t="s">
        <v>219</v>
      </c>
      <c r="P3" t="s">
        <v>861</v>
      </c>
    </row>
    <row r="4" spans="1:29">
      <c r="G4" s="25" t="s">
        <v>692</v>
      </c>
      <c r="H4" s="25"/>
      <c r="I4" s="25"/>
      <c r="J4" s="25"/>
      <c r="K4" s="25"/>
      <c r="N4" s="25" t="s">
        <v>698</v>
      </c>
      <c r="O4" s="25"/>
      <c r="P4" s="25"/>
      <c r="Q4" s="25"/>
      <c r="R4" s="25"/>
      <c r="T4" s="25" t="s">
        <v>860</v>
      </c>
      <c r="U4" s="25"/>
      <c r="V4" s="25"/>
      <c r="W4" s="25"/>
      <c r="X4" s="25"/>
    </row>
    <row r="5" spans="1:29">
      <c r="C5" t="s">
        <v>739</v>
      </c>
      <c r="E5" t="s">
        <v>740</v>
      </c>
      <c r="G5" s="25"/>
      <c r="H5" s="25"/>
      <c r="I5" s="25" t="s">
        <v>693</v>
      </c>
      <c r="J5" s="25"/>
      <c r="K5" s="25" t="s">
        <v>694</v>
      </c>
      <c r="N5" s="25"/>
      <c r="O5" s="25"/>
      <c r="P5" s="25" t="s">
        <v>693</v>
      </c>
      <c r="Q5" s="25"/>
      <c r="R5" s="25" t="s">
        <v>694</v>
      </c>
      <c r="T5" s="25"/>
      <c r="U5" s="25"/>
      <c r="V5" s="25" t="s">
        <v>693</v>
      </c>
      <c r="W5" s="25"/>
      <c r="X5" s="25" t="s">
        <v>694</v>
      </c>
      <c r="AB5" t="s">
        <v>435</v>
      </c>
    </row>
    <row r="6" spans="1:29" s="55" customFormat="1" ht="39">
      <c r="A6" t="s">
        <v>738</v>
      </c>
      <c r="B6" s="4" t="s">
        <v>890</v>
      </c>
      <c r="C6" t="s">
        <v>675</v>
      </c>
      <c r="D6" s="4" t="s">
        <v>907</v>
      </c>
      <c r="E6" t="s">
        <v>676</v>
      </c>
      <c r="F6" s="4" t="s">
        <v>907</v>
      </c>
      <c r="G6" s="71" t="s">
        <v>695</v>
      </c>
      <c r="H6" s="72" t="s">
        <v>899</v>
      </c>
      <c r="I6" s="71" t="s">
        <v>696</v>
      </c>
      <c r="J6" s="73" t="s">
        <v>374</v>
      </c>
      <c r="K6" s="71" t="s">
        <v>697</v>
      </c>
      <c r="L6" s="73" t="s">
        <v>375</v>
      </c>
      <c r="M6" s="74"/>
      <c r="N6" s="71" t="s">
        <v>695</v>
      </c>
      <c r="O6" s="71" t="s">
        <v>433</v>
      </c>
      <c r="P6" s="71" t="s">
        <v>696</v>
      </c>
      <c r="Q6" s="71" t="s">
        <v>485</v>
      </c>
      <c r="R6" s="71" t="s">
        <v>697</v>
      </c>
      <c r="S6" s="71" t="s">
        <v>486</v>
      </c>
      <c r="T6" s="71" t="s">
        <v>695</v>
      </c>
      <c r="U6" s="73" t="s">
        <v>520</v>
      </c>
      <c r="V6" s="71" t="s">
        <v>696</v>
      </c>
      <c r="W6" s="71"/>
      <c r="X6" s="71" t="s">
        <v>697</v>
      </c>
      <c r="Z6" s="73" t="s">
        <v>378</v>
      </c>
      <c r="AA6" s="73" t="s">
        <v>218</v>
      </c>
      <c r="AB6" s="55" t="s">
        <v>434</v>
      </c>
    </row>
    <row r="7" spans="1:29">
      <c r="A7">
        <v>0.75</v>
      </c>
      <c r="B7" s="4">
        <f>0.514*EXP(0.8743*A7)</f>
        <v>0.99024091841248985</v>
      </c>
      <c r="C7">
        <v>5</v>
      </c>
      <c r="D7" s="4">
        <f>10285*EXP(0.5616*C7)</f>
        <v>170491.68430081499</v>
      </c>
      <c r="F7" s="4">
        <f>9.9445*EXP(0.4383*A8)</f>
        <v>13.814857376690222</v>
      </c>
      <c r="G7">
        <v>1</v>
      </c>
      <c r="H7" s="4">
        <f>0.4787*EXP(0.7412*G7)</f>
        <v>1.0045290426679607</v>
      </c>
      <c r="I7">
        <v>1.65</v>
      </c>
      <c r="J7" s="4">
        <f>11.006*EXP(1.8713*I7)</f>
        <v>241.31076366944831</v>
      </c>
      <c r="L7" s="4"/>
      <c r="N7">
        <v>1</v>
      </c>
      <c r="O7" s="4">
        <f>0.4632*EXP(0.7513*N7)</f>
        <v>0.98187000938644653</v>
      </c>
      <c r="P7">
        <v>1.05</v>
      </c>
      <c r="Q7" s="4">
        <f>11.006*EXP(1.8713*P7)</f>
        <v>78.516247558351921</v>
      </c>
      <c r="S7" s="4"/>
      <c r="T7">
        <v>1</v>
      </c>
      <c r="U7" s="4">
        <f>0.4867*EXP(0.6934*T7)</f>
        <v>0.97364612555430063</v>
      </c>
      <c r="V7">
        <v>3.15</v>
      </c>
      <c r="W7" s="4">
        <f>1085.6*EXP(1.228*V7)</f>
        <v>51952.655335910371</v>
      </c>
      <c r="X7">
        <v>4.3</v>
      </c>
      <c r="Y7" s="4">
        <f>1085.6*EXP(1.228*X7)</f>
        <v>213264.42539318997</v>
      </c>
      <c r="Z7">
        <f>J7+Q7</f>
        <v>319.8270112278002</v>
      </c>
      <c r="AB7" t="s">
        <v>436</v>
      </c>
      <c r="AC7" t="s">
        <v>432</v>
      </c>
    </row>
    <row r="8" spans="1:29">
      <c r="A8">
        <v>0.75</v>
      </c>
      <c r="B8" s="4">
        <f t="shared" ref="B8:B59" si="0">0.514*EXP(0.8743*A8)</f>
        <v>0.99024091841248985</v>
      </c>
      <c r="C8">
        <v>5.15</v>
      </c>
      <c r="D8" s="4">
        <f t="shared" ref="D8:D59" si="1">10285*EXP(0.5616*C8)</f>
        <v>185476.19094423874</v>
      </c>
      <c r="F8" s="4"/>
      <c r="G8">
        <v>1</v>
      </c>
      <c r="H8" s="4">
        <f t="shared" ref="H8:H14" si="2">0.4787*EXP(0.7412*G8)</f>
        <v>1.0045290426679607</v>
      </c>
      <c r="I8">
        <v>2.1</v>
      </c>
      <c r="J8" s="4">
        <f t="shared" ref="J8:J14" si="3">11.006*EXP(1.8713*I8)</f>
        <v>560.13094045469779</v>
      </c>
      <c r="L8" s="4"/>
      <c r="N8">
        <v>1</v>
      </c>
      <c r="O8" s="4">
        <f t="shared" ref="O8:O15" si="4">0.4632*EXP(0.7513*N8)</f>
        <v>0.98187000938644653</v>
      </c>
      <c r="P8">
        <v>2</v>
      </c>
      <c r="Q8" s="4">
        <f t="shared" ref="Q8:Q15" si="5">11.006*EXP(1.8713*P8)</f>
        <v>464.53670641847503</v>
      </c>
      <c r="S8" s="4"/>
      <c r="T8">
        <v>1</v>
      </c>
      <c r="U8" s="4">
        <f t="shared" ref="U8:U13" si="6">0.4867*EXP(0.6934*T8)</f>
        <v>0.97364612555430063</v>
      </c>
      <c r="V8">
        <v>4</v>
      </c>
      <c r="W8" s="4">
        <f t="shared" ref="W8:W13" si="7">1085.6*EXP(1.228*V8)</f>
        <v>147544.94327512174</v>
      </c>
      <c r="Y8" s="4"/>
      <c r="Z8">
        <f t="shared" ref="Z8:Z62" si="8">J8+Q8</f>
        <v>1024.6676468731728</v>
      </c>
      <c r="AB8">
        <v>1</v>
      </c>
      <c r="AC8">
        <v>1</v>
      </c>
    </row>
    <row r="9" spans="1:29">
      <c r="A9">
        <v>0.75</v>
      </c>
      <c r="B9" s="4">
        <f t="shared" si="0"/>
        <v>0.99024091841248985</v>
      </c>
      <c r="C9">
        <v>5.8</v>
      </c>
      <c r="D9" s="4">
        <f t="shared" si="1"/>
        <v>267191.73868913174</v>
      </c>
      <c r="F9" s="4"/>
      <c r="G9">
        <v>1</v>
      </c>
      <c r="H9" s="4">
        <f t="shared" si="2"/>
        <v>1.0045290426679607</v>
      </c>
      <c r="I9">
        <v>2.2999999999999998</v>
      </c>
      <c r="J9" s="4">
        <f t="shared" si="3"/>
        <v>814.38284308668597</v>
      </c>
      <c r="L9" s="4"/>
      <c r="N9">
        <v>1</v>
      </c>
      <c r="O9" s="4">
        <f t="shared" si="4"/>
        <v>0.98187000938644653</v>
      </c>
      <c r="P9">
        <v>2.4</v>
      </c>
      <c r="Q9" s="4">
        <f t="shared" si="5"/>
        <v>981.96982388165907</v>
      </c>
      <c r="S9" s="4"/>
      <c r="T9">
        <v>1</v>
      </c>
      <c r="U9" s="4">
        <f t="shared" si="6"/>
        <v>0.97364612555430063</v>
      </c>
      <c r="V9">
        <v>4.5</v>
      </c>
      <c r="W9" s="4">
        <f t="shared" si="7"/>
        <v>272634.70699049352</v>
      </c>
      <c r="Y9" s="4"/>
      <c r="Z9">
        <f t="shared" si="8"/>
        <v>1796.3526669683451</v>
      </c>
      <c r="AB9">
        <v>4.4000000000000004</v>
      </c>
      <c r="AC9">
        <v>10</v>
      </c>
    </row>
    <row r="10" spans="1:29">
      <c r="A10">
        <v>0.75</v>
      </c>
      <c r="B10" s="4">
        <f t="shared" si="0"/>
        <v>0.99024091841248985</v>
      </c>
      <c r="C10">
        <v>5.95</v>
      </c>
      <c r="D10" s="4">
        <f t="shared" si="1"/>
        <v>290675.20886466856</v>
      </c>
      <c r="F10" s="4"/>
      <c r="G10">
        <v>1</v>
      </c>
      <c r="H10" s="4">
        <f t="shared" si="2"/>
        <v>1.0045290426679607</v>
      </c>
      <c r="I10">
        <v>2.5</v>
      </c>
      <c r="J10" s="4">
        <f t="shared" si="3"/>
        <v>1184.0435284213588</v>
      </c>
      <c r="L10" s="4"/>
      <c r="N10">
        <v>1</v>
      </c>
      <c r="O10" s="4">
        <f t="shared" si="4"/>
        <v>0.98187000938644653</v>
      </c>
      <c r="P10">
        <v>2.65</v>
      </c>
      <c r="Q10" s="4">
        <f t="shared" si="5"/>
        <v>1567.73248709875</v>
      </c>
      <c r="S10" s="4"/>
      <c r="T10">
        <v>1</v>
      </c>
      <c r="U10" s="4">
        <f t="shared" si="6"/>
        <v>0.97364612555430063</v>
      </c>
      <c r="V10">
        <v>4.7</v>
      </c>
      <c r="W10" s="4">
        <f t="shared" si="7"/>
        <v>348532.96942869195</v>
      </c>
      <c r="Y10" s="4"/>
      <c r="Z10">
        <f t="shared" si="8"/>
        <v>2751.7760155201086</v>
      </c>
      <c r="AB10">
        <v>7.7</v>
      </c>
      <c r="AC10">
        <v>100</v>
      </c>
    </row>
    <row r="11" spans="1:29">
      <c r="A11">
        <v>0.75</v>
      </c>
      <c r="B11" s="4">
        <f t="shared" si="0"/>
        <v>0.99024091841248985</v>
      </c>
      <c r="C11">
        <v>6.25</v>
      </c>
      <c r="D11" s="4">
        <f t="shared" si="1"/>
        <v>344015.43415787339</v>
      </c>
      <c r="F11" s="4"/>
      <c r="G11">
        <v>1</v>
      </c>
      <c r="H11" s="4">
        <f t="shared" si="2"/>
        <v>1.0045290426679607</v>
      </c>
      <c r="I11">
        <v>2.8</v>
      </c>
      <c r="J11" s="4">
        <f t="shared" si="3"/>
        <v>2075.7557404850695</v>
      </c>
      <c r="L11" s="4"/>
      <c r="N11">
        <v>1</v>
      </c>
      <c r="O11" s="4">
        <f t="shared" si="4"/>
        <v>0.98187000938644653</v>
      </c>
      <c r="P11">
        <v>3.1</v>
      </c>
      <c r="Q11" s="4">
        <f t="shared" si="5"/>
        <v>3639.0232206255423</v>
      </c>
      <c r="S11" s="4"/>
      <c r="T11">
        <v>1</v>
      </c>
      <c r="U11" s="4">
        <f t="shared" si="6"/>
        <v>0.97364612555430063</v>
      </c>
      <c r="V11">
        <v>5</v>
      </c>
      <c r="W11" s="4">
        <f t="shared" si="7"/>
        <v>503776.55652483011</v>
      </c>
      <c r="Y11" s="4"/>
      <c r="Z11">
        <f t="shared" si="8"/>
        <v>5714.7789611106118</v>
      </c>
      <c r="AB11">
        <v>11</v>
      </c>
      <c r="AC11">
        <v>1000</v>
      </c>
    </row>
    <row r="12" spans="1:29">
      <c r="A12">
        <v>0.75</v>
      </c>
      <c r="B12" s="4">
        <f t="shared" si="0"/>
        <v>0.99024091841248985</v>
      </c>
      <c r="C12">
        <v>6.45</v>
      </c>
      <c r="D12" s="4">
        <f t="shared" si="1"/>
        <v>384908.83848905616</v>
      </c>
      <c r="F12" s="4"/>
      <c r="G12">
        <v>1</v>
      </c>
      <c r="H12" s="4">
        <f t="shared" si="2"/>
        <v>1.0045290426679607</v>
      </c>
      <c r="I12">
        <v>3.1</v>
      </c>
      <c r="J12" s="4">
        <f t="shared" si="3"/>
        <v>3639.0232206255423</v>
      </c>
      <c r="L12" s="4"/>
      <c r="N12">
        <v>1</v>
      </c>
      <c r="O12" s="4">
        <f t="shared" si="4"/>
        <v>0.98187000938644653</v>
      </c>
      <c r="P12">
        <v>3.2</v>
      </c>
      <c r="Q12" s="4">
        <f t="shared" si="5"/>
        <v>4387.8760725298916</v>
      </c>
      <c r="S12" s="4"/>
      <c r="T12">
        <v>1</v>
      </c>
      <c r="U12" s="4">
        <f t="shared" si="6"/>
        <v>0.97364612555430063</v>
      </c>
      <c r="V12">
        <v>5.2</v>
      </c>
      <c r="W12" s="4">
        <f t="shared" si="7"/>
        <v>644021.9629861092</v>
      </c>
      <c r="Y12" s="4"/>
      <c r="Z12">
        <f t="shared" si="8"/>
        <v>8026.899293155434</v>
      </c>
      <c r="AB12">
        <v>13.3</v>
      </c>
      <c r="AC12">
        <v>5000</v>
      </c>
    </row>
    <row r="13" spans="1:29">
      <c r="A13">
        <v>0.75</v>
      </c>
      <c r="B13" s="4">
        <f t="shared" si="0"/>
        <v>0.99024091841248985</v>
      </c>
      <c r="C13">
        <v>6.65</v>
      </c>
      <c r="D13" s="4">
        <f t="shared" si="1"/>
        <v>430663.27622674056</v>
      </c>
      <c r="F13" s="4"/>
      <c r="G13">
        <v>1</v>
      </c>
      <c r="H13" s="4">
        <f t="shared" si="2"/>
        <v>1.0045290426679607</v>
      </c>
      <c r="I13">
        <v>3.75</v>
      </c>
      <c r="J13" s="4">
        <f t="shared" si="3"/>
        <v>12281.085316737177</v>
      </c>
      <c r="L13" s="4"/>
      <c r="N13">
        <v>1</v>
      </c>
      <c r="O13" s="4">
        <f t="shared" si="4"/>
        <v>0.98187000938644653</v>
      </c>
      <c r="P13">
        <v>3.4</v>
      </c>
      <c r="Q13" s="4">
        <f t="shared" si="5"/>
        <v>6379.5993632455675</v>
      </c>
      <c r="S13" s="4"/>
      <c r="T13">
        <v>1</v>
      </c>
      <c r="U13" s="4">
        <f t="shared" si="6"/>
        <v>0.97364612555430063</v>
      </c>
      <c r="V13">
        <v>5.5</v>
      </c>
      <c r="W13" s="4">
        <f t="shared" si="7"/>
        <v>930882.28459799441</v>
      </c>
      <c r="Y13" s="4"/>
      <c r="Z13">
        <f t="shared" si="8"/>
        <v>18660.684679982744</v>
      </c>
    </row>
    <row r="14" spans="1:29">
      <c r="A14">
        <v>0.75</v>
      </c>
      <c r="B14" s="4">
        <f t="shared" si="0"/>
        <v>0.99024091841248985</v>
      </c>
      <c r="C14">
        <v>6.8</v>
      </c>
      <c r="D14" s="4">
        <f t="shared" si="1"/>
        <v>468514.25265508058</v>
      </c>
      <c r="F14" s="4"/>
      <c r="G14">
        <v>1</v>
      </c>
      <c r="H14" s="4">
        <f t="shared" si="2"/>
        <v>1.0045290426679607</v>
      </c>
      <c r="I14">
        <v>4</v>
      </c>
      <c r="J14" s="4">
        <f t="shared" si="3"/>
        <v>19606.973615312054</v>
      </c>
      <c r="L14" s="4"/>
      <c r="N14">
        <v>1</v>
      </c>
      <c r="O14" s="4">
        <f t="shared" si="4"/>
        <v>0.98187000938644653</v>
      </c>
      <c r="P14">
        <v>3.75</v>
      </c>
      <c r="Q14" s="4">
        <f t="shared" si="5"/>
        <v>12281.085316737177</v>
      </c>
      <c r="S14" s="4"/>
      <c r="Z14">
        <f t="shared" si="8"/>
        <v>31888.058932049229</v>
      </c>
    </row>
    <row r="15" spans="1:29">
      <c r="A15">
        <v>0.75</v>
      </c>
      <c r="B15" s="4">
        <f t="shared" si="0"/>
        <v>0.99024091841248985</v>
      </c>
      <c r="C15">
        <v>6.9</v>
      </c>
      <c r="D15" s="4">
        <f t="shared" si="1"/>
        <v>495578.87468248088</v>
      </c>
      <c r="F15" s="4"/>
      <c r="N15">
        <v>1</v>
      </c>
      <c r="O15" s="4">
        <f t="shared" si="4"/>
        <v>0.98187000938644653</v>
      </c>
      <c r="P15">
        <v>4</v>
      </c>
      <c r="Q15" s="4">
        <f t="shared" si="5"/>
        <v>19606.973615312054</v>
      </c>
      <c r="S15" s="4"/>
      <c r="Z15">
        <f t="shared" si="8"/>
        <v>19606.973615312054</v>
      </c>
    </row>
    <row r="16" spans="1:29">
      <c r="A16">
        <v>1.55</v>
      </c>
      <c r="B16" s="4">
        <f t="shared" si="0"/>
        <v>1.992983946932696</v>
      </c>
      <c r="D16" s="4">
        <f t="shared" si="1"/>
        <v>10285</v>
      </c>
      <c r="E16">
        <v>3.6</v>
      </c>
      <c r="F16" s="4">
        <f>10285*EXP(0.5616*E16)</f>
        <v>77668.247836864102</v>
      </c>
      <c r="G16">
        <v>2</v>
      </c>
      <c r="H16" s="4">
        <f t="shared" ref="H16:H28" si="9">0.4787*EXP(0.7412*G16)</f>
        <v>2.1079561260986206</v>
      </c>
      <c r="J16" s="4">
        <f t="shared" ref="J16:J28" si="10">11.006*EXP(1.8713*I16)</f>
        <v>11.006</v>
      </c>
      <c r="K16">
        <v>3.5</v>
      </c>
      <c r="L16" s="4">
        <f t="shared" ref="L16:L21" si="11">11.006*EXP(1.8713*K16)</f>
        <v>7692.4190094890973</v>
      </c>
      <c r="N16">
        <v>1.9</v>
      </c>
      <c r="O16" s="4">
        <f t="shared" ref="O16:O35" si="12">0.4632*EXP(0.7513*N16)</f>
        <v>1.9306826543158278</v>
      </c>
      <c r="Q16" s="4"/>
      <c r="R16">
        <v>2.8</v>
      </c>
      <c r="S16" s="4">
        <f>11.006*EXP(1.8713*R16)</f>
        <v>2075.7557404850695</v>
      </c>
      <c r="T16">
        <v>2</v>
      </c>
      <c r="U16" s="4">
        <f t="shared" ref="U16:U32" si="13">0.4867*EXP(0.6934*T16)</f>
        <v>1.9477846266835854</v>
      </c>
      <c r="W16" s="4"/>
      <c r="X16">
        <v>2.95</v>
      </c>
      <c r="Y16" s="4">
        <f t="shared" ref="Y16:Y22" si="14">1085.6*EXP(1.228*X16)</f>
        <v>40639.188275650165</v>
      </c>
      <c r="Z16">
        <f t="shared" si="8"/>
        <v>11.006</v>
      </c>
      <c r="AA16">
        <f t="shared" ref="AA16:AA62" si="15">L16+S16</f>
        <v>9768.1747499741668</v>
      </c>
    </row>
    <row r="17" spans="1:29">
      <c r="A17">
        <v>1.55</v>
      </c>
      <c r="B17" s="4">
        <f t="shared" si="0"/>
        <v>1.992983946932696</v>
      </c>
      <c r="D17" s="4">
        <f t="shared" si="1"/>
        <v>10285</v>
      </c>
      <c r="E17">
        <v>3.9</v>
      </c>
      <c r="F17" s="4">
        <f t="shared" ref="F17:F59" si="16">10285*EXP(0.5616*E17)</f>
        <v>91920.725211622281</v>
      </c>
      <c r="G17">
        <v>2</v>
      </c>
      <c r="H17" s="4">
        <f t="shared" si="9"/>
        <v>2.1079561260986206</v>
      </c>
      <c r="J17" s="4">
        <f t="shared" si="10"/>
        <v>11.006</v>
      </c>
      <c r="K17">
        <v>3.7</v>
      </c>
      <c r="L17" s="4">
        <f t="shared" si="11"/>
        <v>11184.12430150066</v>
      </c>
      <c r="N17">
        <v>1.9</v>
      </c>
      <c r="O17" s="4">
        <f t="shared" si="12"/>
        <v>1.9306826543158278</v>
      </c>
      <c r="Q17" s="4"/>
      <c r="R17">
        <v>3</v>
      </c>
      <c r="S17" s="4">
        <f t="shared" ref="S17:S22" si="17">11.006*EXP(1.8713*R17)</f>
        <v>3017.9726549607776</v>
      </c>
      <c r="T17">
        <v>2</v>
      </c>
      <c r="U17" s="4">
        <f t="shared" si="13"/>
        <v>1.9477846266835854</v>
      </c>
      <c r="W17" s="4"/>
      <c r="X17">
        <v>3.2</v>
      </c>
      <c r="Y17" s="4">
        <f t="shared" si="14"/>
        <v>55242.513532281773</v>
      </c>
      <c r="Z17">
        <f t="shared" si="8"/>
        <v>11.006</v>
      </c>
      <c r="AA17">
        <f t="shared" si="15"/>
        <v>14202.096956461439</v>
      </c>
    </row>
    <row r="18" spans="1:29">
      <c r="A18">
        <v>1.55</v>
      </c>
      <c r="B18" s="4">
        <f t="shared" si="0"/>
        <v>1.992983946932696</v>
      </c>
      <c r="D18" s="4">
        <f t="shared" si="1"/>
        <v>10285</v>
      </c>
      <c r="E18">
        <v>4.8</v>
      </c>
      <c r="F18" s="4">
        <f t="shared" si="16"/>
        <v>152378.34242852696</v>
      </c>
      <c r="G18">
        <v>2</v>
      </c>
      <c r="H18" s="4">
        <f t="shared" si="9"/>
        <v>2.1079561260986206</v>
      </c>
      <c r="J18" s="4">
        <f t="shared" si="10"/>
        <v>11.006</v>
      </c>
      <c r="K18">
        <v>3.9</v>
      </c>
      <c r="L18" s="4">
        <f t="shared" si="11"/>
        <v>16260.767417520747</v>
      </c>
      <c r="N18">
        <v>1.9</v>
      </c>
      <c r="O18" s="4">
        <f t="shared" si="12"/>
        <v>1.9306826543158278</v>
      </c>
      <c r="Q18" s="4"/>
      <c r="R18">
        <v>3.5</v>
      </c>
      <c r="S18" s="4">
        <f t="shared" si="17"/>
        <v>7692.4190094890973</v>
      </c>
      <c r="T18">
        <v>2</v>
      </c>
      <c r="U18" s="4">
        <f t="shared" si="13"/>
        <v>1.9477846266835854</v>
      </c>
      <c r="W18" s="4"/>
      <c r="X18">
        <v>3.5</v>
      </c>
      <c r="Y18" s="4">
        <f t="shared" si="14"/>
        <v>79848.63895856803</v>
      </c>
      <c r="Z18">
        <f t="shared" si="8"/>
        <v>11.006</v>
      </c>
      <c r="AA18">
        <f t="shared" si="15"/>
        <v>23953.186427009845</v>
      </c>
    </row>
    <row r="19" spans="1:29">
      <c r="A19">
        <v>2</v>
      </c>
      <c r="B19" s="4">
        <f t="shared" si="0"/>
        <v>2.9537276607374938</v>
      </c>
      <c r="C19">
        <v>5.15</v>
      </c>
      <c r="D19" s="4">
        <f t="shared" si="1"/>
        <v>185476.19094423874</v>
      </c>
      <c r="E19">
        <v>2.8</v>
      </c>
      <c r="F19" s="4">
        <f t="shared" si="16"/>
        <v>49559.13103962563</v>
      </c>
      <c r="G19">
        <v>2.5</v>
      </c>
      <c r="H19" s="4">
        <f t="shared" si="9"/>
        <v>3.0535926560014164</v>
      </c>
      <c r="J19" s="4">
        <f t="shared" si="10"/>
        <v>11.006</v>
      </c>
      <c r="K19">
        <v>2.95</v>
      </c>
      <c r="L19" s="4">
        <f t="shared" si="11"/>
        <v>2748.4037803736087</v>
      </c>
      <c r="N19">
        <v>2.4</v>
      </c>
      <c r="O19" s="4">
        <f t="shared" si="12"/>
        <v>2.8109532122845677</v>
      </c>
      <c r="P19">
        <v>2.9</v>
      </c>
      <c r="Q19" s="4">
        <f>11.006*EXP(1.8713*P19)</f>
        <v>2502.9131153841108</v>
      </c>
      <c r="S19" s="4"/>
      <c r="T19">
        <v>2.6</v>
      </c>
      <c r="U19" s="4">
        <f t="shared" si="13"/>
        <v>2.9527372983227584</v>
      </c>
      <c r="V19">
        <v>4</v>
      </c>
      <c r="W19" s="4">
        <f>1085.6*EXP(1.228*V19)</f>
        <v>147544.94327512174</v>
      </c>
      <c r="X19">
        <v>2.5</v>
      </c>
      <c r="Y19" s="4">
        <f t="shared" si="14"/>
        <v>23385.889543982616</v>
      </c>
      <c r="Z19">
        <f t="shared" si="8"/>
        <v>2513.9191153841107</v>
      </c>
      <c r="AA19">
        <f t="shared" si="15"/>
        <v>2748.4037803736087</v>
      </c>
    </row>
    <row r="20" spans="1:29">
      <c r="A20">
        <v>2.6</v>
      </c>
      <c r="B20" s="4">
        <f t="shared" si="0"/>
        <v>4.9910583750052853</v>
      </c>
      <c r="C20">
        <v>6.35</v>
      </c>
      <c r="D20" s="4">
        <f t="shared" si="1"/>
        <v>363888.1437804965</v>
      </c>
      <c r="E20">
        <v>3.35</v>
      </c>
      <c r="F20" s="4">
        <f t="shared" si="16"/>
        <v>67494.527674621218</v>
      </c>
      <c r="G20">
        <v>3.15</v>
      </c>
      <c r="H20" s="4">
        <f t="shared" si="9"/>
        <v>4.9436247510994598</v>
      </c>
      <c r="I20">
        <v>2.2999999999999998</v>
      </c>
      <c r="J20" s="4">
        <f t="shared" si="10"/>
        <v>814.38284308668597</v>
      </c>
      <c r="K20">
        <v>3.4</v>
      </c>
      <c r="L20" s="4">
        <f t="shared" si="11"/>
        <v>6379.5993632455675</v>
      </c>
      <c r="N20">
        <v>3.1</v>
      </c>
      <c r="O20" s="4">
        <f t="shared" si="12"/>
        <v>4.7561268368304885</v>
      </c>
      <c r="P20">
        <v>3.65</v>
      </c>
      <c r="Q20" s="4">
        <f>11.006*EXP(1.8713*P20)</f>
        <v>10185.145137046386</v>
      </c>
      <c r="R20">
        <v>2.15</v>
      </c>
      <c r="S20" s="4">
        <f t="shared" si="17"/>
        <v>615.0696901093429</v>
      </c>
      <c r="T20">
        <v>3.3</v>
      </c>
      <c r="U20" s="4">
        <f t="shared" si="13"/>
        <v>4.7975848635244356</v>
      </c>
      <c r="V20">
        <v>4.5999999999999996</v>
      </c>
      <c r="W20" s="4">
        <f>1085.6*EXP(1.228*V20)</f>
        <v>308256.68524253933</v>
      </c>
      <c r="X20">
        <v>2.95</v>
      </c>
      <c r="Y20" s="4">
        <f t="shared" si="14"/>
        <v>40639.188275650165</v>
      </c>
      <c r="Z20">
        <f t="shared" si="8"/>
        <v>10999.527980133071</v>
      </c>
      <c r="AA20">
        <f t="shared" si="15"/>
        <v>6994.6690533549099</v>
      </c>
    </row>
    <row r="21" spans="1:29">
      <c r="A21">
        <v>2.6</v>
      </c>
      <c r="B21" s="4">
        <f t="shared" si="0"/>
        <v>4.9910583750052853</v>
      </c>
      <c r="C21">
        <v>6.7</v>
      </c>
      <c r="D21" s="4">
        <f t="shared" si="1"/>
        <v>442927.68750804174</v>
      </c>
      <c r="E21">
        <v>3.9</v>
      </c>
      <c r="F21" s="4">
        <f t="shared" si="16"/>
        <v>91920.725211622281</v>
      </c>
      <c r="G21">
        <v>3.15</v>
      </c>
      <c r="H21" s="4">
        <f t="shared" si="9"/>
        <v>4.9436247510994598</v>
      </c>
      <c r="I21">
        <v>2.5</v>
      </c>
      <c r="J21" s="4">
        <f t="shared" si="10"/>
        <v>1184.0435284213588</v>
      </c>
      <c r="K21">
        <v>3.6</v>
      </c>
      <c r="L21" s="4">
        <f t="shared" si="11"/>
        <v>9275.3959689790372</v>
      </c>
      <c r="N21">
        <v>3.1</v>
      </c>
      <c r="O21" s="4">
        <f t="shared" si="12"/>
        <v>4.7561268368304885</v>
      </c>
      <c r="Q21" s="4"/>
      <c r="R21">
        <v>2.9</v>
      </c>
      <c r="S21" s="4">
        <f t="shared" si="17"/>
        <v>2502.9131153841108</v>
      </c>
      <c r="T21">
        <v>3.3</v>
      </c>
      <c r="U21" s="4">
        <f t="shared" si="13"/>
        <v>4.7975848635244356</v>
      </c>
      <c r="V21">
        <v>5.05</v>
      </c>
      <c r="W21" s="4">
        <f>1085.6*EXP(1.228*V21)</f>
        <v>535677.78318797192</v>
      </c>
      <c r="X21">
        <v>3.2</v>
      </c>
      <c r="Y21" s="4">
        <f t="shared" si="14"/>
        <v>55242.513532281773</v>
      </c>
      <c r="Z21">
        <f t="shared" si="8"/>
        <v>1184.0435284213588</v>
      </c>
      <c r="AA21">
        <f t="shared" si="15"/>
        <v>11778.309084363147</v>
      </c>
    </row>
    <row r="22" spans="1:29">
      <c r="A22">
        <v>2.6</v>
      </c>
      <c r="B22" s="4">
        <f t="shared" si="0"/>
        <v>4.9910583750052853</v>
      </c>
      <c r="C22">
        <v>7.25</v>
      </c>
      <c r="D22" s="4">
        <f t="shared" si="1"/>
        <v>603222.74493603257</v>
      </c>
      <c r="E22">
        <v>3.7</v>
      </c>
      <c r="F22" s="4">
        <f t="shared" si="16"/>
        <v>82154.902745061103</v>
      </c>
      <c r="G22">
        <v>3.15</v>
      </c>
      <c r="H22" s="4">
        <f t="shared" si="9"/>
        <v>4.9436247510994598</v>
      </c>
      <c r="I22">
        <v>4.05</v>
      </c>
      <c r="J22" s="4">
        <f t="shared" si="10"/>
        <v>21530.064337746404</v>
      </c>
      <c r="L22" s="4"/>
      <c r="N22">
        <v>3.1</v>
      </c>
      <c r="O22" s="4">
        <f t="shared" si="12"/>
        <v>4.7561268368304885</v>
      </c>
      <c r="Q22" s="4"/>
      <c r="R22">
        <v>3.1</v>
      </c>
      <c r="S22" s="4">
        <f t="shared" si="17"/>
        <v>3639.0232206255423</v>
      </c>
      <c r="T22">
        <v>3.3</v>
      </c>
      <c r="U22" s="4">
        <f t="shared" si="13"/>
        <v>4.7975848635244356</v>
      </c>
      <c r="W22" s="4"/>
      <c r="X22">
        <v>3.4</v>
      </c>
      <c r="Y22" s="4">
        <f t="shared" si="14"/>
        <v>70621.372798226381</v>
      </c>
      <c r="Z22">
        <f t="shared" si="8"/>
        <v>21530.064337746404</v>
      </c>
      <c r="AA22">
        <f t="shared" si="15"/>
        <v>3639.0232206255423</v>
      </c>
      <c r="AB22" t="s">
        <v>577</v>
      </c>
    </row>
    <row r="23" spans="1:29">
      <c r="A23">
        <v>2.8</v>
      </c>
      <c r="B23" s="4">
        <f t="shared" si="0"/>
        <v>5.9447470832635725</v>
      </c>
      <c r="C23">
        <v>4.7</v>
      </c>
      <c r="D23" s="4">
        <f t="shared" si="1"/>
        <v>144056.63532260543</v>
      </c>
      <c r="F23" s="4"/>
      <c r="G23">
        <v>3.4</v>
      </c>
      <c r="H23" s="4">
        <f t="shared" si="9"/>
        <v>5.9500452074315255</v>
      </c>
      <c r="I23">
        <v>1.25</v>
      </c>
      <c r="J23" s="4">
        <f t="shared" si="10"/>
        <v>114.1559594318469</v>
      </c>
      <c r="L23" s="4"/>
      <c r="N23">
        <v>3.3</v>
      </c>
      <c r="O23" s="4">
        <f t="shared" si="12"/>
        <v>5.5272679246435557</v>
      </c>
      <c r="P23">
        <v>2.8</v>
      </c>
      <c r="Q23" s="4">
        <f>11.006*EXP(1.8713*P23)</f>
        <v>2075.7557404850695</v>
      </c>
      <c r="S23" s="4"/>
      <c r="T23">
        <v>3.7</v>
      </c>
      <c r="U23" s="4">
        <f t="shared" si="13"/>
        <v>6.3310913968451468</v>
      </c>
      <c r="V23">
        <v>3.85</v>
      </c>
      <c r="W23" s="4">
        <f>1085.6*EXP(1.228*V23)</f>
        <v>122723.37385474707</v>
      </c>
      <c r="Y23" s="4"/>
      <c r="Z23">
        <f>J23+Q23</f>
        <v>2189.9116999169164</v>
      </c>
      <c r="AB23" t="s">
        <v>578</v>
      </c>
      <c r="AC23" t="s">
        <v>484</v>
      </c>
    </row>
    <row r="24" spans="1:29">
      <c r="A24">
        <v>3.2</v>
      </c>
      <c r="B24" s="4">
        <f t="shared" si="0"/>
        <v>8.4336359217662764</v>
      </c>
      <c r="C24">
        <v>5</v>
      </c>
      <c r="D24" s="4">
        <f t="shared" si="1"/>
        <v>170491.68430081499</v>
      </c>
      <c r="F24" s="4"/>
      <c r="G24">
        <v>3.7</v>
      </c>
      <c r="H24" s="4">
        <f t="shared" si="9"/>
        <v>7.4317310846696518</v>
      </c>
      <c r="I24">
        <v>2.7</v>
      </c>
      <c r="J24" s="4">
        <f t="shared" si="10"/>
        <v>1721.4987878216755</v>
      </c>
      <c r="L24" s="4"/>
      <c r="N24">
        <v>3.7</v>
      </c>
      <c r="O24" s="4">
        <f t="shared" si="12"/>
        <v>7.4649120350894949</v>
      </c>
      <c r="P24">
        <v>2.2000000000000002</v>
      </c>
      <c r="Q24" s="4">
        <f>11.006*EXP(1.8713*P24)</f>
        <v>675.39694090831949</v>
      </c>
      <c r="S24" s="4"/>
      <c r="T24">
        <v>4.0999999999999996</v>
      </c>
      <c r="U24" s="4">
        <f t="shared" si="13"/>
        <v>8.3547700385566017</v>
      </c>
      <c r="V24">
        <v>3.9</v>
      </c>
      <c r="W24" s="4">
        <f>1085.6*EXP(1.228*V24)</f>
        <v>130494.72826872091</v>
      </c>
      <c r="Y24" s="4"/>
      <c r="Z24">
        <f t="shared" si="8"/>
        <v>2396.895728729995</v>
      </c>
      <c r="AB24">
        <v>1.8</v>
      </c>
      <c r="AC24" s="21">
        <v>10000</v>
      </c>
    </row>
    <row r="25" spans="1:29">
      <c r="A25">
        <v>3.45</v>
      </c>
      <c r="B25" s="4">
        <f t="shared" si="0"/>
        <v>10.493992876764505</v>
      </c>
      <c r="D25" s="4">
        <f t="shared" si="1"/>
        <v>10285</v>
      </c>
      <c r="E25">
        <v>2.7</v>
      </c>
      <c r="F25" s="4">
        <f t="shared" si="16"/>
        <v>46852.600922793623</v>
      </c>
      <c r="G25">
        <v>4.0999999999999996</v>
      </c>
      <c r="H25" s="4">
        <f t="shared" si="9"/>
        <v>9.9965378436874861</v>
      </c>
      <c r="J25" s="4">
        <f t="shared" si="10"/>
        <v>11.006</v>
      </c>
      <c r="K25">
        <v>3</v>
      </c>
      <c r="L25" s="4">
        <f>11.006*EXP(1.8713*K25)</f>
        <v>3017.9726549607776</v>
      </c>
      <c r="N25">
        <v>4</v>
      </c>
      <c r="O25" s="4">
        <f t="shared" si="12"/>
        <v>9.3521255337380769</v>
      </c>
      <c r="Q25" s="4"/>
      <c r="R25">
        <v>2.4500000000000002</v>
      </c>
      <c r="S25" s="4">
        <f>11.006*EXP(1.8713*R25)</f>
        <v>1078.2833649241468</v>
      </c>
      <c r="T25">
        <v>4.5</v>
      </c>
      <c r="U25" s="4">
        <f t="shared" si="13"/>
        <v>11.025300066264457</v>
      </c>
      <c r="W25" s="4"/>
      <c r="X25">
        <v>2.8</v>
      </c>
      <c r="Y25" s="4">
        <f>1085.6*EXP(1.228*X25)</f>
        <v>33802.4346019523</v>
      </c>
      <c r="Z25">
        <f t="shared" si="8"/>
        <v>11.006</v>
      </c>
      <c r="AA25">
        <f t="shared" si="15"/>
        <v>4096.2560198849242</v>
      </c>
      <c r="AB25">
        <v>3.7</v>
      </c>
      <c r="AC25" s="21">
        <v>100000</v>
      </c>
    </row>
    <row r="26" spans="1:29">
      <c r="A26">
        <v>3.45</v>
      </c>
      <c r="B26" s="4">
        <f t="shared" si="0"/>
        <v>10.493992876764505</v>
      </c>
      <c r="D26" s="4">
        <f t="shared" si="1"/>
        <v>10285</v>
      </c>
      <c r="E26">
        <v>3.1</v>
      </c>
      <c r="F26" s="4">
        <f t="shared" si="16"/>
        <v>58653.457402421314</v>
      </c>
      <c r="G26">
        <v>4.0999999999999996</v>
      </c>
      <c r="H26" s="4">
        <f t="shared" si="9"/>
        <v>9.9965378436874861</v>
      </c>
      <c r="J26" s="4">
        <f t="shared" si="10"/>
        <v>11.006</v>
      </c>
      <c r="K26">
        <v>3.2</v>
      </c>
      <c r="L26" s="4">
        <f>11.006*EXP(1.8713*K26)</f>
        <v>4387.8760725298916</v>
      </c>
      <c r="N26">
        <v>4</v>
      </c>
      <c r="O26" s="4">
        <f t="shared" si="12"/>
        <v>9.3521255337380769</v>
      </c>
      <c r="Q26" s="4"/>
      <c r="R26">
        <v>2.7</v>
      </c>
      <c r="S26" s="4">
        <f>11.006*EXP(1.8713*R26)</f>
        <v>1721.4987878216755</v>
      </c>
      <c r="T26">
        <v>4.5</v>
      </c>
      <c r="U26" s="4">
        <f t="shared" si="13"/>
        <v>11.025300066264457</v>
      </c>
      <c r="W26" s="4"/>
      <c r="X26">
        <v>3.2</v>
      </c>
      <c r="Y26" s="4">
        <f>1085.6*EXP(1.228*X26)</f>
        <v>55242.513532281773</v>
      </c>
      <c r="Z26">
        <f t="shared" si="8"/>
        <v>11.006</v>
      </c>
      <c r="AA26">
        <f t="shared" si="15"/>
        <v>6109.3748603515669</v>
      </c>
      <c r="AB26">
        <v>5.55</v>
      </c>
      <c r="AC26" s="21">
        <v>1000000</v>
      </c>
    </row>
    <row r="27" spans="1:29">
      <c r="A27">
        <v>3.45</v>
      </c>
      <c r="B27" s="4">
        <f t="shared" si="0"/>
        <v>10.493992876764505</v>
      </c>
      <c r="D27" s="4">
        <f t="shared" si="1"/>
        <v>10285</v>
      </c>
      <c r="E27">
        <v>3.5</v>
      </c>
      <c r="F27" s="4">
        <f t="shared" si="16"/>
        <v>73426.618746879278</v>
      </c>
      <c r="G27">
        <v>4.0999999999999996</v>
      </c>
      <c r="H27" s="4">
        <f t="shared" si="9"/>
        <v>9.9965378436874861</v>
      </c>
      <c r="J27" s="4">
        <f t="shared" si="10"/>
        <v>11.006</v>
      </c>
      <c r="K27">
        <v>3.65</v>
      </c>
      <c r="L27" s="4">
        <f>11.006*EXP(1.8713*K27)</f>
        <v>10185.145137046386</v>
      </c>
      <c r="N27">
        <v>4</v>
      </c>
      <c r="O27" s="4">
        <f t="shared" si="12"/>
        <v>9.3521255337380769</v>
      </c>
      <c r="Q27" s="4"/>
      <c r="R27">
        <v>3.1</v>
      </c>
      <c r="S27" s="4">
        <f>11.006*EXP(1.8713*R27)</f>
        <v>3639.0232206255423</v>
      </c>
      <c r="T27">
        <v>4.5</v>
      </c>
      <c r="U27" s="4">
        <f t="shared" si="13"/>
        <v>11.025300066264457</v>
      </c>
      <c r="W27" s="4"/>
      <c r="X27">
        <v>3.4</v>
      </c>
      <c r="Y27" s="4">
        <f>1085.6*EXP(1.228*X27)</f>
        <v>70621.372798226381</v>
      </c>
      <c r="Z27">
        <f t="shared" si="8"/>
        <v>11.006</v>
      </c>
      <c r="AA27">
        <f t="shared" si="15"/>
        <v>13824.168357671928</v>
      </c>
    </row>
    <row r="28" spans="1:29">
      <c r="A28">
        <v>3.45</v>
      </c>
      <c r="B28" s="4">
        <f t="shared" si="0"/>
        <v>10.493992876764505</v>
      </c>
      <c r="D28" s="4">
        <f t="shared" si="1"/>
        <v>10285</v>
      </c>
      <c r="E28">
        <v>3.9</v>
      </c>
      <c r="F28" s="4">
        <f t="shared" si="16"/>
        <v>91920.725211622281</v>
      </c>
      <c r="G28">
        <v>4.0999999999999996</v>
      </c>
      <c r="H28" s="4">
        <f t="shared" si="9"/>
        <v>9.9965378436874861</v>
      </c>
      <c r="J28" s="4">
        <f t="shared" si="10"/>
        <v>11.006</v>
      </c>
      <c r="K28">
        <v>4</v>
      </c>
      <c r="L28" s="4">
        <f>11.006*EXP(1.8713*K28)</f>
        <v>19606.973615312054</v>
      </c>
      <c r="N28">
        <v>4</v>
      </c>
      <c r="O28" s="4">
        <f t="shared" si="12"/>
        <v>9.3521255337380769</v>
      </c>
      <c r="Q28" s="4"/>
      <c r="R28">
        <v>3.5</v>
      </c>
      <c r="S28" s="4">
        <f>11.006*EXP(1.8713*R28)</f>
        <v>7692.4190094890973</v>
      </c>
      <c r="T28">
        <v>4.5</v>
      </c>
      <c r="U28" s="4">
        <f t="shared" si="13"/>
        <v>11.025300066264457</v>
      </c>
      <c r="W28" s="4"/>
      <c r="X28">
        <v>3.65</v>
      </c>
      <c r="Y28" s="4">
        <f>1085.6*EXP(1.228*X28)</f>
        <v>95998.52526611324</v>
      </c>
      <c r="Z28">
        <f t="shared" si="8"/>
        <v>11.006</v>
      </c>
      <c r="AA28">
        <f t="shared" si="15"/>
        <v>27299.392624801152</v>
      </c>
    </row>
    <row r="29" spans="1:29">
      <c r="A29">
        <v>3.7</v>
      </c>
      <c r="B29" s="4">
        <f t="shared" si="0"/>
        <v>13.057699848456423</v>
      </c>
      <c r="C29">
        <v>4.9000000000000004</v>
      </c>
      <c r="D29" s="4">
        <f t="shared" si="1"/>
        <v>161180.76886404876</v>
      </c>
      <c r="F29" s="4"/>
      <c r="N29">
        <v>4.25</v>
      </c>
      <c r="O29" s="4">
        <f t="shared" si="12"/>
        <v>11.284483576442316</v>
      </c>
      <c r="P29">
        <v>3</v>
      </c>
      <c r="Q29" s="4">
        <f>11.006*EXP(1.8713*P29)</f>
        <v>3017.9726549607776</v>
      </c>
      <c r="S29" s="4"/>
      <c r="T29">
        <v>4.9000000000000004</v>
      </c>
      <c r="U29" s="4">
        <f t="shared" si="13"/>
        <v>14.54944193439124</v>
      </c>
      <c r="V29">
        <v>3.85</v>
      </c>
      <c r="W29" s="4">
        <f>1085.6*EXP(1.228*V29)</f>
        <v>122723.37385474707</v>
      </c>
      <c r="Y29" s="4"/>
      <c r="Z29">
        <f t="shared" si="8"/>
        <v>3017.9726549607776</v>
      </c>
    </row>
    <row r="30" spans="1:29">
      <c r="A30">
        <v>3.9</v>
      </c>
      <c r="B30" s="4">
        <f t="shared" si="0"/>
        <v>15.552758003588828</v>
      </c>
      <c r="C30">
        <v>5.9</v>
      </c>
      <c r="D30" s="4">
        <f t="shared" si="1"/>
        <v>282626.58058665029</v>
      </c>
      <c r="E30">
        <v>2.65</v>
      </c>
      <c r="F30" s="4">
        <f t="shared" si="16"/>
        <v>45555.279523563207</v>
      </c>
      <c r="G30">
        <v>4.7</v>
      </c>
      <c r="H30" s="4">
        <f>0.4787*EXP(0.7412*G30)</f>
        <v>15.595132048984597</v>
      </c>
      <c r="I30">
        <v>2.15</v>
      </c>
      <c r="J30" s="4">
        <f>11.006*EXP(1.8713*I30)</f>
        <v>615.0696901093429</v>
      </c>
      <c r="K30">
        <v>2.75</v>
      </c>
      <c r="L30" s="4">
        <f>11.006*EXP(1.8713*K30)</f>
        <v>1890.3467912155513</v>
      </c>
      <c r="N30">
        <v>4.5999999999999996</v>
      </c>
      <c r="O30" s="4">
        <f t="shared" si="12"/>
        <v>14.678497198571929</v>
      </c>
      <c r="P30">
        <v>1.9</v>
      </c>
      <c r="Q30" s="4">
        <f>11.006*EXP(1.8713*P30)</f>
        <v>385.25697479762312</v>
      </c>
      <c r="R30">
        <v>2.15</v>
      </c>
      <c r="S30" s="4">
        <f>11.006*EXP(1.8713*R30)</f>
        <v>615.0696901093429</v>
      </c>
      <c r="T30">
        <v>5</v>
      </c>
      <c r="U30" s="4">
        <f t="shared" si="13"/>
        <v>15.594100004172713</v>
      </c>
      <c r="V30">
        <v>4.4000000000000004</v>
      </c>
      <c r="W30" s="4">
        <f>1085.6*EXP(1.228*V30)</f>
        <v>241129.18555945973</v>
      </c>
      <c r="X30">
        <v>2.75</v>
      </c>
      <c r="Y30" s="4">
        <f>1085.6*EXP(1.228*X30)</f>
        <v>31789.397731941739</v>
      </c>
      <c r="Z30">
        <f t="shared" si="8"/>
        <v>1000.326664906966</v>
      </c>
      <c r="AA30">
        <f t="shared" si="15"/>
        <v>2505.4164813248944</v>
      </c>
    </row>
    <row r="31" spans="1:29">
      <c r="A31">
        <v>3.9</v>
      </c>
      <c r="B31" s="4">
        <f t="shared" si="0"/>
        <v>15.552758003588828</v>
      </c>
      <c r="D31" s="4">
        <f t="shared" si="1"/>
        <v>10285</v>
      </c>
      <c r="E31">
        <v>3.6</v>
      </c>
      <c r="F31" s="4">
        <f t="shared" si="16"/>
        <v>77668.247836864102</v>
      </c>
      <c r="G31">
        <v>4.7</v>
      </c>
      <c r="H31" s="4">
        <f>0.4787*EXP(0.7412*G31)</f>
        <v>15.595132048984597</v>
      </c>
      <c r="J31" s="4">
        <f>11.006*EXP(1.8713*I31)</f>
        <v>11.006</v>
      </c>
      <c r="K31">
        <v>3.5</v>
      </c>
      <c r="L31" s="4">
        <f>11.006*EXP(1.8713*K31)</f>
        <v>7692.4190094890973</v>
      </c>
      <c r="N31">
        <v>4.5999999999999996</v>
      </c>
      <c r="O31" s="4">
        <f t="shared" si="12"/>
        <v>14.678497198571929</v>
      </c>
      <c r="Q31" s="4"/>
      <c r="R31">
        <v>2.6</v>
      </c>
      <c r="S31" s="4">
        <f>11.006*EXP(1.8713*R31)</f>
        <v>1427.7007735885936</v>
      </c>
      <c r="T31">
        <v>5</v>
      </c>
      <c r="U31" s="4">
        <f t="shared" si="13"/>
        <v>15.594100004172713</v>
      </c>
      <c r="W31" s="4"/>
      <c r="X31">
        <v>3.1</v>
      </c>
      <c r="Y31" s="4">
        <f>1085.6*EXP(1.228*X31)</f>
        <v>48858.718111634284</v>
      </c>
      <c r="Z31">
        <f t="shared" si="8"/>
        <v>11.006</v>
      </c>
      <c r="AA31">
        <f t="shared" si="15"/>
        <v>9120.119783077691</v>
      </c>
    </row>
    <row r="32" spans="1:29">
      <c r="A32">
        <v>3.9</v>
      </c>
      <c r="B32" s="4">
        <f t="shared" si="0"/>
        <v>15.552758003588828</v>
      </c>
      <c r="D32" s="4">
        <f t="shared" si="1"/>
        <v>10285</v>
      </c>
      <c r="E32">
        <v>4.95</v>
      </c>
      <c r="F32" s="4">
        <f t="shared" si="16"/>
        <v>165770.86825052236</v>
      </c>
      <c r="G32">
        <v>4.7</v>
      </c>
      <c r="H32" s="4">
        <f>0.4787*EXP(0.7412*G32)</f>
        <v>15.595132048984597</v>
      </c>
      <c r="J32" s="4">
        <f>11.006*EXP(1.8713*I32)</f>
        <v>11.006</v>
      </c>
      <c r="K32">
        <v>3.7</v>
      </c>
      <c r="L32" s="4">
        <f>11.006*EXP(1.8713*K32)</f>
        <v>11184.12430150066</v>
      </c>
      <c r="N32">
        <v>4.5999999999999996</v>
      </c>
      <c r="O32" s="4">
        <f t="shared" si="12"/>
        <v>14.678497198571929</v>
      </c>
      <c r="Q32" s="4"/>
      <c r="R32">
        <v>2.8</v>
      </c>
      <c r="S32" s="4">
        <f>11.006*EXP(1.8713*R32)</f>
        <v>2075.7557404850695</v>
      </c>
      <c r="T32">
        <v>5</v>
      </c>
      <c r="U32" s="4">
        <f t="shared" si="13"/>
        <v>15.594100004172713</v>
      </c>
      <c r="W32" s="4"/>
      <c r="X32">
        <v>3.6</v>
      </c>
      <c r="Y32" s="4">
        <f>1085.6*EXP(1.228*X32)</f>
        <v>90281.523721610152</v>
      </c>
      <c r="Z32">
        <f t="shared" si="8"/>
        <v>11.006</v>
      </c>
      <c r="AA32">
        <f t="shared" si="15"/>
        <v>13259.880041985729</v>
      </c>
    </row>
    <row r="33" spans="1:27">
      <c r="A33">
        <v>4</v>
      </c>
      <c r="B33" s="4">
        <f t="shared" si="0"/>
        <v>16.973749209738891</v>
      </c>
      <c r="C33">
        <v>5.45</v>
      </c>
      <c r="D33" s="4">
        <f t="shared" si="1"/>
        <v>219511.91710792837</v>
      </c>
      <c r="F33" s="4"/>
      <c r="N33">
        <v>4.75</v>
      </c>
      <c r="O33" s="4">
        <f t="shared" si="12"/>
        <v>16.429502428721811</v>
      </c>
      <c r="P33">
        <v>2.0499999999999998</v>
      </c>
      <c r="Q33" s="4">
        <f>11.006*EXP(1.8713*P33)</f>
        <v>510.09938467117166</v>
      </c>
      <c r="S33" s="4"/>
      <c r="Z33">
        <f t="shared" si="8"/>
        <v>510.09938467117166</v>
      </c>
    </row>
    <row r="34" spans="1:27">
      <c r="A34">
        <v>4.0999999999999996</v>
      </c>
      <c r="B34" s="4">
        <f t="shared" si="0"/>
        <v>18.524570508242341</v>
      </c>
      <c r="D34" s="4">
        <f t="shared" si="1"/>
        <v>10285</v>
      </c>
      <c r="E34">
        <v>3.5</v>
      </c>
      <c r="F34" s="4">
        <f t="shared" si="16"/>
        <v>73426.618746879278</v>
      </c>
      <c r="G34">
        <v>4.9000000000000004</v>
      </c>
      <c r="H34" s="4">
        <f>0.4787*EXP(0.7412*G34)</f>
        <v>18.087097113721743</v>
      </c>
      <c r="I34">
        <v>3.95</v>
      </c>
      <c r="J34" s="4">
        <f>11.006*EXP(1.8713*I34)</f>
        <v>17855.655622800725</v>
      </c>
      <c r="K34">
        <v>3.35</v>
      </c>
      <c r="L34" s="4">
        <f>11.006*EXP(1.8713*K34)</f>
        <v>5809.7660289904361</v>
      </c>
      <c r="N34">
        <v>5</v>
      </c>
      <c r="O34" s="4">
        <f t="shared" si="12"/>
        <v>19.824204632112764</v>
      </c>
      <c r="P34">
        <v>1.1000000000000001</v>
      </c>
      <c r="Q34" s="4">
        <f>11.006*EXP(1.8713*P34)</f>
        <v>86.217276294469926</v>
      </c>
      <c r="R34">
        <v>2.8</v>
      </c>
      <c r="S34" s="4">
        <f>11.006*EXP(1.8713*R34)</f>
        <v>2075.7557404850695</v>
      </c>
      <c r="T34">
        <v>5.3</v>
      </c>
      <c r="U34" s="4">
        <f t="shared" ref="U34:U39" si="18">0.4867*EXP(0.6934*T34)</f>
        <v>19.200045289465301</v>
      </c>
      <c r="V34">
        <v>4.7</v>
      </c>
      <c r="W34" s="4">
        <f>1085.6*EXP(1.228*V34)</f>
        <v>348532.96942869195</v>
      </c>
      <c r="X34">
        <v>3.1</v>
      </c>
      <c r="Y34" s="4">
        <f>1085.6*EXP(1.228*X34)</f>
        <v>48858.718111634284</v>
      </c>
      <c r="Z34">
        <f t="shared" si="8"/>
        <v>17941.872899095193</v>
      </c>
      <c r="AA34">
        <f t="shared" si="15"/>
        <v>7885.5217694755056</v>
      </c>
    </row>
    <row r="35" spans="1:27">
      <c r="A35">
        <v>4.0999999999999996</v>
      </c>
      <c r="B35" s="4">
        <f t="shared" si="0"/>
        <v>18.524570508242341</v>
      </c>
      <c r="D35" s="4">
        <f t="shared" si="1"/>
        <v>10285</v>
      </c>
      <c r="E35">
        <v>6.7</v>
      </c>
      <c r="F35" s="4">
        <f t="shared" si="16"/>
        <v>442927.68750804174</v>
      </c>
      <c r="G35">
        <v>4.9000000000000004</v>
      </c>
      <c r="H35" s="4">
        <f>0.4787*EXP(0.7412*G35)</f>
        <v>18.087097113721743</v>
      </c>
      <c r="J35" s="4">
        <f>11.006*EXP(1.8713*I35)</f>
        <v>11.006</v>
      </c>
      <c r="K35">
        <v>3.55</v>
      </c>
      <c r="L35" s="4">
        <f>11.006*EXP(1.8713*K35)</f>
        <v>8446.9066688529765</v>
      </c>
      <c r="N35">
        <v>5</v>
      </c>
      <c r="O35" s="4">
        <f t="shared" si="12"/>
        <v>19.824204632112764</v>
      </c>
      <c r="P35">
        <v>2.65</v>
      </c>
      <c r="Q35" s="4">
        <f>11.006*EXP(1.8713*P35)</f>
        <v>1567.73248709875</v>
      </c>
      <c r="R35">
        <v>3</v>
      </c>
      <c r="S35" s="4">
        <f>11.006*EXP(1.8713*R35)</f>
        <v>3017.9726549607776</v>
      </c>
      <c r="T35">
        <v>5.3</v>
      </c>
      <c r="U35" s="4">
        <f t="shared" si="18"/>
        <v>19.200045289465301</v>
      </c>
      <c r="V35">
        <v>5</v>
      </c>
      <c r="W35" s="4">
        <f>1085.6*EXP(1.228*V35)</f>
        <v>503776.55652483011</v>
      </c>
      <c r="Y35" s="4"/>
      <c r="Z35">
        <f t="shared" si="8"/>
        <v>1578.7384870987501</v>
      </c>
      <c r="AA35">
        <f t="shared" si="15"/>
        <v>11464.879323813755</v>
      </c>
    </row>
    <row r="36" spans="1:27">
      <c r="A36">
        <v>4.0999999999999996</v>
      </c>
      <c r="B36" s="4">
        <f t="shared" si="0"/>
        <v>18.524570508242341</v>
      </c>
      <c r="D36" s="4">
        <f t="shared" si="1"/>
        <v>10285</v>
      </c>
      <c r="E36">
        <v>7.35</v>
      </c>
      <c r="F36" s="4">
        <f t="shared" si="16"/>
        <v>638069.06070445257</v>
      </c>
      <c r="T36">
        <v>5.4</v>
      </c>
      <c r="U36" s="4">
        <f t="shared" si="18"/>
        <v>20.578619281667638</v>
      </c>
      <c r="V36">
        <v>4.55</v>
      </c>
      <c r="W36" s="4">
        <f>1085.6*EXP(1.228*V36)</f>
        <v>289899.07046929363</v>
      </c>
      <c r="X36">
        <v>3.4</v>
      </c>
      <c r="Y36" s="4">
        <f>1085.6*EXP(1.228*X36)</f>
        <v>70621.372798226381</v>
      </c>
    </row>
    <row r="37" spans="1:27">
      <c r="A37">
        <v>4.2</v>
      </c>
      <c r="B37" s="4">
        <f t="shared" si="0"/>
        <v>20.21708393794048</v>
      </c>
      <c r="C37">
        <v>6.15</v>
      </c>
      <c r="D37" s="4">
        <f t="shared" si="1"/>
        <v>325228.01570094237</v>
      </c>
      <c r="E37">
        <v>3.7</v>
      </c>
      <c r="F37" s="4">
        <f t="shared" si="16"/>
        <v>82154.902745061103</v>
      </c>
      <c r="G37">
        <v>5</v>
      </c>
      <c r="H37" s="4">
        <f>0.4787*EXP(0.7412*G37)</f>
        <v>19.47864656107329</v>
      </c>
      <c r="I37">
        <v>2.35</v>
      </c>
      <c r="J37" s="4">
        <f>11.006*EXP(1.8713*I37)</f>
        <v>894.25912184225319</v>
      </c>
      <c r="L37" s="4"/>
      <c r="T37">
        <v>5.4</v>
      </c>
      <c r="U37" s="4">
        <f t="shared" si="18"/>
        <v>20.578619281667638</v>
      </c>
      <c r="V37">
        <v>5.05</v>
      </c>
      <c r="W37" s="4">
        <f>1085.6*EXP(1.228*V37)</f>
        <v>535677.78318797192</v>
      </c>
      <c r="Y37" s="4"/>
      <c r="Z37">
        <f t="shared" si="8"/>
        <v>894.25912184225319</v>
      </c>
    </row>
    <row r="38" spans="1:27">
      <c r="A38">
        <v>4.2</v>
      </c>
      <c r="B38" s="4">
        <f t="shared" si="0"/>
        <v>20.21708393794048</v>
      </c>
      <c r="C38">
        <v>6.45</v>
      </c>
      <c r="D38" s="4">
        <f t="shared" si="1"/>
        <v>384908.83848905616</v>
      </c>
      <c r="F38" s="4"/>
      <c r="N38">
        <v>5.25</v>
      </c>
      <c r="O38" s="77">
        <v>23.920328139999999</v>
      </c>
      <c r="Q38" s="77"/>
      <c r="R38">
        <v>2.5</v>
      </c>
      <c r="S38" s="77">
        <v>1184.0435279999999</v>
      </c>
      <c r="T38">
        <v>5.7</v>
      </c>
      <c r="U38" s="4">
        <f t="shared" si="18"/>
        <v>25.337173809130231</v>
      </c>
      <c r="W38" s="4"/>
      <c r="X38">
        <v>2.9</v>
      </c>
      <c r="Y38" s="4">
        <f>1085.6*EXP(1.228*X38)</f>
        <v>38219.002116589887</v>
      </c>
      <c r="AA38">
        <f t="shared" si="15"/>
        <v>1184.0435279999999</v>
      </c>
    </row>
    <row r="39" spans="1:27">
      <c r="A39">
        <v>4.2</v>
      </c>
      <c r="B39" s="4">
        <f t="shared" si="0"/>
        <v>20.21708393794048</v>
      </c>
      <c r="C39">
        <v>7.3</v>
      </c>
      <c r="D39" s="4">
        <f t="shared" si="1"/>
        <v>620401.29775565129</v>
      </c>
      <c r="F39" s="4"/>
      <c r="N39">
        <v>5.25</v>
      </c>
      <c r="O39" s="77">
        <v>23.920328139999999</v>
      </c>
      <c r="Q39" s="77"/>
      <c r="R39">
        <v>3</v>
      </c>
      <c r="S39" s="77">
        <v>3017.972655</v>
      </c>
      <c r="T39">
        <v>5.65</v>
      </c>
      <c r="U39" s="4">
        <f t="shared" si="18"/>
        <v>24.473787280106805</v>
      </c>
      <c r="W39" s="4"/>
      <c r="X39">
        <v>3.3</v>
      </c>
      <c r="Y39" s="4">
        <f>1085.6*EXP(1.228*X39)</f>
        <v>62460.404597427412</v>
      </c>
      <c r="AA39">
        <f t="shared" si="15"/>
        <v>3017.972655</v>
      </c>
    </row>
    <row r="40" spans="1:27">
      <c r="A40">
        <v>4.5</v>
      </c>
      <c r="B40" s="4">
        <f t="shared" si="0"/>
        <v>26.280257357532058</v>
      </c>
      <c r="D40" s="4">
        <f t="shared" si="1"/>
        <v>10285</v>
      </c>
      <c r="E40">
        <v>3.3</v>
      </c>
      <c r="F40" s="4">
        <f t="shared" si="16"/>
        <v>65625.643272077054</v>
      </c>
      <c r="G40">
        <v>5.3</v>
      </c>
      <c r="H40" s="4">
        <f t="shared" ref="H40:H46" si="19">0.4787*EXP(0.7412*G40)</f>
        <v>24.329237524854179</v>
      </c>
      <c r="J40" s="4">
        <f t="shared" ref="J40:J46" si="20">11.006*EXP(1.8713*I40)</f>
        <v>11.006</v>
      </c>
      <c r="K40">
        <v>3.5</v>
      </c>
      <c r="L40" s="4">
        <f t="shared" ref="L40:L45" si="21">11.006*EXP(1.8713*K40)</f>
        <v>7692.4190094890973</v>
      </c>
      <c r="N40">
        <v>5.25</v>
      </c>
      <c r="O40" s="77">
        <v>23.920328139999999</v>
      </c>
      <c r="Q40" s="77"/>
      <c r="R40">
        <v>3.5</v>
      </c>
      <c r="S40" s="77">
        <v>7692.4190090000002</v>
      </c>
      <c r="Z40">
        <f t="shared" si="8"/>
        <v>11.006</v>
      </c>
      <c r="AA40">
        <f t="shared" si="15"/>
        <v>15384.838018489098</v>
      </c>
    </row>
    <row r="41" spans="1:27">
      <c r="A41">
        <v>4.5</v>
      </c>
      <c r="B41" s="4">
        <f t="shared" si="0"/>
        <v>26.280257357532058</v>
      </c>
      <c r="D41" s="4">
        <f t="shared" si="1"/>
        <v>10285</v>
      </c>
      <c r="E41">
        <v>3.7</v>
      </c>
      <c r="F41" s="4">
        <f t="shared" si="16"/>
        <v>82154.902745061103</v>
      </c>
      <c r="G41">
        <v>5.3</v>
      </c>
      <c r="H41" s="4">
        <f t="shared" si="19"/>
        <v>24.329237524854179</v>
      </c>
      <c r="J41" s="4">
        <f t="shared" si="20"/>
        <v>11.006</v>
      </c>
      <c r="K41">
        <v>3.8</v>
      </c>
      <c r="L41" s="4">
        <f t="shared" si="21"/>
        <v>13485.638436327128</v>
      </c>
      <c r="N41">
        <v>5.5</v>
      </c>
      <c r="O41" s="77">
        <v>28.86280227</v>
      </c>
      <c r="Q41" s="77"/>
      <c r="R41">
        <v>2.7</v>
      </c>
      <c r="S41" s="77">
        <v>1721.4987880000001</v>
      </c>
      <c r="T41">
        <v>5.85</v>
      </c>
      <c r="U41" s="4">
        <f t="shared" ref="U41:U46" si="22">0.4867*EXP(0.6934*T41)</f>
        <v>28.114420727687627</v>
      </c>
      <c r="W41" s="4"/>
      <c r="X41">
        <v>2.6</v>
      </c>
      <c r="Y41" s="4">
        <f>1085.6*EXP(1.228*X41)</f>
        <v>26441.44933655718</v>
      </c>
      <c r="Z41">
        <f t="shared" si="8"/>
        <v>11.006</v>
      </c>
      <c r="AA41">
        <f t="shared" si="15"/>
        <v>15207.137224327129</v>
      </c>
    </row>
    <row r="42" spans="1:27">
      <c r="A42">
        <v>4.7</v>
      </c>
      <c r="B42" s="4">
        <f t="shared" si="0"/>
        <v>31.301874579545334</v>
      </c>
      <c r="D42" s="4">
        <f t="shared" si="1"/>
        <v>10285</v>
      </c>
      <c r="E42">
        <v>3.1</v>
      </c>
      <c r="F42" s="4">
        <f t="shared" si="16"/>
        <v>58653.457402421314</v>
      </c>
      <c r="G42">
        <v>5.6</v>
      </c>
      <c r="H42" s="4">
        <f t="shared" si="19"/>
        <v>30.387727231709579</v>
      </c>
      <c r="J42" s="4">
        <f t="shared" si="20"/>
        <v>11.006</v>
      </c>
      <c r="K42">
        <v>3.35</v>
      </c>
      <c r="L42" s="4">
        <f t="shared" si="21"/>
        <v>5809.7660289904361</v>
      </c>
      <c r="N42">
        <v>5.75</v>
      </c>
      <c r="O42" s="77">
        <v>34.826501950000001</v>
      </c>
      <c r="Q42" s="77"/>
      <c r="R42">
        <v>2.4</v>
      </c>
      <c r="S42" s="77">
        <v>981.96982390000005</v>
      </c>
      <c r="T42">
        <v>6.1</v>
      </c>
      <c r="U42" s="4">
        <f t="shared" si="22"/>
        <v>33.435982413349436</v>
      </c>
      <c r="W42" s="4"/>
      <c r="X42">
        <v>2.75</v>
      </c>
      <c r="Y42" s="4">
        <f>1085.6*EXP(1.228*X42)</f>
        <v>31789.397731941739</v>
      </c>
      <c r="Z42">
        <f t="shared" si="8"/>
        <v>11.006</v>
      </c>
      <c r="AA42">
        <f t="shared" si="15"/>
        <v>6791.735852890436</v>
      </c>
    </row>
    <row r="43" spans="1:27">
      <c r="A43">
        <v>4.9000000000000004</v>
      </c>
      <c r="B43" s="4">
        <f t="shared" si="0"/>
        <v>37.283019677612401</v>
      </c>
      <c r="D43" s="4">
        <f t="shared" si="1"/>
        <v>10285</v>
      </c>
      <c r="E43">
        <v>3</v>
      </c>
      <c r="F43" s="4">
        <f t="shared" si="16"/>
        <v>55450.266676800056</v>
      </c>
      <c r="G43">
        <v>5.8</v>
      </c>
      <c r="H43" s="4">
        <f t="shared" si="19"/>
        <v>35.243419021963604</v>
      </c>
      <c r="J43" s="4">
        <f t="shared" si="20"/>
        <v>11.006</v>
      </c>
      <c r="K43">
        <v>2.8</v>
      </c>
      <c r="L43" s="4">
        <f t="shared" si="21"/>
        <v>2075.7557404850695</v>
      </c>
      <c r="N43">
        <v>5.75</v>
      </c>
      <c r="O43" s="77">
        <v>34.826501950000001</v>
      </c>
      <c r="Q43" s="77"/>
      <c r="R43">
        <v>2.7</v>
      </c>
      <c r="S43" s="77">
        <v>1721.4987880000001</v>
      </c>
      <c r="T43">
        <v>6.1</v>
      </c>
      <c r="U43" s="4">
        <f t="shared" si="22"/>
        <v>33.435982413349436</v>
      </c>
      <c r="W43" s="4"/>
      <c r="X43">
        <v>3.2</v>
      </c>
      <c r="Y43" s="4">
        <f>1085.6*EXP(1.228*X43)</f>
        <v>55242.513532281773</v>
      </c>
      <c r="Z43">
        <f t="shared" si="8"/>
        <v>11.006</v>
      </c>
      <c r="AA43">
        <f t="shared" si="15"/>
        <v>3797.2545284850694</v>
      </c>
    </row>
    <row r="44" spans="1:27">
      <c r="A44">
        <v>4.9000000000000004</v>
      </c>
      <c r="B44" s="4">
        <f t="shared" si="0"/>
        <v>37.283019677612401</v>
      </c>
      <c r="D44" s="4">
        <f t="shared" si="1"/>
        <v>10285</v>
      </c>
      <c r="E44">
        <v>3.6</v>
      </c>
      <c r="F44" s="4">
        <f t="shared" si="16"/>
        <v>77668.247836864102</v>
      </c>
      <c r="G44">
        <v>5.8</v>
      </c>
      <c r="H44" s="4">
        <f t="shared" si="19"/>
        <v>35.243419021963604</v>
      </c>
      <c r="J44" s="4">
        <f t="shared" si="20"/>
        <v>11.006</v>
      </c>
      <c r="K44">
        <v>3.4</v>
      </c>
      <c r="L44" s="4">
        <f t="shared" si="21"/>
        <v>6379.5993632455675</v>
      </c>
      <c r="N44">
        <v>5.75</v>
      </c>
      <c r="O44" s="77">
        <v>34.826501950000001</v>
      </c>
      <c r="Q44" s="77"/>
      <c r="R44">
        <v>3.3</v>
      </c>
      <c r="S44" s="77">
        <v>5290.8308800000004</v>
      </c>
      <c r="T44">
        <v>6.1</v>
      </c>
      <c r="U44" s="4">
        <f t="shared" si="22"/>
        <v>33.435982413349436</v>
      </c>
      <c r="W44" s="4"/>
      <c r="X44">
        <v>3.4</v>
      </c>
      <c r="Y44" s="4">
        <f>1085.6*EXP(1.228*X44)</f>
        <v>70621.372798226381</v>
      </c>
      <c r="Z44">
        <f t="shared" si="8"/>
        <v>11.006</v>
      </c>
      <c r="AA44">
        <f t="shared" si="15"/>
        <v>11670.430243245568</v>
      </c>
    </row>
    <row r="45" spans="1:27">
      <c r="A45">
        <v>4.9000000000000004</v>
      </c>
      <c r="B45" s="4">
        <f t="shared" si="0"/>
        <v>37.283019677612401</v>
      </c>
      <c r="D45" s="4">
        <f t="shared" si="1"/>
        <v>10285</v>
      </c>
      <c r="E45">
        <v>4</v>
      </c>
      <c r="F45" s="4">
        <f t="shared" si="16"/>
        <v>97230.70173899291</v>
      </c>
      <c r="G45">
        <v>5.8</v>
      </c>
      <c r="H45" s="4">
        <f t="shared" si="19"/>
        <v>35.243419021963604</v>
      </c>
      <c r="J45" s="4">
        <f t="shared" si="20"/>
        <v>11.006</v>
      </c>
      <c r="K45">
        <v>3.75</v>
      </c>
      <c r="L45" s="4">
        <f t="shared" si="21"/>
        <v>12281.085316737177</v>
      </c>
      <c r="N45">
        <v>5.75</v>
      </c>
      <c r="O45" s="77">
        <v>34.826501950000001</v>
      </c>
      <c r="Q45" s="77"/>
      <c r="R45">
        <v>3.6</v>
      </c>
      <c r="S45" s="77">
        <v>9275.3959689999992</v>
      </c>
      <c r="T45">
        <v>6.1</v>
      </c>
      <c r="U45" s="4">
        <f t="shared" si="22"/>
        <v>33.435982413349436</v>
      </c>
      <c r="W45" s="4"/>
      <c r="X45">
        <v>3.6</v>
      </c>
      <c r="Y45" s="4">
        <f>1085.6*EXP(1.228*X45)</f>
        <v>90281.523721610152</v>
      </c>
      <c r="Z45">
        <f t="shared" si="8"/>
        <v>11.006</v>
      </c>
      <c r="AA45">
        <f t="shared" si="15"/>
        <v>21556.481285737176</v>
      </c>
    </row>
    <row r="46" spans="1:27">
      <c r="A46">
        <v>4.9000000000000004</v>
      </c>
      <c r="B46" s="4">
        <f t="shared" si="0"/>
        <v>37.283019677612401</v>
      </c>
      <c r="D46" s="4">
        <f t="shared" si="1"/>
        <v>10285</v>
      </c>
      <c r="E46">
        <v>4.2</v>
      </c>
      <c r="F46" s="4">
        <f t="shared" si="16"/>
        <v>108788.59712630445</v>
      </c>
      <c r="G46">
        <v>5.9</v>
      </c>
      <c r="H46" s="4">
        <f t="shared" si="19"/>
        <v>37.954907767473017</v>
      </c>
      <c r="I46">
        <v>3.1</v>
      </c>
      <c r="J46" s="4">
        <f t="shared" si="20"/>
        <v>3639.0232206255423</v>
      </c>
      <c r="L46" s="4"/>
      <c r="N46">
        <v>5.9</v>
      </c>
      <c r="O46" s="77">
        <v>38.980972690000002</v>
      </c>
      <c r="P46">
        <v>2.8</v>
      </c>
      <c r="Q46" s="77">
        <v>2075.7557400000001</v>
      </c>
      <c r="S46" s="77"/>
      <c r="T46">
        <v>6.3</v>
      </c>
      <c r="U46" s="4">
        <f t="shared" si="22"/>
        <v>38.409800095654404</v>
      </c>
      <c r="V46">
        <v>4.45</v>
      </c>
      <c r="W46" s="4">
        <f>1085.6*EXP(1.228*V46)</f>
        <v>256398.48839620646</v>
      </c>
      <c r="Y46" s="4"/>
      <c r="Z46">
        <f t="shared" si="8"/>
        <v>5714.7789606255428</v>
      </c>
    </row>
    <row r="47" spans="1:27">
      <c r="A47">
        <v>4.9000000000000004</v>
      </c>
      <c r="B47" s="4">
        <f t="shared" si="0"/>
        <v>37.283019677612401</v>
      </c>
      <c r="D47" s="4">
        <f t="shared" si="1"/>
        <v>10285</v>
      </c>
      <c r="E47">
        <v>4.3</v>
      </c>
      <c r="F47" s="4">
        <f t="shared" si="16"/>
        <v>115072.97854144599</v>
      </c>
    </row>
    <row r="48" spans="1:27">
      <c r="A48">
        <v>5</v>
      </c>
      <c r="B48" s="4">
        <f t="shared" si="0"/>
        <v>40.689415063458597</v>
      </c>
      <c r="D48" s="4">
        <f t="shared" si="1"/>
        <v>10285</v>
      </c>
      <c r="E48">
        <v>6</v>
      </c>
      <c r="F48" s="4">
        <f t="shared" si="16"/>
        <v>298953.04565174947</v>
      </c>
    </row>
    <row r="49" spans="1:27">
      <c r="A49">
        <v>5.05</v>
      </c>
      <c r="B49" s="4">
        <f t="shared" si="0"/>
        <v>42.50760437829436</v>
      </c>
      <c r="C49">
        <v>6.9</v>
      </c>
      <c r="D49" s="4">
        <f t="shared" si="1"/>
        <v>495578.87468248088</v>
      </c>
      <c r="F49" s="4"/>
      <c r="N49">
        <v>6</v>
      </c>
      <c r="O49" s="77">
        <v>42.022435209999998</v>
      </c>
      <c r="P49">
        <v>2.5</v>
      </c>
      <c r="Q49" s="77">
        <v>1184.0435279999999</v>
      </c>
      <c r="S49" s="77"/>
      <c r="T49">
        <v>6.4</v>
      </c>
      <c r="U49" s="4">
        <f t="shared" ref="U49:U54" si="23">0.4867*EXP(0.6934*T49)</f>
        <v>41.167645228791272</v>
      </c>
      <c r="V49">
        <v>4.8</v>
      </c>
      <c r="W49" s="4">
        <f>1085.6*EXP(1.228*V49)</f>
        <v>394071.68309489713</v>
      </c>
      <c r="Y49" s="4"/>
      <c r="Z49">
        <f t="shared" si="8"/>
        <v>1184.0435279999999</v>
      </c>
    </row>
    <row r="50" spans="1:27">
      <c r="A50">
        <v>5.2</v>
      </c>
      <c r="B50" s="4">
        <f t="shared" si="0"/>
        <v>48.464326269864586</v>
      </c>
      <c r="C50">
        <v>6.9</v>
      </c>
      <c r="D50" s="4">
        <f t="shared" si="1"/>
        <v>495578.87468248088</v>
      </c>
      <c r="F50" s="4"/>
      <c r="G50">
        <v>6.2</v>
      </c>
      <c r="H50" s="4">
        <f t="shared" ref="H50:H69" si="24">0.4787*EXP(0.7412*G50)</f>
        <v>47.406474747283646</v>
      </c>
      <c r="I50">
        <v>4.4000000000000004</v>
      </c>
      <c r="J50" s="4">
        <f t="shared" ref="J50:J69" si="25">11.006*EXP(1.8713*I50)</f>
        <v>41446.57712050846</v>
      </c>
      <c r="K50">
        <v>2.7</v>
      </c>
      <c r="L50" s="4">
        <f t="shared" ref="L50:L55" si="26">11.006*EXP(1.8713*K50)</f>
        <v>1721.4987878216755</v>
      </c>
      <c r="N50">
        <v>6.2</v>
      </c>
      <c r="O50" s="77">
        <v>48.83579984</v>
      </c>
      <c r="P50">
        <v>3.3</v>
      </c>
      <c r="Q50" s="77">
        <v>5290.8308800000004</v>
      </c>
      <c r="R50">
        <v>2</v>
      </c>
      <c r="S50" s="77">
        <v>464.53670640000001</v>
      </c>
      <c r="T50">
        <v>6.6</v>
      </c>
      <c r="U50" s="4">
        <f t="shared" si="23"/>
        <v>47.291597540001582</v>
      </c>
      <c r="V50">
        <v>4.4000000000000004</v>
      </c>
      <c r="W50" s="4">
        <f>1085.6*EXP(1.228*V50)</f>
        <v>241129.18555945973</v>
      </c>
      <c r="X50">
        <v>2.8</v>
      </c>
      <c r="Y50" s="4">
        <f>1085.6*EXP(1.228*X50)</f>
        <v>33802.4346019523</v>
      </c>
      <c r="Z50">
        <f t="shared" si="8"/>
        <v>46737.408000508462</v>
      </c>
      <c r="AA50">
        <f t="shared" si="15"/>
        <v>2186.0354942216754</v>
      </c>
    </row>
    <row r="51" spans="1:27">
      <c r="A51">
        <v>5.2</v>
      </c>
      <c r="B51" s="4">
        <f t="shared" si="0"/>
        <v>48.464326269864586</v>
      </c>
      <c r="C51">
        <v>7.5</v>
      </c>
      <c r="D51" s="4">
        <f t="shared" si="1"/>
        <v>694148.92241911159</v>
      </c>
      <c r="F51" s="4"/>
      <c r="G51">
        <v>6.2</v>
      </c>
      <c r="H51" s="4">
        <f t="shared" si="24"/>
        <v>47.406474747283646</v>
      </c>
      <c r="J51" s="4">
        <f t="shared" si="25"/>
        <v>11.006</v>
      </c>
      <c r="K51">
        <v>3</v>
      </c>
      <c r="L51" s="4">
        <f t="shared" si="26"/>
        <v>3017.9726549607776</v>
      </c>
      <c r="N51">
        <v>6.2</v>
      </c>
      <c r="O51" s="77">
        <v>48.83579984</v>
      </c>
      <c r="Q51" s="77"/>
      <c r="R51">
        <v>2.2000000000000002</v>
      </c>
      <c r="S51" s="77">
        <v>675.3969409</v>
      </c>
      <c r="T51">
        <v>6.6</v>
      </c>
      <c r="U51" s="4">
        <f t="shared" si="23"/>
        <v>47.291597540001582</v>
      </c>
      <c r="V51">
        <v>4.9000000000000004</v>
      </c>
      <c r="W51" s="4">
        <f>1085.6*EXP(1.228*V51)</f>
        <v>445560.40615554218</v>
      </c>
      <c r="X51">
        <v>3.1</v>
      </c>
      <c r="Y51" s="4">
        <f>1085.6*EXP(1.228*X51)</f>
        <v>48858.718111634284</v>
      </c>
      <c r="Z51">
        <f t="shared" si="8"/>
        <v>11.006</v>
      </c>
      <c r="AA51">
        <f t="shared" si="15"/>
        <v>3693.3695958607777</v>
      </c>
    </row>
    <row r="52" spans="1:27">
      <c r="A52">
        <v>5.0999999999999996</v>
      </c>
      <c r="B52" s="4">
        <f t="shared" si="0"/>
        <v>44.407038714210593</v>
      </c>
      <c r="C52">
        <v>6.9</v>
      </c>
      <c r="D52" s="4">
        <f t="shared" si="1"/>
        <v>495578.87468248088</v>
      </c>
      <c r="F52" s="4"/>
      <c r="G52">
        <v>6.2</v>
      </c>
      <c r="H52" s="4">
        <f t="shared" si="24"/>
        <v>47.406474747283646</v>
      </c>
      <c r="J52" s="4">
        <f t="shared" si="25"/>
        <v>11.006</v>
      </c>
      <c r="K52">
        <v>3.3</v>
      </c>
      <c r="L52" s="4">
        <f t="shared" si="26"/>
        <v>5290.8308797685204</v>
      </c>
      <c r="N52">
        <v>6.2</v>
      </c>
      <c r="O52" s="77">
        <v>48.83579984</v>
      </c>
      <c r="Q52" s="77"/>
      <c r="R52">
        <v>2.8</v>
      </c>
      <c r="S52" s="77">
        <v>2075.7557400000001</v>
      </c>
      <c r="T52">
        <v>6.6</v>
      </c>
      <c r="U52" s="4">
        <f t="shared" si="23"/>
        <v>47.291597540001582</v>
      </c>
      <c r="W52" s="4"/>
      <c r="X52">
        <v>3.3</v>
      </c>
      <c r="Y52" s="4">
        <f>1085.6*EXP(1.228*X52)</f>
        <v>62460.404597427412</v>
      </c>
      <c r="Z52">
        <f t="shared" si="8"/>
        <v>11.006</v>
      </c>
      <c r="AA52">
        <f t="shared" si="15"/>
        <v>7366.5866197685209</v>
      </c>
    </row>
    <row r="53" spans="1:27">
      <c r="A53">
        <v>5.0999999999999996</v>
      </c>
      <c r="B53" s="4">
        <f t="shared" si="0"/>
        <v>44.407038714210593</v>
      </c>
      <c r="C53">
        <v>7.1</v>
      </c>
      <c r="D53" s="4">
        <f t="shared" si="1"/>
        <v>554488.75281045702</v>
      </c>
      <c r="F53" s="4"/>
      <c r="G53">
        <v>6.2</v>
      </c>
      <c r="H53" s="4">
        <f t="shared" si="24"/>
        <v>47.406474747283646</v>
      </c>
      <c r="J53" s="4">
        <f t="shared" si="25"/>
        <v>11.006</v>
      </c>
      <c r="K53">
        <v>3.5</v>
      </c>
      <c r="L53" s="4">
        <f t="shared" si="26"/>
        <v>7692.4190094890973</v>
      </c>
      <c r="N53">
        <v>6.2</v>
      </c>
      <c r="O53" s="77">
        <v>48.83579984</v>
      </c>
      <c r="Q53" s="77"/>
      <c r="R53">
        <v>3.1</v>
      </c>
      <c r="S53" s="77">
        <v>3639.0232209999999</v>
      </c>
      <c r="T53">
        <v>6.6</v>
      </c>
      <c r="U53" s="4">
        <f t="shared" si="23"/>
        <v>47.291597540001582</v>
      </c>
      <c r="W53" s="4"/>
      <c r="X53">
        <v>3.6</v>
      </c>
      <c r="Y53" s="4">
        <f>1085.6*EXP(1.228*X53)</f>
        <v>90281.523721610152</v>
      </c>
      <c r="Z53">
        <f t="shared" si="8"/>
        <v>11.006</v>
      </c>
      <c r="AA53">
        <f t="shared" si="15"/>
        <v>11331.442230489098</v>
      </c>
    </row>
    <row r="54" spans="1:27">
      <c r="A54">
        <v>5.25</v>
      </c>
      <c r="B54" s="4">
        <f t="shared" si="0"/>
        <v>50.629934205912711</v>
      </c>
      <c r="C54">
        <v>5.9</v>
      </c>
      <c r="D54" s="4">
        <f t="shared" si="1"/>
        <v>282626.58058665029</v>
      </c>
      <c r="E54">
        <v>2.5499999999999998</v>
      </c>
      <c r="F54" s="4">
        <f t="shared" si="16"/>
        <v>43067.408299335293</v>
      </c>
      <c r="G54">
        <v>6.2</v>
      </c>
      <c r="H54" s="4">
        <f t="shared" si="24"/>
        <v>47.406474747283646</v>
      </c>
      <c r="J54" s="4">
        <f t="shared" si="25"/>
        <v>11.006</v>
      </c>
      <c r="K54">
        <v>3.7</v>
      </c>
      <c r="L54" s="4">
        <f t="shared" si="26"/>
        <v>11184.12430150066</v>
      </c>
      <c r="T54">
        <v>6.8</v>
      </c>
      <c r="U54" s="4">
        <f t="shared" si="23"/>
        <v>54.326527190371188</v>
      </c>
      <c r="V54">
        <v>4</v>
      </c>
      <c r="W54" s="4">
        <f>1085.6*EXP(1.228*V54)</f>
        <v>147544.94327512174</v>
      </c>
      <c r="Y54" s="4"/>
      <c r="Z54">
        <f t="shared" si="8"/>
        <v>11.006</v>
      </c>
      <c r="AA54">
        <f t="shared" si="15"/>
        <v>11184.12430150066</v>
      </c>
    </row>
    <row r="55" spans="1:27">
      <c r="A55">
        <v>5.25</v>
      </c>
      <c r="B55" s="4">
        <f t="shared" si="0"/>
        <v>50.629934205912711</v>
      </c>
      <c r="C55">
        <v>6.9</v>
      </c>
      <c r="D55" s="4">
        <f t="shared" si="1"/>
        <v>495578.87468248088</v>
      </c>
      <c r="E55">
        <v>3</v>
      </c>
      <c r="F55" s="4">
        <f t="shared" si="16"/>
        <v>55450.266676800056</v>
      </c>
      <c r="G55">
        <v>6.2</v>
      </c>
      <c r="H55" s="4">
        <f t="shared" si="24"/>
        <v>47.406474747283646</v>
      </c>
      <c r="J55" s="4">
        <f t="shared" si="25"/>
        <v>11.006</v>
      </c>
      <c r="K55">
        <v>3.9</v>
      </c>
      <c r="L55" s="4">
        <f t="shared" si="26"/>
        <v>16260.767417520747</v>
      </c>
      <c r="Z55">
        <f t="shared" si="8"/>
        <v>11.006</v>
      </c>
      <c r="AA55">
        <f t="shared" si="15"/>
        <v>16260.767417520747</v>
      </c>
    </row>
    <row r="56" spans="1:27">
      <c r="A56">
        <v>5.5</v>
      </c>
      <c r="B56" s="4">
        <f t="shared" si="0"/>
        <v>62.99894539396125</v>
      </c>
      <c r="C56">
        <v>6.5</v>
      </c>
      <c r="D56" s="4">
        <f t="shared" si="1"/>
        <v>395870.25675159763</v>
      </c>
      <c r="F56" s="4"/>
      <c r="G56">
        <v>6.5</v>
      </c>
      <c r="H56" s="4">
        <f t="shared" si="24"/>
        <v>59.21167986319859</v>
      </c>
      <c r="I56">
        <v>3.6</v>
      </c>
      <c r="J56" s="4">
        <f t="shared" si="25"/>
        <v>9275.3959689790372</v>
      </c>
      <c r="L56" s="4"/>
      <c r="N56">
        <v>6.5</v>
      </c>
      <c r="O56" s="77">
        <v>61.18203785</v>
      </c>
      <c r="P56">
        <v>3.1</v>
      </c>
      <c r="Q56" s="77">
        <v>3639.0232209999999</v>
      </c>
      <c r="S56" s="77"/>
      <c r="Z56">
        <f t="shared" si="8"/>
        <v>12914.419189979037</v>
      </c>
    </row>
    <row r="57" spans="1:27">
      <c r="A57">
        <v>5.7</v>
      </c>
      <c r="B57" s="4">
        <f t="shared" si="0"/>
        <v>75.036749470804494</v>
      </c>
      <c r="C57">
        <v>6.5</v>
      </c>
      <c r="D57" s="4">
        <f t="shared" si="1"/>
        <v>395870.25675159763</v>
      </c>
      <c r="E57">
        <v>2.9</v>
      </c>
      <c r="F57" s="4">
        <f t="shared" si="16"/>
        <v>52422.009045988692</v>
      </c>
      <c r="G57">
        <v>6.8</v>
      </c>
      <c r="H57" s="4">
        <f t="shared" si="24"/>
        <v>73.956628306828634</v>
      </c>
      <c r="I57">
        <v>4.8</v>
      </c>
      <c r="J57" s="4">
        <f t="shared" si="25"/>
        <v>87612.641742156702</v>
      </c>
      <c r="K57">
        <v>2.8</v>
      </c>
      <c r="L57" s="4">
        <f t="shared" ref="L57:L66" si="27">11.006*EXP(1.8713*K57)</f>
        <v>2075.7557404850695</v>
      </c>
      <c r="N57">
        <v>6.75</v>
      </c>
      <c r="O57" s="77">
        <v>73.823613550000005</v>
      </c>
      <c r="P57">
        <v>3.8</v>
      </c>
      <c r="Q57" s="77">
        <v>13485.638440000001</v>
      </c>
      <c r="R57">
        <v>1.8</v>
      </c>
      <c r="S57" s="77">
        <v>319.50744600000002</v>
      </c>
      <c r="T57">
        <v>7.2</v>
      </c>
      <c r="U57" s="4">
        <f>0.4867*EXP(0.6934*T57)</f>
        <v>71.691532031131374</v>
      </c>
      <c r="V57">
        <v>4.55</v>
      </c>
      <c r="W57" s="4">
        <f>1085.6*EXP(1.228*V57)</f>
        <v>289899.07046929363</v>
      </c>
      <c r="X57">
        <v>2.7</v>
      </c>
      <c r="Y57" s="4">
        <f>1085.6*EXP(1.228*X57)</f>
        <v>29896.243275365046</v>
      </c>
      <c r="Z57">
        <f t="shared" si="8"/>
        <v>101098.2801821567</v>
      </c>
      <c r="AA57">
        <f t="shared" si="15"/>
        <v>2395.2631864850696</v>
      </c>
    </row>
    <row r="58" spans="1:27">
      <c r="A58">
        <v>5.7</v>
      </c>
      <c r="B58" s="4">
        <f t="shared" si="0"/>
        <v>75.036749470804494</v>
      </c>
      <c r="D58" s="4">
        <f t="shared" si="1"/>
        <v>10285</v>
      </c>
      <c r="E58">
        <v>3.4</v>
      </c>
      <c r="F58" s="4">
        <f t="shared" si="16"/>
        <v>69416.634091242886</v>
      </c>
      <c r="G58">
        <v>6.8</v>
      </c>
      <c r="H58" s="4">
        <f t="shared" si="24"/>
        <v>73.956628306828634</v>
      </c>
      <c r="J58" s="4">
        <f t="shared" si="25"/>
        <v>11.006</v>
      </c>
      <c r="K58">
        <v>3.2</v>
      </c>
      <c r="L58" s="4">
        <f t="shared" si="27"/>
        <v>4387.8760725298916</v>
      </c>
      <c r="N58">
        <v>6.75</v>
      </c>
      <c r="O58" s="77">
        <v>73.823613550000005</v>
      </c>
      <c r="Q58" s="77"/>
      <c r="R58">
        <v>2.2999999999999998</v>
      </c>
      <c r="S58" s="77">
        <v>814.38284309999995</v>
      </c>
      <c r="T58">
        <v>7.2</v>
      </c>
      <c r="U58" s="4">
        <f>0.4867*EXP(0.6934*T58)</f>
        <v>71.691532031131374</v>
      </c>
      <c r="W58" s="4"/>
      <c r="X58">
        <v>3</v>
      </c>
      <c r="Y58" s="4">
        <f>1085.6*EXP(1.228*X58)</f>
        <v>43212.630687362929</v>
      </c>
      <c r="Z58">
        <f t="shared" si="8"/>
        <v>11.006</v>
      </c>
      <c r="AA58">
        <f t="shared" si="15"/>
        <v>5202.2589156298918</v>
      </c>
    </row>
    <row r="59" spans="1:27">
      <c r="A59">
        <v>5.7</v>
      </c>
      <c r="B59" s="4">
        <f t="shared" si="0"/>
        <v>75.036749470804494</v>
      </c>
      <c r="D59" s="4">
        <f t="shared" si="1"/>
        <v>10285</v>
      </c>
      <c r="E59">
        <v>3.45</v>
      </c>
      <c r="F59" s="4">
        <f t="shared" si="16"/>
        <v>71393.478176296441</v>
      </c>
      <c r="G59">
        <v>6.8</v>
      </c>
      <c r="H59" s="4">
        <f t="shared" si="24"/>
        <v>73.956628306828634</v>
      </c>
      <c r="J59" s="4">
        <f t="shared" si="25"/>
        <v>11.006</v>
      </c>
      <c r="K59">
        <v>3.65</v>
      </c>
      <c r="L59" s="4">
        <f t="shared" si="27"/>
        <v>10185.145137046386</v>
      </c>
      <c r="N59">
        <v>6.75</v>
      </c>
      <c r="O59" s="77">
        <v>73.823613550000005</v>
      </c>
      <c r="Q59" s="77"/>
      <c r="R59">
        <v>2.5</v>
      </c>
      <c r="S59" s="77">
        <v>1184.0435279999999</v>
      </c>
      <c r="T59">
        <v>7.2</v>
      </c>
      <c r="U59" s="4">
        <f>0.4867*EXP(0.6934*T59)</f>
        <v>71.691532031131374</v>
      </c>
      <c r="W59" s="4"/>
      <c r="X59">
        <v>4.1500000000000004</v>
      </c>
      <c r="Y59" s="4">
        <f>1085.6*EXP(1.228*X59)</f>
        <v>177386.83025309321</v>
      </c>
      <c r="Z59">
        <f t="shared" si="8"/>
        <v>11.006</v>
      </c>
      <c r="AA59">
        <f t="shared" si="15"/>
        <v>11369.188665046386</v>
      </c>
    </row>
    <row r="60" spans="1:27">
      <c r="A60" s="75">
        <v>5.7</v>
      </c>
      <c r="B60" s="76">
        <f t="shared" ref="B60" si="28">0.514*EXP(0.8743*A60)</f>
        <v>75.036749470804494</v>
      </c>
      <c r="C60" s="75"/>
      <c r="D60" s="76">
        <f t="shared" ref="D60" si="29">10285*EXP(0.5616*C60)</f>
        <v>10285</v>
      </c>
      <c r="E60" s="75">
        <v>3.45</v>
      </c>
      <c r="F60" s="76">
        <f t="shared" ref="F60" si="30">10285*EXP(0.5616*E60)</f>
        <v>71393.478176296441</v>
      </c>
      <c r="G60">
        <v>6.8</v>
      </c>
      <c r="H60" s="4">
        <f t="shared" si="24"/>
        <v>73.956628306828634</v>
      </c>
      <c r="J60" s="4">
        <f t="shared" si="25"/>
        <v>11.006</v>
      </c>
      <c r="K60">
        <v>4.0999999999999996</v>
      </c>
      <c r="L60" s="4">
        <f t="shared" si="27"/>
        <v>23641.775598937664</v>
      </c>
      <c r="Z60">
        <f t="shared" si="8"/>
        <v>11.006</v>
      </c>
      <c r="AA60">
        <f t="shared" si="15"/>
        <v>23641.775598937664</v>
      </c>
    </row>
    <row r="61" spans="1:27">
      <c r="A61">
        <v>6</v>
      </c>
      <c r="B61" s="4">
        <f>0.514*EXP(0.8743*A61)</f>
        <v>97.540530247523265</v>
      </c>
      <c r="D61" s="4">
        <f>10285*EXP(0.5616*C61)</f>
        <v>10285</v>
      </c>
      <c r="E61">
        <v>2.6</v>
      </c>
      <c r="F61" s="4">
        <f t="shared" ref="F61:F74" si="31">10285*EXP(0.5616*E61)</f>
        <v>44293.88020293149</v>
      </c>
      <c r="G61">
        <v>7.2</v>
      </c>
      <c r="H61" s="4">
        <f t="shared" si="24"/>
        <v>99.480218705142462</v>
      </c>
      <c r="J61" s="4">
        <f t="shared" si="25"/>
        <v>11.006</v>
      </c>
      <c r="K61">
        <v>2.9</v>
      </c>
      <c r="L61" s="4">
        <f t="shared" si="27"/>
        <v>2502.9131153841108</v>
      </c>
      <c r="N61">
        <v>7.1</v>
      </c>
      <c r="O61" s="77">
        <v>96.027407670000002</v>
      </c>
      <c r="P61">
        <v>1.9</v>
      </c>
      <c r="Q61" s="77">
        <v>385.25697480000002</v>
      </c>
      <c r="R61">
        <v>1.5</v>
      </c>
      <c r="S61" s="77">
        <v>182.25204260000001</v>
      </c>
      <c r="T61">
        <v>7.6</v>
      </c>
      <c r="U61" s="4">
        <f t="shared" ref="U61:U69" si="32">0.4867*EXP(0.6934*T61)</f>
        <v>94.607110573445354</v>
      </c>
      <c r="W61" s="4"/>
      <c r="X61">
        <v>2.6</v>
      </c>
      <c r="Y61" s="4">
        <f t="shared" ref="Y61:Y69" si="33">1085.6*EXP(1.228*X61)</f>
        <v>26441.44933655718</v>
      </c>
      <c r="Z61">
        <f t="shared" si="8"/>
        <v>396.26297480000005</v>
      </c>
      <c r="AA61">
        <f t="shared" si="15"/>
        <v>2685.1651579841109</v>
      </c>
    </row>
    <row r="62" spans="1:27">
      <c r="A62">
        <v>6.1</v>
      </c>
      <c r="B62" s="4">
        <f>0.514*EXP(0.8743*A62)</f>
        <v>106.45240527913893</v>
      </c>
      <c r="C62">
        <v>4.8499999999999996</v>
      </c>
      <c r="D62" s="4">
        <f>10285*EXP(0.5616*C62)</f>
        <v>156717.7666726376</v>
      </c>
      <c r="E62">
        <v>2.75</v>
      </c>
      <c r="F62" s="4">
        <f t="shared" si="31"/>
        <v>48186.867388117418</v>
      </c>
      <c r="G62">
        <v>7.2</v>
      </c>
      <c r="H62" s="4">
        <f t="shared" si="24"/>
        <v>99.480218705142462</v>
      </c>
      <c r="J62" s="4">
        <f t="shared" si="25"/>
        <v>11.006</v>
      </c>
      <c r="K62">
        <v>3.4</v>
      </c>
      <c r="L62" s="4">
        <f t="shared" si="27"/>
        <v>6379.5993632455675</v>
      </c>
      <c r="N62">
        <v>7.1</v>
      </c>
      <c r="O62" s="77">
        <v>96.027407670000002</v>
      </c>
      <c r="Q62" s="77"/>
      <c r="R62">
        <v>2.5</v>
      </c>
      <c r="S62" s="77">
        <v>1184.0435279999999</v>
      </c>
      <c r="T62">
        <v>7.6</v>
      </c>
      <c r="U62" s="4">
        <f t="shared" si="32"/>
        <v>94.607110573445354</v>
      </c>
      <c r="W62" s="4"/>
      <c r="X62">
        <v>2.8</v>
      </c>
      <c r="Y62" s="4">
        <f t="shared" si="33"/>
        <v>33802.4346019523</v>
      </c>
      <c r="Z62">
        <f t="shared" si="8"/>
        <v>11.006</v>
      </c>
      <c r="AA62">
        <f t="shared" si="15"/>
        <v>7563.6428912455676</v>
      </c>
    </row>
    <row r="63" spans="1:27">
      <c r="A63">
        <v>6.1</v>
      </c>
      <c r="B63" s="4">
        <f>0.514*EXP(0.8743*A63)</f>
        <v>106.45240527913893</v>
      </c>
      <c r="D63" s="4">
        <f>10285*EXP(0.5616*C63)</f>
        <v>10285</v>
      </c>
      <c r="E63">
        <v>3.3</v>
      </c>
      <c r="F63" s="4">
        <f t="shared" si="31"/>
        <v>65625.643272077054</v>
      </c>
      <c r="G63">
        <v>7.2</v>
      </c>
      <c r="H63" s="4">
        <f t="shared" si="24"/>
        <v>99.480218705142462</v>
      </c>
      <c r="J63" s="4">
        <f t="shared" si="25"/>
        <v>11.006</v>
      </c>
      <c r="K63">
        <v>3.6</v>
      </c>
      <c r="L63" s="4">
        <f t="shared" si="27"/>
        <v>9275.3959689790372</v>
      </c>
      <c r="N63">
        <v>7.1</v>
      </c>
      <c r="O63" s="77">
        <v>96.027407670000002</v>
      </c>
      <c r="Q63" s="77"/>
      <c r="R63">
        <v>2.7</v>
      </c>
      <c r="S63" s="77">
        <v>1721.4987880000001</v>
      </c>
      <c r="T63">
        <v>7.6</v>
      </c>
      <c r="U63" s="4">
        <f t="shared" si="32"/>
        <v>94.607110573445354</v>
      </c>
      <c r="W63" s="4"/>
      <c r="X63">
        <v>3.1</v>
      </c>
      <c r="Y63" s="4">
        <f t="shared" si="33"/>
        <v>48858.718111634284</v>
      </c>
      <c r="Z63">
        <f t="shared" ref="Z63:Z97" si="34">J63+Q63</f>
        <v>11.006</v>
      </c>
      <c r="AA63">
        <f t="shared" ref="AA63:AA96" si="35">L63+S63</f>
        <v>10996.894756979038</v>
      </c>
    </row>
    <row r="64" spans="1:27">
      <c r="A64">
        <v>6.1</v>
      </c>
      <c r="B64" s="4">
        <f t="shared" ref="B64:B79" si="36">0.514*EXP(0.8743*A64)</f>
        <v>106.45240527913893</v>
      </c>
      <c r="D64" s="4">
        <f t="shared" ref="D64:D79" si="37">10285*EXP(0.5616*C64)</f>
        <v>10285</v>
      </c>
      <c r="E64">
        <v>3.9</v>
      </c>
      <c r="F64" s="4">
        <f t="shared" si="31"/>
        <v>91920.725211622281</v>
      </c>
      <c r="G64">
        <v>7.2</v>
      </c>
      <c r="H64" s="4">
        <f t="shared" si="24"/>
        <v>99.480218705142462</v>
      </c>
      <c r="J64" s="4">
        <f t="shared" si="25"/>
        <v>11.006</v>
      </c>
      <c r="K64">
        <v>3.8</v>
      </c>
      <c r="L64" s="4">
        <f t="shared" si="27"/>
        <v>13485.638436327128</v>
      </c>
      <c r="N64">
        <v>7.1</v>
      </c>
      <c r="O64" s="77">
        <v>96.027407670000002</v>
      </c>
      <c r="Q64" s="77"/>
      <c r="R64">
        <v>3</v>
      </c>
      <c r="S64" s="77">
        <v>3017.972655</v>
      </c>
      <c r="T64">
        <v>7.6</v>
      </c>
      <c r="U64" s="4">
        <f t="shared" si="32"/>
        <v>94.607110573445354</v>
      </c>
      <c r="W64" s="4"/>
      <c r="X64">
        <v>3.4</v>
      </c>
      <c r="Y64" s="4">
        <f t="shared" si="33"/>
        <v>70621.372798226381</v>
      </c>
      <c r="Z64">
        <f t="shared" si="34"/>
        <v>11.006</v>
      </c>
      <c r="AA64">
        <f t="shared" si="35"/>
        <v>16503.61109132713</v>
      </c>
    </row>
    <row r="65" spans="1:27">
      <c r="A65">
        <v>6.1</v>
      </c>
      <c r="B65" s="4">
        <f t="shared" si="36"/>
        <v>106.45240527913893</v>
      </c>
      <c r="D65" s="4">
        <f t="shared" si="37"/>
        <v>10285</v>
      </c>
      <c r="E65">
        <v>3.75</v>
      </c>
      <c r="F65" s="4">
        <f t="shared" si="31"/>
        <v>84494.506727245665</v>
      </c>
      <c r="G65">
        <v>7.5</v>
      </c>
      <c r="H65" s="4">
        <f t="shared" si="24"/>
        <v>124.25287672392031</v>
      </c>
      <c r="J65" s="4">
        <f t="shared" si="25"/>
        <v>11.006</v>
      </c>
      <c r="K65">
        <v>4.05</v>
      </c>
      <c r="L65" s="4">
        <f t="shared" si="27"/>
        <v>21530.064337746404</v>
      </c>
      <c r="N65">
        <v>7.5</v>
      </c>
      <c r="O65" s="77">
        <v>129.69086369999999</v>
      </c>
      <c r="Q65" s="77"/>
      <c r="R65">
        <v>2.7</v>
      </c>
      <c r="S65" s="77">
        <v>1721.4987880000001</v>
      </c>
      <c r="T65">
        <v>8</v>
      </c>
      <c r="U65" s="4">
        <f t="shared" si="32"/>
        <v>124.84745572419128</v>
      </c>
      <c r="W65" s="4"/>
      <c r="X65">
        <v>3.6</v>
      </c>
      <c r="Y65" s="4">
        <f t="shared" si="33"/>
        <v>90281.523721610152</v>
      </c>
      <c r="Z65">
        <f t="shared" si="34"/>
        <v>11.006</v>
      </c>
      <c r="AA65">
        <f t="shared" si="35"/>
        <v>23251.563125746405</v>
      </c>
    </row>
    <row r="66" spans="1:27">
      <c r="A66">
        <v>6.5</v>
      </c>
      <c r="B66" s="4">
        <f t="shared" si="36"/>
        <v>151.02086203938228</v>
      </c>
      <c r="C66">
        <v>4.3499999999999996</v>
      </c>
      <c r="D66" s="4">
        <f t="shared" si="37"/>
        <v>118350.02214860421</v>
      </c>
      <c r="E66">
        <v>2.65</v>
      </c>
      <c r="F66" s="4">
        <f t="shared" si="31"/>
        <v>45555.279523563207</v>
      </c>
      <c r="G66">
        <v>7.7</v>
      </c>
      <c r="H66" s="4">
        <f t="shared" si="24"/>
        <v>144.10739459632649</v>
      </c>
      <c r="I66">
        <v>4</v>
      </c>
      <c r="J66" s="4">
        <f t="shared" si="25"/>
        <v>19606.973615312054</v>
      </c>
      <c r="K66">
        <v>3.5</v>
      </c>
      <c r="L66" s="4">
        <f t="shared" si="27"/>
        <v>7692.4190094890973</v>
      </c>
      <c r="N66">
        <v>7.8</v>
      </c>
      <c r="O66" s="77">
        <v>162.47816889999999</v>
      </c>
      <c r="P66">
        <v>3.4</v>
      </c>
      <c r="Q66" s="77">
        <v>6379.5993630000003</v>
      </c>
      <c r="R66">
        <v>2.7</v>
      </c>
      <c r="S66" s="77">
        <v>1721.4987880000001</v>
      </c>
      <c r="T66">
        <v>8.1999999999999993</v>
      </c>
      <c r="U66" s="4">
        <f t="shared" si="32"/>
        <v>143.41931867097409</v>
      </c>
      <c r="V66">
        <v>3.45</v>
      </c>
      <c r="W66" s="4">
        <f>1085.6*EXP(1.228*V66)</f>
        <v>75093.411823701405</v>
      </c>
      <c r="X66">
        <v>2.75</v>
      </c>
      <c r="Y66" s="4">
        <f t="shared" si="33"/>
        <v>31789.397731941739</v>
      </c>
      <c r="Z66">
        <f t="shared" si="34"/>
        <v>25986.572978312055</v>
      </c>
      <c r="AA66">
        <f t="shared" si="35"/>
        <v>9413.9177974890972</v>
      </c>
    </row>
    <row r="67" spans="1:27">
      <c r="A67">
        <v>6.5</v>
      </c>
      <c r="B67" s="4">
        <f t="shared" si="36"/>
        <v>151.02086203938228</v>
      </c>
      <c r="D67" s="4">
        <f t="shared" si="37"/>
        <v>10285</v>
      </c>
      <c r="E67">
        <v>3.1</v>
      </c>
      <c r="F67" s="4">
        <f t="shared" si="31"/>
        <v>58653.457402421314</v>
      </c>
      <c r="G67">
        <v>7.7</v>
      </c>
      <c r="H67" s="4">
        <f t="shared" si="24"/>
        <v>144.10739459632649</v>
      </c>
      <c r="I67">
        <v>4.3</v>
      </c>
      <c r="J67" s="4">
        <f t="shared" si="25"/>
        <v>34373.134989206163</v>
      </c>
      <c r="L67" s="4"/>
      <c r="N67">
        <v>7.8</v>
      </c>
      <c r="O67" s="77">
        <v>162.47816889999999</v>
      </c>
      <c r="Q67" s="77"/>
      <c r="R67">
        <v>3.1</v>
      </c>
      <c r="S67" s="77">
        <v>3639.0232209999999</v>
      </c>
      <c r="T67">
        <v>8.1999999999999993</v>
      </c>
      <c r="U67" s="4">
        <f t="shared" si="32"/>
        <v>143.41931867097409</v>
      </c>
      <c r="V67">
        <v>3.9</v>
      </c>
      <c r="W67" s="4">
        <f>1085.6*EXP(1.228*V67)</f>
        <v>130494.72826872091</v>
      </c>
      <c r="X67">
        <v>3.1</v>
      </c>
      <c r="Y67" s="4">
        <f t="shared" si="33"/>
        <v>48858.718111634284</v>
      </c>
      <c r="Z67">
        <f t="shared" si="34"/>
        <v>34373.134989206163</v>
      </c>
      <c r="AA67">
        <f t="shared" si="35"/>
        <v>3639.0232209999999</v>
      </c>
    </row>
    <row r="68" spans="1:27">
      <c r="A68">
        <v>6.8</v>
      </c>
      <c r="B68" s="4">
        <f t="shared" si="36"/>
        <v>196.31254106350696</v>
      </c>
      <c r="C68">
        <v>4.7</v>
      </c>
      <c r="D68" s="4">
        <f t="shared" si="37"/>
        <v>144056.63532260543</v>
      </c>
      <c r="E68">
        <v>1.8</v>
      </c>
      <c r="F68" s="4">
        <f t="shared" si="31"/>
        <v>28263.36726227339</v>
      </c>
      <c r="G68">
        <v>8.1</v>
      </c>
      <c r="H68" s="4">
        <f t="shared" si="24"/>
        <v>193.84111282081179</v>
      </c>
      <c r="I68">
        <v>4</v>
      </c>
      <c r="J68" s="4">
        <f t="shared" si="25"/>
        <v>19606.973615312054</v>
      </c>
      <c r="K68">
        <v>3.1</v>
      </c>
      <c r="L68" s="4">
        <f>11.006*EXP(1.8713*K68)</f>
        <v>3639.0232206255423</v>
      </c>
      <c r="N68">
        <v>8</v>
      </c>
      <c r="O68" s="77">
        <v>188.82178759999999</v>
      </c>
      <c r="P68">
        <v>2.75</v>
      </c>
      <c r="Q68" s="77">
        <v>1890.3467909999999</v>
      </c>
      <c r="R68">
        <v>2</v>
      </c>
      <c r="S68" s="77">
        <v>464.53670640000001</v>
      </c>
      <c r="T68">
        <v>8.6</v>
      </c>
      <c r="U68" s="4">
        <f t="shared" si="32"/>
        <v>189.26206422790702</v>
      </c>
      <c r="V68">
        <v>3.7</v>
      </c>
      <c r="W68" s="4">
        <f>1085.6*EXP(1.228*V68)</f>
        <v>102077.5511242582</v>
      </c>
      <c r="X68">
        <v>2.25</v>
      </c>
      <c r="Y68" s="4">
        <f t="shared" si="33"/>
        <v>17203.843695781467</v>
      </c>
      <c r="Z68">
        <f t="shared" si="34"/>
        <v>21497.320406312054</v>
      </c>
      <c r="AA68">
        <f t="shared" si="35"/>
        <v>4103.5599270255425</v>
      </c>
    </row>
    <row r="69" spans="1:27">
      <c r="A69">
        <v>6.8</v>
      </c>
      <c r="B69" s="4">
        <f t="shared" si="36"/>
        <v>196.31254106350696</v>
      </c>
      <c r="C69">
        <v>4.8</v>
      </c>
      <c r="D69" s="4">
        <f t="shared" si="37"/>
        <v>152378.34242852696</v>
      </c>
      <c r="E69">
        <v>2.1</v>
      </c>
      <c r="F69" s="4">
        <f t="shared" si="31"/>
        <v>33449.823937414694</v>
      </c>
      <c r="G69">
        <v>8.1</v>
      </c>
      <c r="H69" s="4">
        <f t="shared" si="24"/>
        <v>193.84111282081179</v>
      </c>
      <c r="I69">
        <v>4.5</v>
      </c>
      <c r="J69" s="4">
        <f t="shared" si="25"/>
        <v>49975.620656820618</v>
      </c>
      <c r="K69">
        <v>3.35</v>
      </c>
      <c r="L69" s="4">
        <f>11.006*EXP(1.8713*K69)</f>
        <v>5809.7660289904361</v>
      </c>
      <c r="N69">
        <v>8</v>
      </c>
      <c r="O69" s="77">
        <v>188.82178759999999</v>
      </c>
      <c r="Q69" s="77"/>
      <c r="R69">
        <v>2.35</v>
      </c>
      <c r="S69" s="77">
        <v>894.2591218</v>
      </c>
      <c r="T69">
        <v>8.6</v>
      </c>
      <c r="U69" s="4">
        <f t="shared" si="32"/>
        <v>189.26206422790702</v>
      </c>
      <c r="W69" s="4"/>
      <c r="X69">
        <v>2.6</v>
      </c>
      <c r="Y69" s="4">
        <f t="shared" si="33"/>
        <v>26441.44933655718</v>
      </c>
      <c r="Z69">
        <f t="shared" si="34"/>
        <v>49975.620656820618</v>
      </c>
      <c r="AA69">
        <f t="shared" si="35"/>
        <v>6704.0251507904359</v>
      </c>
    </row>
    <row r="70" spans="1:27">
      <c r="A70">
        <v>6.8</v>
      </c>
      <c r="B70" s="4">
        <f t="shared" si="36"/>
        <v>196.31254106350696</v>
      </c>
      <c r="D70" s="4">
        <f t="shared" si="37"/>
        <v>10285</v>
      </c>
      <c r="E70">
        <v>2.65</v>
      </c>
      <c r="F70" s="4">
        <f t="shared" si="31"/>
        <v>45555.279523563207</v>
      </c>
      <c r="N70">
        <v>8</v>
      </c>
      <c r="O70" s="77">
        <v>188.82178759999999</v>
      </c>
      <c r="Q70" s="77"/>
      <c r="R70">
        <v>3.05</v>
      </c>
      <c r="S70" s="77">
        <v>3313.9813779999999</v>
      </c>
      <c r="AA70">
        <f t="shared" si="35"/>
        <v>3313.9813779999999</v>
      </c>
    </row>
    <row r="71" spans="1:27">
      <c r="A71">
        <v>7.1</v>
      </c>
      <c r="B71" s="4">
        <f t="shared" si="36"/>
        <v>255.18735132607893</v>
      </c>
      <c r="C71">
        <v>5.2</v>
      </c>
      <c r="D71" s="4">
        <f t="shared" si="37"/>
        <v>190758.17437351932</v>
      </c>
      <c r="E71">
        <v>3.7</v>
      </c>
      <c r="F71" s="4">
        <f t="shared" si="31"/>
        <v>82154.902745061103</v>
      </c>
      <c r="G71">
        <v>8.3000000000000007</v>
      </c>
      <c r="H71" s="4">
        <f t="shared" ref="H71:H76" si="38">0.4787*EXP(0.7412*G71)</f>
        <v>224.81521933956267</v>
      </c>
      <c r="I71">
        <v>4.25</v>
      </c>
      <c r="J71" s="4">
        <f t="shared" ref="J71:J76" si="39">11.006*EXP(1.8713*I71)</f>
        <v>31302.886059070122</v>
      </c>
      <c r="K71">
        <v>3.6</v>
      </c>
      <c r="L71" s="4">
        <f>11.006*EXP(1.8713*K71)</f>
        <v>9275.3959689790372</v>
      </c>
      <c r="N71">
        <v>8.25</v>
      </c>
      <c r="O71" s="77">
        <v>227.83658679999999</v>
      </c>
      <c r="P71">
        <v>3.35</v>
      </c>
      <c r="Q71" s="77">
        <v>5809.7660290000003</v>
      </c>
      <c r="R71">
        <v>2.65</v>
      </c>
      <c r="S71" s="77">
        <v>1567.732487</v>
      </c>
      <c r="T71">
        <v>8.9</v>
      </c>
      <c r="U71" s="4">
        <f>0.4867*EXP(0.6934*T71)</f>
        <v>233.02660645892701</v>
      </c>
      <c r="V71">
        <v>3.85</v>
      </c>
      <c r="W71" s="4">
        <f>1085.6*EXP(1.228*V71)</f>
        <v>122723.37385474707</v>
      </c>
      <c r="X71">
        <v>3.4</v>
      </c>
      <c r="Y71" s="4">
        <f>1085.6*EXP(1.228*X71)</f>
        <v>70621.372798226381</v>
      </c>
      <c r="Z71">
        <f t="shared" si="34"/>
        <v>37112.652088070121</v>
      </c>
      <c r="AA71">
        <f t="shared" si="35"/>
        <v>10843.128455979037</v>
      </c>
    </row>
    <row r="72" spans="1:27">
      <c r="A72">
        <v>7.3</v>
      </c>
      <c r="B72" s="4">
        <f t="shared" si="36"/>
        <v>303.94841103814156</v>
      </c>
      <c r="C72">
        <v>4.8</v>
      </c>
      <c r="D72" s="4">
        <f t="shared" si="37"/>
        <v>152378.34242852696</v>
      </c>
      <c r="E72">
        <v>2</v>
      </c>
      <c r="F72" s="4">
        <f t="shared" si="31"/>
        <v>31623.057527467863</v>
      </c>
      <c r="G72">
        <v>8.6999999999999993</v>
      </c>
      <c r="H72" s="4">
        <f t="shared" si="38"/>
        <v>302.40247155885061</v>
      </c>
      <c r="I72">
        <v>4.1500000000000004</v>
      </c>
      <c r="J72" s="4">
        <f t="shared" si="39"/>
        <v>25960.607674107425</v>
      </c>
      <c r="K72">
        <v>2.9</v>
      </c>
      <c r="L72" s="4">
        <f>11.006*EXP(1.8713*K72)</f>
        <v>2502.9131153841108</v>
      </c>
      <c r="N72">
        <v>8.5</v>
      </c>
      <c r="O72" s="77">
        <v>274.91271499999999</v>
      </c>
      <c r="P72">
        <v>3.2</v>
      </c>
      <c r="Q72" s="77">
        <v>4387.8760730000004</v>
      </c>
      <c r="R72">
        <v>2.2999999999999998</v>
      </c>
      <c r="S72" s="77">
        <v>814.38284309999995</v>
      </c>
      <c r="T72">
        <v>9.3000000000000007</v>
      </c>
      <c r="U72" s="4">
        <f>0.4867*EXP(0.6934*T72)</f>
        <v>307.51154702958792</v>
      </c>
      <c r="V72">
        <v>3.9</v>
      </c>
      <c r="W72" s="4">
        <f>1085.6*EXP(1.228*V72)</f>
        <v>130494.72826872091</v>
      </c>
      <c r="X72">
        <v>2.4</v>
      </c>
      <c r="Y72" s="4">
        <f>1085.6*EXP(1.228*X72)</f>
        <v>20683.428612486379</v>
      </c>
      <c r="Z72">
        <f t="shared" si="34"/>
        <v>30348.483747107424</v>
      </c>
      <c r="AA72">
        <f t="shared" si="35"/>
        <v>3317.295958484111</v>
      </c>
    </row>
    <row r="73" spans="1:27">
      <c r="A73">
        <v>7.5</v>
      </c>
      <c r="B73" s="4">
        <f t="shared" si="36"/>
        <v>362.02670740745964</v>
      </c>
      <c r="C73">
        <v>5</v>
      </c>
      <c r="D73" s="4">
        <f t="shared" si="37"/>
        <v>170491.68430081499</v>
      </c>
      <c r="E73">
        <v>1.75</v>
      </c>
      <c r="F73" s="4">
        <f t="shared" si="31"/>
        <v>27480.770982846414</v>
      </c>
      <c r="G73">
        <v>8.9</v>
      </c>
      <c r="H73" s="4">
        <f t="shared" si="38"/>
        <v>350.72372925951208</v>
      </c>
      <c r="I73">
        <v>3.85</v>
      </c>
      <c r="J73" s="4">
        <f t="shared" si="39"/>
        <v>14808.336506505171</v>
      </c>
      <c r="K73">
        <v>3.2</v>
      </c>
      <c r="L73" s="4">
        <f>11.006*EXP(1.8713*K73)</f>
        <v>4387.8760725298916</v>
      </c>
      <c r="N73">
        <v>8.8000000000000007</v>
      </c>
      <c r="O73" s="77">
        <v>344.4137331</v>
      </c>
      <c r="P73">
        <v>1.4</v>
      </c>
      <c r="Q73" s="77">
        <v>151.1481647</v>
      </c>
      <c r="R73">
        <v>2.6</v>
      </c>
      <c r="S73" s="77">
        <v>1427.7007739999999</v>
      </c>
      <c r="T73">
        <v>9.5</v>
      </c>
      <c r="U73" s="4">
        <f>0.4867*EXP(0.6934*T73)</f>
        <v>353.25586975413984</v>
      </c>
      <c r="V73">
        <v>3.9</v>
      </c>
      <c r="W73" s="4">
        <f>1085.6*EXP(1.228*V73)</f>
        <v>130494.72826872091</v>
      </c>
      <c r="X73">
        <v>2.5</v>
      </c>
      <c r="Y73" s="4">
        <f>1085.6*EXP(1.228*X73)</f>
        <v>23385.889543982616</v>
      </c>
      <c r="Z73">
        <f t="shared" si="34"/>
        <v>14959.484671205171</v>
      </c>
      <c r="AA73">
        <f t="shared" si="35"/>
        <v>5815.5768465298916</v>
      </c>
    </row>
    <row r="74" spans="1:27">
      <c r="A74">
        <v>7.5</v>
      </c>
      <c r="B74" s="4">
        <f t="shared" si="36"/>
        <v>362.02670740745964</v>
      </c>
      <c r="D74" s="4">
        <f t="shared" si="37"/>
        <v>10285</v>
      </c>
      <c r="E74">
        <v>2.2000000000000002</v>
      </c>
      <c r="F74" s="4">
        <f t="shared" si="31"/>
        <v>35382.117003460851</v>
      </c>
      <c r="G74">
        <v>8.9</v>
      </c>
      <c r="H74" s="4">
        <f t="shared" si="38"/>
        <v>350.72372925951208</v>
      </c>
      <c r="J74" s="4">
        <f t="shared" si="39"/>
        <v>11.006</v>
      </c>
      <c r="K74">
        <v>3.4</v>
      </c>
      <c r="L74" s="4">
        <f>11.006*EXP(1.8713*K74)</f>
        <v>6379.5993632455675</v>
      </c>
      <c r="T74">
        <v>9.5</v>
      </c>
      <c r="U74" s="4">
        <f>0.4867*EXP(0.6934*T74)</f>
        <v>353.25586975413984</v>
      </c>
      <c r="W74" s="4"/>
      <c r="X74">
        <v>3</v>
      </c>
      <c r="Y74" s="4">
        <f>1085.6*EXP(1.228*X74)</f>
        <v>43212.630687362929</v>
      </c>
      <c r="Z74">
        <f t="shared" si="34"/>
        <v>11.006</v>
      </c>
      <c r="AA74">
        <f t="shared" si="35"/>
        <v>6379.5993632455675</v>
      </c>
    </row>
    <row r="75" spans="1:27">
      <c r="A75">
        <v>7.65</v>
      </c>
      <c r="B75" s="4">
        <f t="shared" si="36"/>
        <v>412.75862808112328</v>
      </c>
      <c r="C75">
        <v>3.05</v>
      </c>
      <c r="D75" s="4">
        <f t="shared" si="37"/>
        <v>57029.377118118638</v>
      </c>
      <c r="F75" s="4"/>
      <c r="G75">
        <v>9.1</v>
      </c>
      <c r="H75" s="4">
        <f t="shared" si="38"/>
        <v>406.76629933482815</v>
      </c>
      <c r="I75">
        <v>3.5</v>
      </c>
      <c r="J75" s="4">
        <f t="shared" si="39"/>
        <v>7692.4190094890973</v>
      </c>
      <c r="L75" s="4"/>
      <c r="N75">
        <v>9</v>
      </c>
      <c r="O75" s="77">
        <v>400.2557218</v>
      </c>
      <c r="P75">
        <v>0.5</v>
      </c>
      <c r="Q75" s="77">
        <v>28.05285975</v>
      </c>
      <c r="S75" s="77"/>
      <c r="Z75">
        <f t="shared" si="34"/>
        <v>7720.471869239097</v>
      </c>
    </row>
    <row r="76" spans="1:27">
      <c r="A76">
        <v>7.65</v>
      </c>
      <c r="B76" s="4">
        <f t="shared" si="36"/>
        <v>412.75862808112328</v>
      </c>
      <c r="C76">
        <v>4.0999999999999996</v>
      </c>
      <c r="D76" s="4">
        <f t="shared" si="37"/>
        <v>102847.41921794228</v>
      </c>
      <c r="F76" s="4"/>
      <c r="G76">
        <v>9.1</v>
      </c>
      <c r="H76" s="4">
        <f t="shared" si="38"/>
        <v>406.76629933482815</v>
      </c>
      <c r="I76">
        <v>3.8</v>
      </c>
      <c r="J76" s="4">
        <f t="shared" si="39"/>
        <v>13485.638436327128</v>
      </c>
      <c r="L76" s="4"/>
      <c r="N76">
        <v>9</v>
      </c>
      <c r="O76" s="77">
        <v>400.2557218</v>
      </c>
      <c r="P76">
        <v>2.5</v>
      </c>
      <c r="Q76" s="77">
        <v>1184.0435279999999</v>
      </c>
      <c r="S76" s="77"/>
      <c r="Z76">
        <f t="shared" si="34"/>
        <v>14669.681964327128</v>
      </c>
    </row>
    <row r="77" spans="1:27">
      <c r="A77">
        <v>7.7</v>
      </c>
      <c r="B77" s="4">
        <f t="shared" si="36"/>
        <v>431.20257292557335</v>
      </c>
      <c r="C77">
        <v>3.9</v>
      </c>
      <c r="D77" s="4">
        <f t="shared" si="37"/>
        <v>91920.725211622281</v>
      </c>
      <c r="F77" s="4"/>
      <c r="N77">
        <v>9.15</v>
      </c>
      <c r="O77" s="77">
        <v>448.00242589999999</v>
      </c>
      <c r="P77">
        <v>3.05</v>
      </c>
      <c r="Q77" s="77">
        <v>3313.9813779999999</v>
      </c>
      <c r="S77" s="77"/>
      <c r="T77">
        <v>9.8000000000000007</v>
      </c>
      <c r="U77" s="4">
        <f>0.4867*EXP(0.6934*T77)</f>
        <v>434.94197781430512</v>
      </c>
      <c r="W77" s="4"/>
      <c r="X77">
        <v>2.8</v>
      </c>
      <c r="Y77" s="4">
        <f>1085.6*EXP(1.228*X77)</f>
        <v>33802.4346019523</v>
      </c>
      <c r="Z77">
        <f t="shared" si="34"/>
        <v>3313.9813779999999</v>
      </c>
    </row>
    <row r="78" spans="1:27">
      <c r="A78">
        <v>7.7</v>
      </c>
      <c r="B78" s="4">
        <f t="shared" si="36"/>
        <v>431.20257292557335</v>
      </c>
      <c r="C78">
        <v>5.3</v>
      </c>
      <c r="D78" s="4">
        <f t="shared" si="37"/>
        <v>201777.68521827686</v>
      </c>
      <c r="F78" s="4"/>
      <c r="N78">
        <v>9.15</v>
      </c>
      <c r="O78" s="77">
        <v>448.00242589999999</v>
      </c>
      <c r="P78">
        <v>3.3</v>
      </c>
      <c r="Q78" s="77">
        <v>5290.8308800000004</v>
      </c>
      <c r="S78" s="77"/>
      <c r="T78">
        <v>9.8000000000000007</v>
      </c>
      <c r="U78" s="4">
        <f>0.4867*EXP(0.6934*T78)</f>
        <v>434.94197781430512</v>
      </c>
      <c r="W78" s="4"/>
      <c r="X78">
        <v>3.5</v>
      </c>
      <c r="Y78" s="4">
        <f>1085.6*EXP(1.228*X78)</f>
        <v>79848.63895856803</v>
      </c>
      <c r="Z78">
        <f t="shared" si="34"/>
        <v>5290.8308800000004</v>
      </c>
    </row>
    <row r="79" spans="1:27">
      <c r="A79">
        <v>7.8</v>
      </c>
      <c r="B79" s="4">
        <f t="shared" si="36"/>
        <v>470.5997694906543</v>
      </c>
      <c r="C79">
        <v>5.65</v>
      </c>
      <c r="D79" s="4">
        <f t="shared" si="37"/>
        <v>245605.48353113755</v>
      </c>
      <c r="E79">
        <v>3.6</v>
      </c>
      <c r="F79" s="4">
        <f t="shared" ref="F79" si="40">10285*EXP(0.5616*E79)</f>
        <v>77668.247836864102</v>
      </c>
      <c r="G79">
        <v>9.3000000000000007</v>
      </c>
      <c r="H79" s="4">
        <f>0.4787*EXP(0.7412*G79)</f>
        <v>471.76397965397643</v>
      </c>
      <c r="I79">
        <v>3.4</v>
      </c>
      <c r="J79" s="4">
        <f>11.006*EXP(1.8713*I79)</f>
        <v>6379.5993632455675</v>
      </c>
      <c r="K79">
        <v>3.2</v>
      </c>
      <c r="L79" s="4">
        <f>11.006*EXP(1.8713*K79)</f>
        <v>4387.8760725298916</v>
      </c>
      <c r="N79">
        <v>9.25</v>
      </c>
      <c r="O79" s="77">
        <v>482.95749480000001</v>
      </c>
      <c r="P79">
        <v>3.65</v>
      </c>
      <c r="Q79" s="77">
        <v>10185.145140000001</v>
      </c>
      <c r="R79">
        <v>3.45</v>
      </c>
      <c r="S79" s="77">
        <v>7005.323077</v>
      </c>
      <c r="T79">
        <v>9.9</v>
      </c>
      <c r="U79" s="4">
        <f>0.4867*EXP(0.6934*T79)</f>
        <v>466.17105512595271</v>
      </c>
      <c r="V79">
        <v>3.95</v>
      </c>
      <c r="W79" s="4">
        <f>1085.6*EXP(1.228*V79)</f>
        <v>138758.19716366619</v>
      </c>
      <c r="X79">
        <v>3.4</v>
      </c>
      <c r="Y79" s="4">
        <f>1085.6*EXP(1.228*X79)</f>
        <v>70621.372798226381</v>
      </c>
      <c r="Z79">
        <f t="shared" si="34"/>
        <v>16564.744503245569</v>
      </c>
      <c r="AA79">
        <f t="shared" si="35"/>
        <v>11393.199149529892</v>
      </c>
    </row>
    <row r="80" spans="1:27">
      <c r="A80" s="75">
        <v>7.8</v>
      </c>
      <c r="B80" s="76">
        <f t="shared" ref="B80:B81" si="41">0.514*EXP(0.8743*A80)</f>
        <v>470.5997694906543</v>
      </c>
      <c r="C80" s="75">
        <v>5.65</v>
      </c>
      <c r="D80" s="76">
        <f t="shared" ref="D80:D81" si="42">10285*EXP(0.5616*C80)</f>
        <v>245605.48353113755</v>
      </c>
      <c r="E80" s="75">
        <v>3.6</v>
      </c>
      <c r="F80" s="76">
        <f t="shared" ref="F80:F81" si="43">10285*EXP(0.5616*E80)</f>
        <v>77668.247836864102</v>
      </c>
      <c r="G80">
        <v>9.3000000000000007</v>
      </c>
      <c r="H80" s="4">
        <f>0.4787*EXP(0.7412*G80)</f>
        <v>471.76397965397643</v>
      </c>
      <c r="I80">
        <v>3.9</v>
      </c>
      <c r="J80" s="4">
        <f>11.006*EXP(1.8713*I80)</f>
        <v>16260.767417520747</v>
      </c>
      <c r="L80" s="4"/>
      <c r="N80">
        <v>9.25</v>
      </c>
      <c r="O80" s="77">
        <v>482.95749480000001</v>
      </c>
      <c r="P80">
        <v>1.9</v>
      </c>
      <c r="Q80" s="77">
        <v>385.25697480000002</v>
      </c>
      <c r="R80">
        <v>2.65</v>
      </c>
      <c r="S80" s="77">
        <v>1567.732487</v>
      </c>
      <c r="Z80">
        <f t="shared" si="34"/>
        <v>16646.024392320745</v>
      </c>
      <c r="AA80">
        <f t="shared" si="35"/>
        <v>1567.732487</v>
      </c>
    </row>
    <row r="81" spans="1:27">
      <c r="A81" s="75">
        <v>7.8</v>
      </c>
      <c r="B81" s="76">
        <f t="shared" si="41"/>
        <v>470.5997694906543</v>
      </c>
      <c r="C81" s="75">
        <v>5.65</v>
      </c>
      <c r="D81" s="76">
        <f t="shared" si="42"/>
        <v>245605.48353113755</v>
      </c>
      <c r="E81" s="75">
        <v>3.6</v>
      </c>
      <c r="F81" s="76">
        <f t="shared" si="43"/>
        <v>77668.247836864102</v>
      </c>
      <c r="G81">
        <v>9.3000000000000007</v>
      </c>
      <c r="H81" s="4">
        <f>0.4787*EXP(0.7412*G81)</f>
        <v>471.76397965397643</v>
      </c>
      <c r="I81">
        <v>4.2</v>
      </c>
      <c r="J81" s="4">
        <f>11.006*EXP(1.8713*I81)</f>
        <v>28506.875382033828</v>
      </c>
      <c r="L81" s="4"/>
      <c r="N81">
        <v>9.25</v>
      </c>
      <c r="O81" s="77">
        <v>482.95749480000001</v>
      </c>
      <c r="P81">
        <v>2</v>
      </c>
      <c r="Q81" s="77">
        <v>464.53670640000001</v>
      </c>
      <c r="S81" s="77"/>
      <c r="Z81">
        <f t="shared" si="34"/>
        <v>28971.412088433826</v>
      </c>
    </row>
    <row r="82" spans="1:27">
      <c r="A82">
        <v>7.9</v>
      </c>
      <c r="B82" s="4">
        <f>0.514*EXP(0.8743*A82)</f>
        <v>513.59652504411702</v>
      </c>
      <c r="C82">
        <v>3</v>
      </c>
      <c r="D82" s="4">
        <f>10285*EXP(0.5616*C82)</f>
        <v>55450.266676800056</v>
      </c>
      <c r="E82">
        <v>1.8</v>
      </c>
      <c r="F82" s="4">
        <f>10285*EXP(0.5616*E82)</f>
        <v>28263.36726227339</v>
      </c>
      <c r="N82">
        <v>9.25</v>
      </c>
      <c r="O82" s="77">
        <v>482.95749480000001</v>
      </c>
      <c r="P82">
        <v>2.4500000000000002</v>
      </c>
      <c r="Q82" s="77">
        <v>1078.283365</v>
      </c>
      <c r="S82" s="77"/>
      <c r="T82">
        <v>10</v>
      </c>
      <c r="U82" s="4">
        <f>0.4867*EXP(0.6934*T82)</f>
        <v>499.64239765798106</v>
      </c>
      <c r="V82">
        <v>3</v>
      </c>
      <c r="W82" s="4">
        <f>1085.6*EXP(1.228*V82)</f>
        <v>43212.630687362929</v>
      </c>
      <c r="X82">
        <v>2.4</v>
      </c>
      <c r="Y82" s="4">
        <f>1085.6*EXP(1.228*X82)</f>
        <v>20683.428612486379</v>
      </c>
      <c r="Z82">
        <f t="shared" si="34"/>
        <v>1078.283365</v>
      </c>
    </row>
    <row r="83" spans="1:27">
      <c r="A83">
        <v>7.9</v>
      </c>
      <c r="B83" s="4">
        <f>0.514*EXP(0.8743*A83)</f>
        <v>513.59652504411702</v>
      </c>
      <c r="C83">
        <v>4.4000000000000004</v>
      </c>
      <c r="D83" s="4">
        <f>10285*EXP(0.5616*C83)</f>
        <v>121720.38927045149</v>
      </c>
      <c r="F83" s="4"/>
      <c r="T83">
        <v>10</v>
      </c>
      <c r="U83" s="4">
        <f>0.4867*EXP(0.6934*T83)</f>
        <v>499.64239765798106</v>
      </c>
      <c r="V83">
        <v>3.7</v>
      </c>
      <c r="W83" s="4">
        <f>1085.6*EXP(1.228*V83)</f>
        <v>102077.5511242582</v>
      </c>
      <c r="Y83" s="4"/>
    </row>
    <row r="84" spans="1:27">
      <c r="A84">
        <v>7.9</v>
      </c>
      <c r="B84" s="4">
        <f>0.514*EXP(0.8743*A84)</f>
        <v>513.59652504411702</v>
      </c>
      <c r="C84">
        <v>4.5999999999999996</v>
      </c>
      <c r="D84" s="4">
        <f>10285*EXP(0.5616*C84)</f>
        <v>136189.39443578728</v>
      </c>
      <c r="F84" s="4"/>
      <c r="T84">
        <v>10</v>
      </c>
      <c r="U84" s="4">
        <f>0.4867*EXP(0.6934*T84)</f>
        <v>499.64239765798106</v>
      </c>
      <c r="V84">
        <v>4</v>
      </c>
      <c r="W84" s="4">
        <f>1085.6*EXP(1.228*V84)</f>
        <v>147544.94327512174</v>
      </c>
      <c r="Y84" s="4"/>
    </row>
    <row r="85" spans="1:27">
      <c r="A85">
        <v>7.9</v>
      </c>
      <c r="B85" s="4">
        <f>0.514*EXP(0.8743*A85)</f>
        <v>513.59652504411702</v>
      </c>
      <c r="C85">
        <v>4.8</v>
      </c>
      <c r="D85" s="4">
        <f>10285*EXP(0.5616*C85)</f>
        <v>152378.34242852696</v>
      </c>
      <c r="F85" s="4"/>
      <c r="T85">
        <v>10</v>
      </c>
      <c r="U85" s="4">
        <f>0.4867*EXP(0.6934*T85)</f>
        <v>499.64239765798106</v>
      </c>
      <c r="V85">
        <v>4.2</v>
      </c>
      <c r="W85" s="4">
        <f>1085.6*EXP(1.228*V85)</f>
        <v>188619.70206038083</v>
      </c>
      <c r="Y85" s="4"/>
    </row>
    <row r="86" spans="1:27">
      <c r="A86">
        <v>7.9</v>
      </c>
      <c r="B86" s="4">
        <f>0.514*EXP(0.8743*A86)</f>
        <v>513.59652504411702</v>
      </c>
      <c r="C86">
        <v>5.4</v>
      </c>
      <c r="D86" s="4">
        <f>10285*EXP(0.5616*C86)</f>
        <v>213433.75918624812</v>
      </c>
      <c r="F86" s="4"/>
      <c r="T86">
        <v>10.4</v>
      </c>
      <c r="U86" s="4">
        <f t="shared" ref="U86:U97" si="44">0.4867*EXP(0.6934*T86)</f>
        <v>659.3487713707043</v>
      </c>
      <c r="V86">
        <v>2.4500000000000002</v>
      </c>
      <c r="W86" s="4">
        <f t="shared" ref="W86:W97" si="45">1085.6*EXP(1.228*V86)</f>
        <v>21993.189330391728</v>
      </c>
      <c r="X86">
        <v>3</v>
      </c>
      <c r="Y86" s="4">
        <f t="shared" ref="Y86:Y96" si="46">1085.6*EXP(1.228*X86)</f>
        <v>43212.630687362929</v>
      </c>
    </row>
    <row r="87" spans="1:27">
      <c r="B87" s="4"/>
      <c r="D87" s="4"/>
      <c r="F87" s="4"/>
      <c r="G87">
        <v>9.8000000000000007</v>
      </c>
      <c r="H87" s="4">
        <f>0.4787*EXP(0.7412*G87)</f>
        <v>683.3989596849832</v>
      </c>
      <c r="J87" s="4">
        <f>11.006*EXP(1.8713*I87)</f>
        <v>11.006</v>
      </c>
      <c r="K87">
        <v>3.3</v>
      </c>
      <c r="L87" s="4">
        <f>11.006*EXP(1.8713*K87)</f>
        <v>5290.8308797685204</v>
      </c>
      <c r="T87">
        <v>10.5</v>
      </c>
      <c r="U87" s="4">
        <f t="shared" si="44"/>
        <v>706.69038199184945</v>
      </c>
      <c r="W87" s="4"/>
      <c r="X87">
        <v>3.1</v>
      </c>
      <c r="Y87" s="4">
        <f t="shared" si="46"/>
        <v>48858.718111634284</v>
      </c>
      <c r="Z87">
        <f t="shared" si="34"/>
        <v>11.006</v>
      </c>
      <c r="AA87">
        <f t="shared" si="35"/>
        <v>5290.8308797685204</v>
      </c>
    </row>
    <row r="88" spans="1:27">
      <c r="A88">
        <v>8.3000000000000007</v>
      </c>
      <c r="B88" s="4">
        <f t="shared" ref="B88:B97" si="47">0.514*EXP(0.8743*A88)</f>
        <v>728.62411844247572</v>
      </c>
      <c r="C88">
        <v>2</v>
      </c>
      <c r="D88" s="4">
        <f t="shared" ref="D88:D97" si="48">10285*EXP(0.5616*C88)</f>
        <v>31623.057527467863</v>
      </c>
      <c r="E88">
        <v>2.7</v>
      </c>
      <c r="F88" s="4">
        <f>10285*EXP(0.5616*E88)</f>
        <v>46852.600922793623</v>
      </c>
      <c r="G88">
        <v>9.9</v>
      </c>
      <c r="H88" s="4">
        <f>0.4787*EXP(0.7412*G88)</f>
        <v>735.97696259451584</v>
      </c>
      <c r="J88" s="4">
        <f>11.006*EXP(1.8713*I88)</f>
        <v>11.006</v>
      </c>
      <c r="K88">
        <v>3.25</v>
      </c>
      <c r="L88" s="4">
        <f>11.006*EXP(1.8713*K88)</f>
        <v>4818.2476297029971</v>
      </c>
      <c r="N88">
        <v>9.6999999999999993</v>
      </c>
      <c r="O88" s="77">
        <v>677.23182710000003</v>
      </c>
      <c r="P88">
        <v>2.6</v>
      </c>
      <c r="Q88" s="77">
        <v>1427.7007739999999</v>
      </c>
      <c r="R88">
        <v>2.2999999999999998</v>
      </c>
      <c r="S88" s="77">
        <v>814.38284309999995</v>
      </c>
      <c r="T88">
        <v>10.6</v>
      </c>
      <c r="U88" s="4">
        <f t="shared" si="44"/>
        <v>757.4311467382754</v>
      </c>
      <c r="W88" s="4"/>
      <c r="X88">
        <v>1.7</v>
      </c>
      <c r="Y88" s="4">
        <f t="shared" si="46"/>
        <v>8755.9443985074813</v>
      </c>
      <c r="Z88">
        <f t="shared" si="34"/>
        <v>1438.706774</v>
      </c>
      <c r="AA88">
        <f t="shared" si="35"/>
        <v>5632.6304728029972</v>
      </c>
    </row>
    <row r="89" spans="1:27">
      <c r="A89">
        <v>8.4</v>
      </c>
      <c r="B89" s="4">
        <f t="shared" si="47"/>
        <v>795.19549212788127</v>
      </c>
      <c r="C89">
        <v>4.0999999999999996</v>
      </c>
      <c r="D89" s="4">
        <f t="shared" si="48"/>
        <v>102847.41921794228</v>
      </c>
      <c r="E89">
        <v>0.4</v>
      </c>
      <c r="F89" s="4">
        <f>10285*EXP(0.5616*E89)</f>
        <v>12875.503120477222</v>
      </c>
      <c r="G89">
        <v>10</v>
      </c>
      <c r="H89" s="4">
        <f t="shared" ref="H89:H97" si="49">0.4787*EXP(0.7412*G89)</f>
        <v>792.60010831671673</v>
      </c>
      <c r="J89" s="4">
        <f t="shared" ref="J89:J97" si="50">11.006*EXP(1.8713*I89)</f>
        <v>11.006</v>
      </c>
      <c r="K89">
        <v>2.9</v>
      </c>
      <c r="L89" s="4">
        <f t="shared" ref="L89:L96" si="51">11.006*EXP(1.8713*K89)</f>
        <v>2502.9131153841108</v>
      </c>
      <c r="N89">
        <v>10</v>
      </c>
      <c r="O89" s="77">
        <v>848.44362969999997</v>
      </c>
      <c r="P89">
        <v>2.7</v>
      </c>
      <c r="Q89" s="77">
        <v>1721.4987880000001</v>
      </c>
      <c r="S89" s="77"/>
      <c r="T89">
        <v>10.8</v>
      </c>
      <c r="U89" s="4">
        <f t="shared" si="44"/>
        <v>870.10390700600567</v>
      </c>
      <c r="V89">
        <v>3.25</v>
      </c>
      <c r="W89" s="4">
        <f t="shared" si="45"/>
        <v>58740.699231496896</v>
      </c>
      <c r="Y89" s="4"/>
      <c r="Z89">
        <f t="shared" si="34"/>
        <v>1732.5047880000002</v>
      </c>
      <c r="AA89">
        <f t="shared" si="35"/>
        <v>2502.9131153841108</v>
      </c>
    </row>
    <row r="90" spans="1:27">
      <c r="A90" s="75">
        <v>8.6999999999999993</v>
      </c>
      <c r="B90" s="76">
        <f t="shared" si="47"/>
        <v>1033.6773714161541</v>
      </c>
      <c r="C90" s="75">
        <v>4.3499999999999996</v>
      </c>
      <c r="D90" s="76">
        <f t="shared" si="48"/>
        <v>118350.02214860421</v>
      </c>
      <c r="E90" s="75"/>
      <c r="F90" s="76"/>
      <c r="G90">
        <v>10.199999999999999</v>
      </c>
      <c r="H90" s="4">
        <f t="shared" si="49"/>
        <v>919.25064093344611</v>
      </c>
      <c r="I90">
        <v>4.05</v>
      </c>
      <c r="J90" s="4">
        <f t="shared" si="50"/>
        <v>21530.064337746404</v>
      </c>
      <c r="L90" s="4"/>
      <c r="N90">
        <v>10.199999999999999</v>
      </c>
      <c r="O90" s="77">
        <v>986.00719059999994</v>
      </c>
      <c r="P90">
        <v>2.75</v>
      </c>
      <c r="Q90" s="77">
        <v>1890.3467909999999</v>
      </c>
      <c r="S90" s="77"/>
      <c r="T90">
        <v>11</v>
      </c>
      <c r="U90" s="4">
        <f t="shared" si="44"/>
        <v>999.53746587703779</v>
      </c>
      <c r="V90">
        <v>3.6</v>
      </c>
      <c r="W90" s="4">
        <f t="shared" si="45"/>
        <v>90281.523721610152</v>
      </c>
      <c r="Y90" s="4"/>
      <c r="Z90">
        <f t="shared" si="34"/>
        <v>23420.411128746404</v>
      </c>
    </row>
    <row r="91" spans="1:27">
      <c r="A91">
        <v>8.6999999999999993</v>
      </c>
      <c r="B91" s="4">
        <f t="shared" si="47"/>
        <v>1033.6773714161541</v>
      </c>
      <c r="C91">
        <v>4.3499999999999996</v>
      </c>
      <c r="D91" s="4">
        <f t="shared" si="48"/>
        <v>118350.02214860421</v>
      </c>
      <c r="F91" s="4"/>
      <c r="G91">
        <v>10.4</v>
      </c>
      <c r="H91" s="4">
        <f t="shared" si="49"/>
        <v>1066.1388157657027</v>
      </c>
      <c r="I91">
        <v>3.95</v>
      </c>
      <c r="J91" s="4">
        <f t="shared" si="50"/>
        <v>17855.655622800725</v>
      </c>
      <c r="L91" s="4"/>
      <c r="T91">
        <v>11.5</v>
      </c>
      <c r="U91" s="4">
        <f t="shared" si="44"/>
        <v>1413.7381392908417</v>
      </c>
      <c r="V91">
        <v>1.65</v>
      </c>
      <c r="W91" s="4">
        <f t="shared" si="45"/>
        <v>8234.5015168477075</v>
      </c>
      <c r="Y91" s="4"/>
      <c r="Z91">
        <f t="shared" si="34"/>
        <v>17855.655622800725</v>
      </c>
    </row>
    <row r="92" spans="1:27">
      <c r="A92">
        <v>9.1999999999999993</v>
      </c>
      <c r="B92" s="4">
        <f t="shared" si="47"/>
        <v>1600.4305831199251</v>
      </c>
      <c r="C92">
        <v>0.55000000000000004</v>
      </c>
      <c r="D92" s="4">
        <f t="shared" si="48"/>
        <v>14007.130524109429</v>
      </c>
      <c r="F92" s="4"/>
      <c r="G92">
        <v>10.8</v>
      </c>
      <c r="H92" s="4">
        <f t="shared" si="49"/>
        <v>1434.0800140644174</v>
      </c>
      <c r="I92">
        <v>2.85</v>
      </c>
      <c r="J92" s="4">
        <f t="shared" si="50"/>
        <v>2279.3499659319423</v>
      </c>
      <c r="L92" s="4"/>
      <c r="N92">
        <v>10.7</v>
      </c>
      <c r="O92" s="77">
        <v>1435.564811</v>
      </c>
      <c r="P92">
        <v>1.1499999999999999</v>
      </c>
      <c r="Q92" s="77">
        <v>94.673637150000005</v>
      </c>
      <c r="S92" s="77"/>
      <c r="T92">
        <v>11.5</v>
      </c>
      <c r="U92" s="4">
        <f t="shared" si="44"/>
        <v>1413.7381392908417</v>
      </c>
      <c r="V92">
        <v>4.6500000000000004</v>
      </c>
      <c r="W92" s="4">
        <f t="shared" si="45"/>
        <v>327776.78052880435</v>
      </c>
      <c r="Y92" s="4"/>
      <c r="Z92">
        <f t="shared" si="34"/>
        <v>2374.0236030819424</v>
      </c>
    </row>
    <row r="93" spans="1:27">
      <c r="A93">
        <v>9.1999999999999993</v>
      </c>
      <c r="B93" s="4">
        <f t="shared" si="47"/>
        <v>1600.4305831199251</v>
      </c>
      <c r="C93">
        <v>4.0999999999999996</v>
      </c>
      <c r="D93" s="4">
        <f t="shared" si="48"/>
        <v>102847.41921794228</v>
      </c>
      <c r="F93" s="4"/>
      <c r="G93">
        <v>11</v>
      </c>
      <c r="H93" s="4">
        <f t="shared" si="49"/>
        <v>1663.2333988425182</v>
      </c>
      <c r="J93" s="4">
        <f t="shared" si="50"/>
        <v>11.006</v>
      </c>
      <c r="K93">
        <v>2.2999999999999998</v>
      </c>
      <c r="L93" s="4">
        <f t="shared" si="51"/>
        <v>814.38284308668597</v>
      </c>
      <c r="N93">
        <v>11</v>
      </c>
      <c r="O93" s="77">
        <v>1798.491698</v>
      </c>
      <c r="Q93" s="77"/>
      <c r="R93">
        <v>1.4</v>
      </c>
      <c r="S93" s="77">
        <v>151.1481647</v>
      </c>
      <c r="T93">
        <v>11.8</v>
      </c>
      <c r="U93" s="4">
        <f t="shared" si="44"/>
        <v>1740.6478279968305</v>
      </c>
      <c r="W93" s="4"/>
      <c r="X93">
        <v>1</v>
      </c>
      <c r="Y93" s="4">
        <f t="shared" si="46"/>
        <v>3706.6660342508058</v>
      </c>
      <c r="Z93">
        <f t="shared" si="34"/>
        <v>11.006</v>
      </c>
      <c r="AA93">
        <f t="shared" si="35"/>
        <v>965.5310077866859</v>
      </c>
    </row>
    <row r="94" spans="1:27">
      <c r="A94">
        <v>9.5</v>
      </c>
      <c r="B94" s="4">
        <f t="shared" si="47"/>
        <v>2080.4052521306085</v>
      </c>
      <c r="C94">
        <v>2.25</v>
      </c>
      <c r="D94" s="4">
        <f t="shared" si="48"/>
        <v>36389.727493808539</v>
      </c>
      <c r="F94" s="4"/>
      <c r="G94">
        <v>11.2</v>
      </c>
      <c r="H94" s="4">
        <f t="shared" si="49"/>
        <v>1929.0034809040817</v>
      </c>
      <c r="I94">
        <v>3.35</v>
      </c>
      <c r="J94" s="4">
        <f t="shared" si="50"/>
        <v>5809.7660289904361</v>
      </c>
      <c r="L94" s="4"/>
      <c r="T94">
        <v>12</v>
      </c>
      <c r="U94" s="4">
        <f t="shared" si="44"/>
        <v>1999.5804006524393</v>
      </c>
      <c r="V94">
        <v>2.7</v>
      </c>
      <c r="W94" s="4">
        <f t="shared" si="45"/>
        <v>29896.243275365046</v>
      </c>
      <c r="Y94" s="4"/>
      <c r="Z94">
        <f t="shared" si="34"/>
        <v>5809.7660289904361</v>
      </c>
    </row>
    <row r="95" spans="1:27">
      <c r="A95">
        <v>9.5</v>
      </c>
      <c r="B95" s="4">
        <f t="shared" si="47"/>
        <v>2080.4052521306085</v>
      </c>
      <c r="C95">
        <v>4</v>
      </c>
      <c r="D95" s="4">
        <f t="shared" si="48"/>
        <v>97230.70173899291</v>
      </c>
      <c r="F95" s="4"/>
      <c r="G95">
        <v>11.2</v>
      </c>
      <c r="H95" s="4">
        <f t="shared" si="49"/>
        <v>1929.0034809040817</v>
      </c>
      <c r="I95">
        <v>4</v>
      </c>
      <c r="J95" s="4">
        <f t="shared" si="50"/>
        <v>19606.973615312054</v>
      </c>
      <c r="L95" s="4"/>
      <c r="T95">
        <v>12</v>
      </c>
      <c r="U95" s="4">
        <f t="shared" si="44"/>
        <v>1999.5804006524393</v>
      </c>
      <c r="V95">
        <v>3.15</v>
      </c>
      <c r="W95" s="4">
        <f t="shared" si="45"/>
        <v>51952.655335910371</v>
      </c>
      <c r="Y95" s="4"/>
      <c r="Z95">
        <f t="shared" si="34"/>
        <v>19606.973615312054</v>
      </c>
    </row>
    <row r="96" spans="1:27">
      <c r="A96">
        <v>9.6</v>
      </c>
      <c r="B96" s="4">
        <f t="shared" si="47"/>
        <v>2270.4832799520295</v>
      </c>
      <c r="D96" s="4">
        <f t="shared" si="48"/>
        <v>10285</v>
      </c>
      <c r="E96">
        <v>0.65</v>
      </c>
      <c r="F96" s="4">
        <f>10285*EXP(0.5616*E96)</f>
        <v>14816.279213130359</v>
      </c>
      <c r="G96">
        <v>11.4</v>
      </c>
      <c r="H96" s="4">
        <f t="shared" si="49"/>
        <v>2237.2412867187709</v>
      </c>
      <c r="J96" s="4">
        <f t="shared" si="50"/>
        <v>11.006</v>
      </c>
      <c r="K96">
        <v>2.85</v>
      </c>
      <c r="L96" s="4">
        <f t="shared" si="51"/>
        <v>2279.3499659319423</v>
      </c>
      <c r="N96">
        <v>11.3</v>
      </c>
      <c r="O96" s="77">
        <v>2253.1705740000002</v>
      </c>
      <c r="Q96" s="77"/>
      <c r="R96">
        <v>2.15</v>
      </c>
      <c r="S96" s="77">
        <v>615.0696901</v>
      </c>
      <c r="T96">
        <v>12.25</v>
      </c>
      <c r="U96" s="4">
        <f t="shared" si="44"/>
        <v>2378.0655400255187</v>
      </c>
      <c r="W96" s="4"/>
      <c r="X96">
        <v>2</v>
      </c>
      <c r="Y96" s="4">
        <f t="shared" si="46"/>
        <v>12656.017952716098</v>
      </c>
      <c r="Z96">
        <f t="shared" si="34"/>
        <v>11.006</v>
      </c>
      <c r="AA96">
        <f t="shared" si="35"/>
        <v>2894.4196560319424</v>
      </c>
    </row>
    <row r="97" spans="1:26">
      <c r="A97">
        <v>10.199999999999999</v>
      </c>
      <c r="B97" s="4">
        <f t="shared" si="47"/>
        <v>3836.5468625785961</v>
      </c>
      <c r="C97">
        <v>2.4</v>
      </c>
      <c r="D97" s="4">
        <f t="shared" si="48"/>
        <v>39588.019044622575</v>
      </c>
      <c r="F97" s="4"/>
      <c r="G97">
        <v>11.9</v>
      </c>
      <c r="H97" s="4">
        <f t="shared" si="49"/>
        <v>3240.8755942522776</v>
      </c>
      <c r="I97">
        <v>3.8</v>
      </c>
      <c r="J97" s="4">
        <f t="shared" si="50"/>
        <v>13485.638436327128</v>
      </c>
      <c r="L97" s="4"/>
      <c r="N97">
        <v>11.85</v>
      </c>
      <c r="O97" s="77">
        <v>3406.050362</v>
      </c>
      <c r="P97">
        <v>2.6</v>
      </c>
      <c r="Q97" s="77">
        <v>1427.7007739999999</v>
      </c>
      <c r="S97" s="77"/>
      <c r="T97">
        <v>12.8</v>
      </c>
      <c r="U97" s="4">
        <f t="shared" si="44"/>
        <v>3482.1759064795983</v>
      </c>
      <c r="V97">
        <v>2.6</v>
      </c>
      <c r="W97" s="4">
        <f t="shared" si="45"/>
        <v>26441.44933655718</v>
      </c>
      <c r="Z97">
        <f t="shared" si="34"/>
        <v>14913.339210327129</v>
      </c>
    </row>
    <row r="101" spans="1:26">
      <c r="A101" t="s">
        <v>908</v>
      </c>
      <c r="D101" t="s">
        <v>893</v>
      </c>
    </row>
    <row r="102" spans="1:26">
      <c r="A102" t="s">
        <v>891</v>
      </c>
      <c r="B102" t="s">
        <v>892</v>
      </c>
      <c r="D102" t="s">
        <v>894</v>
      </c>
      <c r="E102" s="52" t="s">
        <v>892</v>
      </c>
    </row>
    <row r="103" spans="1:26">
      <c r="A103">
        <v>0.75</v>
      </c>
      <c r="B103">
        <v>1</v>
      </c>
      <c r="D103">
        <v>4.05</v>
      </c>
      <c r="E103" s="52">
        <v>100000</v>
      </c>
    </row>
    <row r="104" spans="1:26">
      <c r="A104">
        <v>3.4</v>
      </c>
      <c r="B104">
        <v>10</v>
      </c>
      <c r="D104">
        <v>8.15</v>
      </c>
      <c r="E104" s="52">
        <v>1000000</v>
      </c>
    </row>
    <row r="105" spans="1:26">
      <c r="A105">
        <v>6.05</v>
      </c>
      <c r="B105">
        <v>100</v>
      </c>
    </row>
    <row r="106" spans="1:26">
      <c r="A106">
        <v>8.65</v>
      </c>
      <c r="B106">
        <v>1000</v>
      </c>
    </row>
    <row r="107" spans="1:26">
      <c r="A107">
        <v>10.5</v>
      </c>
      <c r="B107">
        <v>5000</v>
      </c>
    </row>
    <row r="112" spans="1:26">
      <c r="G112" t="s">
        <v>895</v>
      </c>
      <c r="J112" t="s">
        <v>638</v>
      </c>
      <c r="O112" t="s">
        <v>430</v>
      </c>
    </row>
    <row r="113" spans="7:16">
      <c r="G113" t="s">
        <v>896</v>
      </c>
      <c r="J113" t="s">
        <v>639</v>
      </c>
      <c r="O113" t="s">
        <v>431</v>
      </c>
    </row>
    <row r="114" spans="7:16">
      <c r="G114" t="s">
        <v>897</v>
      </c>
      <c r="H114" t="s">
        <v>898</v>
      </c>
      <c r="J114" t="s">
        <v>640</v>
      </c>
      <c r="K114" t="s">
        <v>484</v>
      </c>
      <c r="O114" t="s">
        <v>640</v>
      </c>
      <c r="P114" t="s">
        <v>432</v>
      </c>
    </row>
    <row r="115" spans="7:16">
      <c r="G115">
        <v>1</v>
      </c>
      <c r="H115">
        <v>1</v>
      </c>
      <c r="J115">
        <v>1.2</v>
      </c>
      <c r="K115" s="21">
        <v>100</v>
      </c>
      <c r="O115">
        <v>1</v>
      </c>
      <c r="P115" s="21">
        <v>1</v>
      </c>
    </row>
    <row r="116" spans="7:16">
      <c r="G116">
        <v>4.0999999999999996</v>
      </c>
      <c r="H116">
        <v>10</v>
      </c>
      <c r="J116">
        <v>2.4</v>
      </c>
      <c r="K116" s="21">
        <v>1000</v>
      </c>
      <c r="O116">
        <v>4.0999999999999996</v>
      </c>
      <c r="P116">
        <v>10</v>
      </c>
    </row>
    <row r="117" spans="7:16">
      <c r="G117">
        <v>7.2</v>
      </c>
      <c r="H117">
        <v>100</v>
      </c>
      <c r="J117">
        <v>3.6</v>
      </c>
      <c r="K117" s="21">
        <v>10000</v>
      </c>
      <c r="O117">
        <v>7.2</v>
      </c>
      <c r="P117">
        <v>100</v>
      </c>
    </row>
    <row r="118" spans="7:16">
      <c r="G118">
        <v>10.3</v>
      </c>
      <c r="H118">
        <v>1000</v>
      </c>
      <c r="J118">
        <v>4.9000000000000004</v>
      </c>
      <c r="K118" s="21">
        <v>100000</v>
      </c>
      <c r="O118">
        <v>10.199999999999999</v>
      </c>
      <c r="P118">
        <v>1000</v>
      </c>
    </row>
    <row r="119" spans="7:16">
      <c r="G119">
        <v>12.5</v>
      </c>
      <c r="H119">
        <v>5000</v>
      </c>
      <c r="O119">
        <v>12.35</v>
      </c>
      <c r="P119">
        <v>5000</v>
      </c>
    </row>
    <row r="148" spans="1:26">
      <c r="A148" t="s">
        <v>220</v>
      </c>
    </row>
    <row r="149" spans="1:26">
      <c r="A149">
        <v>0.75</v>
      </c>
      <c r="B149" s="4">
        <f t="shared" ref="B149:B160" si="52">0.514*EXP(0.8743*A149)</f>
        <v>0.99024091841248985</v>
      </c>
      <c r="C149">
        <v>7</v>
      </c>
      <c r="D149" s="4">
        <f t="shared" ref="D149:D160" si="53">10285*EXP(0.5616*C149)</f>
        <v>524206.9363733168</v>
      </c>
      <c r="F149" s="4"/>
    </row>
    <row r="150" spans="1:26">
      <c r="A150">
        <v>0.75</v>
      </c>
      <c r="B150" s="4">
        <f t="shared" si="52"/>
        <v>0.99024091841248985</v>
      </c>
      <c r="C150">
        <v>7.1</v>
      </c>
      <c r="D150" s="4">
        <f t="shared" si="53"/>
        <v>554488.75281045702</v>
      </c>
      <c r="F150" s="4"/>
    </row>
    <row r="151" spans="1:26">
      <c r="A151">
        <v>0.75</v>
      </c>
      <c r="B151" s="4">
        <f t="shared" si="52"/>
        <v>0.99024091841248985</v>
      </c>
      <c r="C151">
        <v>7.4</v>
      </c>
      <c r="D151" s="4">
        <f t="shared" si="53"/>
        <v>656239.96548861917</v>
      </c>
      <c r="F151" s="4"/>
    </row>
    <row r="152" spans="1:26">
      <c r="A152">
        <v>0.75</v>
      </c>
      <c r="B152" s="4">
        <f t="shared" si="52"/>
        <v>0.99024091841248985</v>
      </c>
      <c r="C152">
        <v>7.6</v>
      </c>
      <c r="D152" s="4">
        <f t="shared" si="53"/>
        <v>734247.76276288915</v>
      </c>
      <c r="F152" s="4"/>
    </row>
    <row r="153" spans="1:26">
      <c r="A153">
        <v>0.75</v>
      </c>
      <c r="B153" s="4">
        <f t="shared" si="52"/>
        <v>0.99024091841248985</v>
      </c>
      <c r="C153">
        <v>7.75</v>
      </c>
      <c r="D153" s="4">
        <f t="shared" si="53"/>
        <v>798780.76637629129</v>
      </c>
      <c r="F153" s="4"/>
    </row>
    <row r="154" spans="1:26">
      <c r="A154">
        <v>2.6</v>
      </c>
      <c r="B154" s="4">
        <f t="shared" si="52"/>
        <v>4.9910583750052853</v>
      </c>
      <c r="D154" s="4">
        <f t="shared" si="53"/>
        <v>10285</v>
      </c>
      <c r="E154">
        <v>3.75</v>
      </c>
      <c r="F154" s="4">
        <f>10285*EXP(0.5616*E154)</f>
        <v>84494.506727245665</v>
      </c>
      <c r="Z154">
        <f>J23+Q154</f>
        <v>114.1559594318469</v>
      </c>
    </row>
    <row r="155" spans="1:26">
      <c r="A155">
        <v>5.25</v>
      </c>
      <c r="B155" s="4">
        <f t="shared" si="52"/>
        <v>50.629934205912711</v>
      </c>
      <c r="C155">
        <v>7.2</v>
      </c>
      <c r="D155" s="4">
        <f t="shared" si="53"/>
        <v>586519.85630029615</v>
      </c>
      <c r="E155">
        <v>3.45</v>
      </c>
      <c r="F155" s="4">
        <f>10285*EXP(0.5616*E155)</f>
        <v>71393.478176296441</v>
      </c>
    </row>
    <row r="156" spans="1:26">
      <c r="A156">
        <v>5.25</v>
      </c>
      <c r="B156" s="4">
        <f t="shared" si="52"/>
        <v>50.629934205912711</v>
      </c>
      <c r="D156" s="4">
        <f t="shared" si="53"/>
        <v>10285</v>
      </c>
      <c r="E156">
        <v>3.85</v>
      </c>
      <c r="F156" s="4">
        <f>10285*EXP(0.5616*E156)</f>
        <v>89375.493538223353</v>
      </c>
    </row>
    <row r="157" spans="1:26">
      <c r="A157">
        <v>5.25</v>
      </c>
      <c r="B157" s="4">
        <f t="shared" si="52"/>
        <v>50.629934205912711</v>
      </c>
      <c r="D157" s="4">
        <f t="shared" si="53"/>
        <v>10285</v>
      </c>
      <c r="E157">
        <v>4.55</v>
      </c>
      <c r="F157" s="4">
        <f>10285*EXP(0.5616*E157)</f>
        <v>132418.38893620096</v>
      </c>
    </row>
    <row r="158" spans="1:26">
      <c r="A158">
        <v>7.5</v>
      </c>
      <c r="B158" s="4">
        <f t="shared" si="52"/>
        <v>362.02670740745964</v>
      </c>
      <c r="D158" s="4">
        <f t="shared" si="53"/>
        <v>10285</v>
      </c>
      <c r="E158">
        <v>3.1</v>
      </c>
      <c r="F158" s="4">
        <f>10285*EXP(0.5616*E158)</f>
        <v>58653.457402421314</v>
      </c>
    </row>
    <row r="159" spans="1:26">
      <c r="A159">
        <v>7.9</v>
      </c>
      <c r="B159" s="4">
        <f t="shared" si="52"/>
        <v>513.59652504411702</v>
      </c>
      <c r="C159">
        <v>4.9000000000000004</v>
      </c>
      <c r="D159" s="4">
        <f t="shared" si="53"/>
        <v>161180.76886404876</v>
      </c>
      <c r="F159" s="4"/>
    </row>
    <row r="160" spans="1:26">
      <c r="A160">
        <v>7.9</v>
      </c>
      <c r="B160" s="4">
        <f t="shared" si="52"/>
        <v>513.59652504411702</v>
      </c>
      <c r="C160">
        <v>5.2</v>
      </c>
      <c r="D160" s="4">
        <f t="shared" si="53"/>
        <v>190758.17437351932</v>
      </c>
      <c r="F160" s="4"/>
    </row>
    <row r="1048564" spans="1:1">
      <c r="A1048564">
        <v>0.75</v>
      </c>
    </row>
  </sheetData>
  <phoneticPr fontId="6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A3" sqref="A3"/>
    </sheetView>
  </sheetViews>
  <sheetFormatPr baseColWidth="10" defaultRowHeight="13" x14ac:dyDescent="0"/>
  <sheetData>
    <row r="1" spans="1:14" ht="25">
      <c r="A1" t="s">
        <v>654</v>
      </c>
      <c r="D1" s="28"/>
      <c r="E1" s="28"/>
      <c r="F1" s="28"/>
      <c r="G1" s="28"/>
      <c r="H1" s="28"/>
      <c r="I1" s="28"/>
      <c r="J1" s="28"/>
      <c r="K1" s="20"/>
      <c r="L1" s="20"/>
      <c r="M1" s="20"/>
      <c r="N1" s="20"/>
    </row>
    <row r="2" spans="1:14">
      <c r="A2" t="s">
        <v>655</v>
      </c>
    </row>
    <row r="3" spans="1:14">
      <c r="A3" t="s">
        <v>310</v>
      </c>
    </row>
    <row r="4" spans="1:14">
      <c r="K4" s="4" t="s">
        <v>729</v>
      </c>
    </row>
    <row r="5" spans="1:14">
      <c r="A5" s="4" t="s">
        <v>755</v>
      </c>
      <c r="C5" t="s">
        <v>722</v>
      </c>
      <c r="D5" s="20"/>
      <c r="E5" s="20" t="s">
        <v>724</v>
      </c>
      <c r="F5" s="20"/>
      <c r="G5" s="20" t="s">
        <v>725</v>
      </c>
      <c r="H5" s="20"/>
      <c r="I5" s="20" t="s">
        <v>727</v>
      </c>
      <c r="K5" s="4" t="s">
        <v>728</v>
      </c>
    </row>
    <row r="6" spans="1:14">
      <c r="A6" s="4" t="s">
        <v>656</v>
      </c>
      <c r="B6" t="s">
        <v>753</v>
      </c>
      <c r="C6" s="4" t="s">
        <v>880</v>
      </c>
      <c r="D6" s="20" t="s">
        <v>754</v>
      </c>
      <c r="E6" s="20" t="s">
        <v>880</v>
      </c>
      <c r="F6" s="20" t="s">
        <v>709</v>
      </c>
      <c r="G6" s="20" t="s">
        <v>880</v>
      </c>
      <c r="H6" s="20" t="s">
        <v>723</v>
      </c>
      <c r="I6" s="20" t="s">
        <v>726</v>
      </c>
      <c r="K6" s="4"/>
    </row>
    <row r="7" spans="1:14">
      <c r="A7" s="4" t="s">
        <v>657</v>
      </c>
      <c r="C7" s="4"/>
      <c r="D7" s="20"/>
      <c r="E7" s="20"/>
      <c r="F7" s="20"/>
      <c r="G7" s="20"/>
      <c r="H7" s="20">
        <v>2.1</v>
      </c>
      <c r="I7" s="20">
        <f>H7*1000</f>
        <v>2100</v>
      </c>
      <c r="K7" s="4"/>
    </row>
    <row r="8" spans="1:14">
      <c r="A8" s="4" t="s">
        <v>658</v>
      </c>
      <c r="C8" s="4"/>
      <c r="D8" s="20"/>
      <c r="E8" s="20"/>
      <c r="F8" s="20"/>
      <c r="G8" s="20"/>
      <c r="H8" s="20">
        <v>1.5</v>
      </c>
      <c r="I8" s="20">
        <f t="shared" ref="I8:I39" si="0">H8*1000</f>
        <v>1500</v>
      </c>
      <c r="K8" s="4"/>
    </row>
    <row r="9" spans="1:14">
      <c r="A9" s="4" t="s">
        <v>747</v>
      </c>
      <c r="C9" s="4"/>
      <c r="D9" s="20"/>
      <c r="E9" s="20"/>
      <c r="F9" s="20"/>
      <c r="G9" s="20"/>
      <c r="H9" s="20">
        <v>12.1</v>
      </c>
      <c r="I9" s="20">
        <f t="shared" si="0"/>
        <v>12100</v>
      </c>
      <c r="K9" s="4"/>
    </row>
    <row r="10" spans="1:14">
      <c r="A10" s="4" t="s">
        <v>748</v>
      </c>
      <c r="C10" s="4"/>
      <c r="D10" s="20"/>
      <c r="E10" s="20"/>
      <c r="F10" s="20"/>
      <c r="G10" s="20"/>
      <c r="H10" s="20">
        <v>2</v>
      </c>
      <c r="I10" s="20">
        <f t="shared" si="0"/>
        <v>2000</v>
      </c>
      <c r="K10" s="4"/>
    </row>
    <row r="11" spans="1:14">
      <c r="A11" s="4" t="s">
        <v>749</v>
      </c>
      <c r="C11" s="4"/>
      <c r="D11" s="20"/>
      <c r="E11" s="20"/>
      <c r="F11" s="20"/>
      <c r="G11" s="20"/>
      <c r="H11" s="20">
        <v>6.6</v>
      </c>
      <c r="I11" s="20">
        <f t="shared" si="0"/>
        <v>6600</v>
      </c>
      <c r="K11" s="4"/>
    </row>
    <row r="12" spans="1:14">
      <c r="A12" s="4" t="s">
        <v>750</v>
      </c>
      <c r="C12" s="4"/>
      <c r="D12" s="20"/>
      <c r="E12" s="20"/>
      <c r="F12" s="20"/>
      <c r="G12" s="20"/>
      <c r="H12" s="20">
        <v>12.8</v>
      </c>
      <c r="I12" s="20">
        <f t="shared" si="0"/>
        <v>12800</v>
      </c>
      <c r="K12" s="4"/>
    </row>
    <row r="13" spans="1:14">
      <c r="A13" s="4" t="s">
        <v>751</v>
      </c>
      <c r="C13" s="4"/>
      <c r="D13" s="20"/>
      <c r="E13" s="20"/>
      <c r="F13" s="20"/>
      <c r="G13" s="20"/>
      <c r="H13" s="20">
        <v>7.4</v>
      </c>
      <c r="I13" s="20">
        <f t="shared" si="0"/>
        <v>7400</v>
      </c>
      <c r="K13" s="4"/>
    </row>
    <row r="14" spans="1:14">
      <c r="A14" s="4" t="s">
        <v>752</v>
      </c>
      <c r="C14" s="4"/>
      <c r="D14" s="20"/>
      <c r="E14" s="20"/>
      <c r="F14" s="20"/>
      <c r="G14" s="20"/>
      <c r="H14" s="20">
        <v>0.3</v>
      </c>
      <c r="I14" s="20">
        <f t="shared" si="0"/>
        <v>300</v>
      </c>
      <c r="K14" s="4"/>
    </row>
    <row r="15" spans="1:14">
      <c r="A15" s="4"/>
      <c r="C15" s="4"/>
      <c r="D15" s="20"/>
      <c r="E15" s="20"/>
      <c r="F15" s="20"/>
      <c r="G15" s="20"/>
      <c r="H15" s="20"/>
      <c r="I15" s="20"/>
      <c r="K15" s="4"/>
    </row>
    <row r="16" spans="1:14">
      <c r="A16" s="4"/>
      <c r="C16" s="4"/>
      <c r="D16" s="20"/>
      <c r="E16" s="20"/>
      <c r="F16" s="20"/>
      <c r="G16" s="20"/>
      <c r="H16" s="20"/>
      <c r="I16" s="20"/>
      <c r="K16" s="4"/>
    </row>
    <row r="17" spans="1:11">
      <c r="A17" s="4" t="s">
        <v>756</v>
      </c>
      <c r="C17" s="4"/>
      <c r="D17" s="20"/>
      <c r="E17" s="20"/>
      <c r="F17" s="20"/>
      <c r="G17" s="20"/>
      <c r="H17" s="20"/>
      <c r="I17" s="20"/>
      <c r="K17" s="4"/>
    </row>
    <row r="18" spans="1:11">
      <c r="A18" s="4" t="s">
        <v>656</v>
      </c>
      <c r="B18" t="s">
        <v>753</v>
      </c>
      <c r="C18" s="4"/>
      <c r="D18" s="20" t="s">
        <v>754</v>
      </c>
      <c r="E18" s="20"/>
      <c r="F18" s="20" t="s">
        <v>709</v>
      </c>
      <c r="G18" s="20"/>
      <c r="H18" s="20" t="s">
        <v>723</v>
      </c>
      <c r="I18" s="20"/>
      <c r="K18" s="4"/>
    </row>
    <row r="19" spans="1:11">
      <c r="A19" s="4" t="s">
        <v>731</v>
      </c>
      <c r="B19">
        <v>8</v>
      </c>
      <c r="C19" s="4">
        <f>B19*100000</f>
        <v>800000</v>
      </c>
      <c r="D19" s="20">
        <v>18</v>
      </c>
      <c r="E19" s="20">
        <f>D19*1000</f>
        <v>18000</v>
      </c>
      <c r="F19" s="20" t="s">
        <v>620</v>
      </c>
      <c r="G19" s="20"/>
      <c r="H19" s="20">
        <v>0.02</v>
      </c>
      <c r="I19" s="20">
        <f t="shared" si="0"/>
        <v>20</v>
      </c>
      <c r="K19" s="4">
        <f>E19+G19</f>
        <v>18000</v>
      </c>
    </row>
    <row r="20" spans="1:11">
      <c r="A20" s="4" t="s">
        <v>884</v>
      </c>
      <c r="B20">
        <v>14</v>
      </c>
      <c r="C20" s="4">
        <f t="shared" ref="C20:C24" si="1">B20*100000</f>
        <v>1400000</v>
      </c>
      <c r="D20" s="20">
        <v>18</v>
      </c>
      <c r="E20" s="20">
        <f t="shared" ref="E20:E39" si="2">D20*1000</f>
        <v>18000</v>
      </c>
      <c r="F20" s="20" t="s">
        <v>620</v>
      </c>
      <c r="G20" s="20"/>
      <c r="H20" s="20">
        <v>0.3</v>
      </c>
      <c r="I20" s="20">
        <f t="shared" si="0"/>
        <v>300</v>
      </c>
      <c r="K20" s="4">
        <f t="shared" ref="K20:K39" si="3">E20+G20</f>
        <v>18000</v>
      </c>
    </row>
    <row r="21" spans="1:11">
      <c r="A21" s="4" t="s">
        <v>809</v>
      </c>
      <c r="B21">
        <v>5</v>
      </c>
      <c r="C21" s="4">
        <f t="shared" si="1"/>
        <v>500000</v>
      </c>
      <c r="D21" s="20">
        <v>9</v>
      </c>
      <c r="E21" s="20">
        <f t="shared" si="2"/>
        <v>9000</v>
      </c>
      <c r="F21" s="20">
        <v>1.8</v>
      </c>
      <c r="G21" s="20">
        <f t="shared" ref="G21:G36" si="4">F21*1000</f>
        <v>1800</v>
      </c>
      <c r="H21" s="20">
        <v>5.0999999999999996</v>
      </c>
      <c r="I21" s="20">
        <f t="shared" si="0"/>
        <v>5100</v>
      </c>
      <c r="K21" s="4">
        <f t="shared" si="3"/>
        <v>10800</v>
      </c>
    </row>
    <row r="22" spans="1:11">
      <c r="A22" s="4" t="s">
        <v>810</v>
      </c>
      <c r="B22">
        <v>7</v>
      </c>
      <c r="C22" s="4">
        <f t="shared" si="1"/>
        <v>700000</v>
      </c>
      <c r="D22" s="20">
        <v>25</v>
      </c>
      <c r="E22" s="20">
        <f t="shared" si="2"/>
        <v>25000</v>
      </c>
      <c r="F22" s="20" t="s">
        <v>620</v>
      </c>
      <c r="G22" s="20"/>
      <c r="H22" s="20">
        <v>0.01</v>
      </c>
      <c r="I22" s="20">
        <f t="shared" si="0"/>
        <v>10</v>
      </c>
      <c r="K22" s="4">
        <f t="shared" si="3"/>
        <v>25000</v>
      </c>
    </row>
    <row r="23" spans="1:11">
      <c r="A23" s="4" t="s">
        <v>853</v>
      </c>
      <c r="B23">
        <v>4</v>
      </c>
      <c r="C23" s="4">
        <f t="shared" si="1"/>
        <v>400000</v>
      </c>
      <c r="D23" s="20">
        <v>7</v>
      </c>
      <c r="E23" s="20">
        <f t="shared" si="2"/>
        <v>7000</v>
      </c>
      <c r="F23" s="20">
        <v>4.7</v>
      </c>
      <c r="G23" s="20">
        <f t="shared" si="4"/>
        <v>4700</v>
      </c>
      <c r="H23" s="20">
        <v>11.7</v>
      </c>
      <c r="I23" s="20">
        <f t="shared" si="0"/>
        <v>11700</v>
      </c>
      <c r="K23" s="4">
        <f t="shared" si="3"/>
        <v>11700</v>
      </c>
    </row>
    <row r="24" spans="1:11">
      <c r="A24" s="4" t="s">
        <v>854</v>
      </c>
      <c r="B24">
        <v>3</v>
      </c>
      <c r="C24" s="4">
        <f t="shared" si="1"/>
        <v>300000</v>
      </c>
      <c r="D24" s="20">
        <v>2</v>
      </c>
      <c r="E24" s="20">
        <f t="shared" si="2"/>
        <v>2000</v>
      </c>
      <c r="F24" s="20">
        <v>0.4</v>
      </c>
      <c r="G24" s="20">
        <f t="shared" si="4"/>
        <v>400</v>
      </c>
      <c r="H24" s="20">
        <v>1.1000000000000001</v>
      </c>
      <c r="I24" s="20">
        <f t="shared" si="0"/>
        <v>1100</v>
      </c>
      <c r="K24" s="4">
        <f t="shared" si="3"/>
        <v>2400</v>
      </c>
    </row>
    <row r="25" spans="1:11">
      <c r="A25" s="4" t="s">
        <v>855</v>
      </c>
      <c r="B25">
        <v>2</v>
      </c>
      <c r="C25" s="4">
        <f>B25*100000</f>
        <v>200000</v>
      </c>
      <c r="D25" s="20">
        <v>1</v>
      </c>
      <c r="E25" s="20">
        <f t="shared" si="2"/>
        <v>1000</v>
      </c>
      <c r="F25" s="20" t="s">
        <v>620</v>
      </c>
      <c r="G25" s="20"/>
      <c r="H25" s="20">
        <v>0.1</v>
      </c>
      <c r="I25" s="20">
        <f t="shared" si="0"/>
        <v>100</v>
      </c>
      <c r="K25" s="4">
        <f t="shared" si="3"/>
        <v>1000</v>
      </c>
    </row>
    <row r="26" spans="1:11">
      <c r="A26" s="4"/>
      <c r="C26" s="4"/>
      <c r="D26" s="20"/>
      <c r="E26" s="20"/>
      <c r="F26" s="20"/>
      <c r="G26" s="20"/>
      <c r="H26" s="20"/>
      <c r="I26" s="20"/>
      <c r="K26" s="4"/>
    </row>
    <row r="27" spans="1:11">
      <c r="A27" s="4"/>
      <c r="C27" s="4"/>
      <c r="D27" s="20"/>
      <c r="E27" s="20"/>
      <c r="F27" s="20"/>
      <c r="G27" s="20"/>
      <c r="H27" s="20"/>
      <c r="I27" s="20"/>
      <c r="K27" s="4"/>
    </row>
    <row r="28" spans="1:11">
      <c r="A28" s="4"/>
      <c r="C28" s="4"/>
      <c r="D28" s="20"/>
      <c r="E28" s="20"/>
      <c r="F28" s="20"/>
      <c r="G28" s="20"/>
      <c r="H28" s="20"/>
      <c r="I28" s="20"/>
      <c r="K28" s="4"/>
    </row>
    <row r="29" spans="1:11">
      <c r="A29" s="4" t="s">
        <v>757</v>
      </c>
      <c r="C29" s="4"/>
      <c r="D29" s="20"/>
      <c r="E29" s="20"/>
      <c r="F29" s="20"/>
      <c r="G29" s="20"/>
      <c r="H29" s="20"/>
      <c r="I29" s="20"/>
      <c r="K29" s="4"/>
    </row>
    <row r="30" spans="1:11">
      <c r="A30" s="4" t="s">
        <v>656</v>
      </c>
      <c r="B30" t="s">
        <v>753</v>
      </c>
      <c r="C30" s="4"/>
      <c r="D30" s="20" t="s">
        <v>754</v>
      </c>
      <c r="E30" s="20"/>
      <c r="F30" s="20" t="s">
        <v>709</v>
      </c>
      <c r="G30" s="20"/>
      <c r="H30" s="20" t="s">
        <v>710</v>
      </c>
      <c r="I30" s="20"/>
      <c r="K30" s="4"/>
    </row>
    <row r="31" spans="1:11">
      <c r="A31" s="4" t="s">
        <v>902</v>
      </c>
      <c r="B31">
        <v>6</v>
      </c>
      <c r="C31" s="4">
        <f>B31*100000</f>
        <v>600000</v>
      </c>
      <c r="D31" s="20">
        <v>1</v>
      </c>
      <c r="E31" s="20">
        <f t="shared" si="2"/>
        <v>1000</v>
      </c>
      <c r="F31" s="20" t="s">
        <v>621</v>
      </c>
      <c r="G31" s="20"/>
      <c r="H31" s="20">
        <v>0.3</v>
      </c>
      <c r="I31" s="20">
        <f t="shared" si="0"/>
        <v>300</v>
      </c>
      <c r="K31" s="4">
        <f t="shared" si="3"/>
        <v>1000</v>
      </c>
    </row>
    <row r="32" spans="1:11">
      <c r="A32" s="4" t="s">
        <v>731</v>
      </c>
      <c r="B32">
        <v>19</v>
      </c>
      <c r="C32" s="4">
        <f t="shared" ref="C32:C39" si="5">B32*100000</f>
        <v>1900000</v>
      </c>
      <c r="D32" s="20">
        <v>17</v>
      </c>
      <c r="E32" s="20">
        <f t="shared" si="2"/>
        <v>17000</v>
      </c>
      <c r="F32" s="20" t="s">
        <v>621</v>
      </c>
      <c r="G32" s="20"/>
      <c r="H32" s="20">
        <v>0.01</v>
      </c>
      <c r="I32" s="20">
        <f t="shared" si="0"/>
        <v>10</v>
      </c>
      <c r="K32" s="4">
        <f t="shared" si="3"/>
        <v>17000</v>
      </c>
    </row>
    <row r="33" spans="1:11">
      <c r="A33" s="4" t="s">
        <v>884</v>
      </c>
      <c r="B33">
        <v>12</v>
      </c>
      <c r="C33" s="4">
        <f t="shared" si="5"/>
        <v>1200000</v>
      </c>
      <c r="D33" s="20">
        <v>4</v>
      </c>
      <c r="E33" s="20">
        <f t="shared" si="2"/>
        <v>4000</v>
      </c>
      <c r="F33" s="20" t="s">
        <v>621</v>
      </c>
      <c r="G33" s="20"/>
      <c r="H33" s="20">
        <v>0.1</v>
      </c>
      <c r="I33" s="20">
        <f t="shared" si="0"/>
        <v>100</v>
      </c>
      <c r="K33" s="4">
        <f t="shared" si="3"/>
        <v>4000</v>
      </c>
    </row>
    <row r="34" spans="1:11">
      <c r="A34" s="4" t="s">
        <v>809</v>
      </c>
      <c r="B34">
        <v>5</v>
      </c>
      <c r="C34" s="4">
        <f t="shared" si="5"/>
        <v>500000</v>
      </c>
      <c r="D34" s="20">
        <v>7</v>
      </c>
      <c r="E34" s="20">
        <f t="shared" si="2"/>
        <v>7000</v>
      </c>
      <c r="F34" s="20">
        <v>1.6</v>
      </c>
      <c r="G34" s="20">
        <f t="shared" si="4"/>
        <v>1600</v>
      </c>
      <c r="H34" s="20">
        <v>1.6</v>
      </c>
      <c r="I34" s="20">
        <f t="shared" si="0"/>
        <v>1600</v>
      </c>
      <c r="K34" s="4">
        <f t="shared" si="3"/>
        <v>8600</v>
      </c>
    </row>
    <row r="35" spans="1:11">
      <c r="A35" s="4" t="s">
        <v>810</v>
      </c>
      <c r="B35">
        <v>14</v>
      </c>
      <c r="C35" s="4">
        <f t="shared" si="5"/>
        <v>1400000</v>
      </c>
      <c r="D35" s="20">
        <v>27</v>
      </c>
      <c r="E35" s="20">
        <f t="shared" si="2"/>
        <v>27000</v>
      </c>
      <c r="F35" s="20" t="s">
        <v>620</v>
      </c>
      <c r="G35" s="20"/>
      <c r="H35" s="20">
        <v>0.03</v>
      </c>
      <c r="I35" s="20">
        <f t="shared" si="0"/>
        <v>30</v>
      </c>
      <c r="K35" s="4">
        <f t="shared" si="3"/>
        <v>27000</v>
      </c>
    </row>
    <row r="36" spans="1:11">
      <c r="A36" s="4" t="s">
        <v>853</v>
      </c>
      <c r="B36">
        <v>6</v>
      </c>
      <c r="C36" s="4">
        <f t="shared" si="5"/>
        <v>600000</v>
      </c>
      <c r="D36" s="20">
        <v>6</v>
      </c>
      <c r="E36" s="20">
        <f t="shared" si="2"/>
        <v>6000</v>
      </c>
      <c r="F36" s="20">
        <v>1.4</v>
      </c>
      <c r="G36" s="20">
        <f t="shared" si="4"/>
        <v>1400</v>
      </c>
      <c r="H36" s="20">
        <v>8</v>
      </c>
      <c r="I36" s="20">
        <f t="shared" si="0"/>
        <v>8000</v>
      </c>
      <c r="K36" s="4">
        <f t="shared" si="3"/>
        <v>7400</v>
      </c>
    </row>
    <row r="37" spans="1:11">
      <c r="A37" s="4" t="s">
        <v>854</v>
      </c>
      <c r="B37">
        <v>7</v>
      </c>
      <c r="C37" s="4">
        <f>B37*100000</f>
        <v>700000</v>
      </c>
      <c r="D37" s="20">
        <v>9</v>
      </c>
      <c r="E37" s="20">
        <f t="shared" si="2"/>
        <v>9000</v>
      </c>
      <c r="F37" s="20" t="s">
        <v>620</v>
      </c>
      <c r="G37" s="20"/>
      <c r="H37" s="20">
        <v>0.4</v>
      </c>
      <c r="I37" s="20">
        <f t="shared" si="0"/>
        <v>400</v>
      </c>
      <c r="K37" s="4">
        <f t="shared" si="3"/>
        <v>9000</v>
      </c>
    </row>
    <row r="38" spans="1:11">
      <c r="A38" s="4" t="s">
        <v>855</v>
      </c>
      <c r="B38">
        <v>8</v>
      </c>
      <c r="C38" s="4">
        <f t="shared" si="5"/>
        <v>800000</v>
      </c>
      <c r="D38" s="20">
        <v>2</v>
      </c>
      <c r="E38" s="20">
        <f t="shared" si="2"/>
        <v>2000</v>
      </c>
      <c r="F38" s="20" t="s">
        <v>620</v>
      </c>
      <c r="G38" s="20"/>
      <c r="H38" s="20">
        <v>0.01</v>
      </c>
      <c r="I38" s="20">
        <f t="shared" si="0"/>
        <v>10</v>
      </c>
      <c r="K38" s="4">
        <f t="shared" si="3"/>
        <v>2000</v>
      </c>
    </row>
    <row r="39" spans="1:11">
      <c r="A39" s="4" t="s">
        <v>902</v>
      </c>
      <c r="B39">
        <v>12</v>
      </c>
      <c r="C39" s="4">
        <f t="shared" si="5"/>
        <v>1200000</v>
      </c>
      <c r="D39" s="20">
        <v>1</v>
      </c>
      <c r="E39" s="20">
        <f t="shared" si="2"/>
        <v>1000</v>
      </c>
      <c r="F39" s="20" t="s">
        <v>620</v>
      </c>
      <c r="G39" s="20"/>
      <c r="H39" s="20">
        <v>0.03</v>
      </c>
      <c r="I39" s="20">
        <f t="shared" si="0"/>
        <v>30</v>
      </c>
      <c r="K39" s="4">
        <f t="shared" si="3"/>
        <v>1000</v>
      </c>
    </row>
    <row r="40" spans="1:11">
      <c r="D40" s="20"/>
      <c r="E40" s="20"/>
      <c r="F40" s="20"/>
      <c r="G40" s="20"/>
      <c r="H40" s="20"/>
      <c r="I40" s="20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3" sqref="H33"/>
    </sheetView>
  </sheetViews>
  <sheetFormatPr baseColWidth="10" defaultRowHeight="13" x14ac:dyDescent="0"/>
  <sheetData>
    <row r="1" spans="1:8">
      <c r="C1" t="s">
        <v>248</v>
      </c>
    </row>
    <row r="3" spans="1:8" s="55" customFormat="1" ht="39">
      <c r="B3" s="55" t="s">
        <v>255</v>
      </c>
      <c r="C3" s="55" t="s">
        <v>249</v>
      </c>
      <c r="D3" s="55" t="s">
        <v>250</v>
      </c>
      <c r="E3" s="55" t="s">
        <v>256</v>
      </c>
      <c r="F3" s="55" t="s">
        <v>259</v>
      </c>
      <c r="G3" s="55" t="s">
        <v>261</v>
      </c>
      <c r="H3" s="55" t="s">
        <v>443</v>
      </c>
    </row>
    <row r="4" spans="1:8">
      <c r="A4" t="s">
        <v>257</v>
      </c>
      <c r="B4" t="s">
        <v>252</v>
      </c>
      <c r="C4">
        <v>0</v>
      </c>
      <c r="D4">
        <v>62.393162393162299</v>
      </c>
      <c r="F4">
        <v>0</v>
      </c>
      <c r="G4">
        <f>(D4+E4)/100</f>
        <v>0.62393162393162305</v>
      </c>
    </row>
    <row r="5" spans="1:8">
      <c r="A5" t="s">
        <v>257</v>
      </c>
      <c r="B5" t="s">
        <v>252</v>
      </c>
      <c r="C5">
        <v>5.3416354419219703</v>
      </c>
      <c r="D5">
        <v>43.162393162393101</v>
      </c>
      <c r="F5">
        <v>0</v>
      </c>
      <c r="G5">
        <f t="shared" ref="G5:G54" si="0">(D5+E5)/100</f>
        <v>0.43162393162393103</v>
      </c>
    </row>
    <row r="6" spans="1:8">
      <c r="A6" t="s">
        <v>257</v>
      </c>
      <c r="B6" t="s">
        <v>252</v>
      </c>
      <c r="C6">
        <v>12.1545073837337</v>
      </c>
      <c r="D6">
        <v>26.923076923076898</v>
      </c>
      <c r="F6">
        <v>0</v>
      </c>
      <c r="G6">
        <f t="shared" si="0"/>
        <v>0.269230769230769</v>
      </c>
    </row>
    <row r="7" spans="1:8">
      <c r="A7" t="s">
        <v>257</v>
      </c>
      <c r="B7" t="s">
        <v>252</v>
      </c>
      <c r="C7">
        <v>17.4638160311512</v>
      </c>
      <c r="D7">
        <v>11.2535612535612</v>
      </c>
      <c r="F7">
        <v>0</v>
      </c>
      <c r="G7">
        <f t="shared" si="0"/>
        <v>0.11253561253561201</v>
      </c>
    </row>
    <row r="8" spans="1:8">
      <c r="A8" t="s">
        <v>257</v>
      </c>
      <c r="B8" t="s">
        <v>252</v>
      </c>
      <c r="C8">
        <v>19.663691132172499</v>
      </c>
      <c r="D8">
        <v>17.378917378917301</v>
      </c>
      <c r="F8">
        <v>0</v>
      </c>
      <c r="G8">
        <f t="shared" si="0"/>
        <v>0.173789173789173</v>
      </c>
    </row>
    <row r="9" spans="1:8">
      <c r="A9" t="s">
        <v>257</v>
      </c>
      <c r="B9" t="s">
        <v>252</v>
      </c>
      <c r="C9">
        <v>21.320255675556499</v>
      </c>
      <c r="D9">
        <v>2.1367521367521398</v>
      </c>
      <c r="F9">
        <v>0</v>
      </c>
      <c r="G9">
        <f t="shared" si="0"/>
        <v>2.1367521367521399E-2</v>
      </c>
    </row>
    <row r="10" spans="1:8">
      <c r="A10" t="s">
        <v>257</v>
      </c>
      <c r="B10" t="s">
        <v>252</v>
      </c>
      <c r="C10">
        <v>25.895599147748101</v>
      </c>
      <c r="D10">
        <v>17.236467236467199</v>
      </c>
      <c r="F10">
        <v>0</v>
      </c>
      <c r="G10">
        <f t="shared" si="0"/>
        <v>0.17236467236467198</v>
      </c>
    </row>
    <row r="11" spans="1:8">
      <c r="A11" t="s">
        <v>257</v>
      </c>
      <c r="B11" t="s">
        <v>252</v>
      </c>
      <c r="C11">
        <v>30.126552053486101</v>
      </c>
      <c r="D11">
        <v>31.9088319088319</v>
      </c>
      <c r="F11">
        <v>0</v>
      </c>
      <c r="G11">
        <f t="shared" si="0"/>
        <v>0.31908831908831897</v>
      </c>
    </row>
    <row r="12" spans="1:8">
      <c r="A12" t="s">
        <v>258</v>
      </c>
      <c r="B12" t="s">
        <v>251</v>
      </c>
      <c r="C12">
        <v>0</v>
      </c>
      <c r="D12">
        <v>58.775370397732601</v>
      </c>
      <c r="E12">
        <v>3.7671232876712302</v>
      </c>
      <c r="F12">
        <v>0</v>
      </c>
      <c r="G12">
        <f t="shared" si="0"/>
        <v>0.62542493685403833</v>
      </c>
      <c r="H12">
        <f>E12/(D12+E12)</f>
        <v>6.0233020234535375E-2</v>
      </c>
    </row>
    <row r="13" spans="1:8">
      <c r="A13" t="s">
        <v>258</v>
      </c>
      <c r="B13" t="s">
        <v>251</v>
      </c>
      <c r="C13">
        <v>5.3675769339261699</v>
      </c>
      <c r="D13">
        <v>63.045522317890502</v>
      </c>
      <c r="E13">
        <v>0</v>
      </c>
      <c r="F13">
        <v>0</v>
      </c>
      <c r="G13">
        <f t="shared" si="0"/>
        <v>0.63045522317890501</v>
      </c>
      <c r="H13">
        <f t="shared" ref="H13:H33" si="1">E13/(D13+E13)</f>
        <v>0</v>
      </c>
    </row>
    <row r="14" spans="1:8">
      <c r="A14" t="s">
        <v>258</v>
      </c>
      <c r="B14" t="s">
        <v>251</v>
      </c>
      <c r="C14">
        <v>14.173841793490601</v>
      </c>
      <c r="D14">
        <v>56.685964511666</v>
      </c>
      <c r="E14">
        <v>0</v>
      </c>
      <c r="F14">
        <v>0</v>
      </c>
      <c r="G14">
        <f t="shared" si="0"/>
        <v>0.56685964511665998</v>
      </c>
      <c r="H14">
        <f t="shared" si="1"/>
        <v>0</v>
      </c>
    </row>
    <row r="15" spans="1:8">
      <c r="A15" t="s">
        <v>258</v>
      </c>
      <c r="B15" t="s">
        <v>251</v>
      </c>
      <c r="C15">
        <v>25.332115464693</v>
      </c>
      <c r="D15">
        <v>16.0241514097277</v>
      </c>
      <c r="E15">
        <v>5.5678303137428102</v>
      </c>
      <c r="F15">
        <v>0</v>
      </c>
      <c r="G15">
        <f t="shared" si="0"/>
        <v>0.2159198172347051</v>
      </c>
      <c r="H15">
        <f t="shared" si="1"/>
        <v>0.2578656459166308</v>
      </c>
    </row>
    <row r="16" spans="1:8">
      <c r="A16" t="s">
        <v>258</v>
      </c>
      <c r="B16" t="s">
        <v>251</v>
      </c>
      <c r="C16">
        <v>37.442744502800601</v>
      </c>
      <c r="D16">
        <v>13.9287009550418</v>
      </c>
      <c r="E16">
        <v>2.5276182059213399</v>
      </c>
      <c r="F16">
        <v>0</v>
      </c>
      <c r="G16">
        <f t="shared" si="0"/>
        <v>0.1645631916096314</v>
      </c>
      <c r="H16">
        <f t="shared" si="1"/>
        <v>0.15359559942889475</v>
      </c>
    </row>
    <row r="17" spans="1:8">
      <c r="A17" t="s">
        <v>258</v>
      </c>
      <c r="B17" t="s">
        <v>251</v>
      </c>
      <c r="C17">
        <v>48.313565355219097</v>
      </c>
      <c r="D17">
        <v>16.351229733904599</v>
      </c>
      <c r="E17">
        <v>2.9054352629253102</v>
      </c>
      <c r="F17">
        <v>0</v>
      </c>
      <c r="G17">
        <f t="shared" si="0"/>
        <v>0.19256664996829909</v>
      </c>
      <c r="H17">
        <f t="shared" si="1"/>
        <v>0.15087946243046821</v>
      </c>
    </row>
    <row r="18" spans="1:8">
      <c r="A18" t="s">
        <v>258</v>
      </c>
      <c r="B18" t="s">
        <v>251</v>
      </c>
      <c r="C18">
        <v>57.225945974988903</v>
      </c>
      <c r="D18">
        <v>31.0025924483189</v>
      </c>
      <c r="E18">
        <v>2.5939019001325598</v>
      </c>
      <c r="F18">
        <v>0</v>
      </c>
      <c r="G18">
        <f t="shared" si="0"/>
        <v>0.33596494348451456</v>
      </c>
      <c r="H18">
        <f t="shared" si="1"/>
        <v>7.7207516749500354E-2</v>
      </c>
    </row>
    <row r="19" spans="1:8">
      <c r="A19" t="s">
        <v>258</v>
      </c>
      <c r="B19" t="s">
        <v>251</v>
      </c>
      <c r="C19">
        <v>70.333257216543302</v>
      </c>
      <c r="D19">
        <v>76.250218276089001</v>
      </c>
      <c r="E19">
        <v>3.32523199292973</v>
      </c>
      <c r="F19">
        <v>0</v>
      </c>
      <c r="G19">
        <f t="shared" si="0"/>
        <v>0.79575450269018733</v>
      </c>
      <c r="H19">
        <f t="shared" si="1"/>
        <v>4.1787159000523419E-2</v>
      </c>
    </row>
    <row r="20" spans="1:8">
      <c r="A20" t="s">
        <v>258</v>
      </c>
      <c r="B20" t="s">
        <v>251</v>
      </c>
      <c r="C20">
        <v>76.415436485016201</v>
      </c>
      <c r="D20">
        <v>80.521713433717906</v>
      </c>
      <c r="E20">
        <v>11.5642951833848</v>
      </c>
      <c r="F20">
        <v>0</v>
      </c>
      <c r="G20">
        <f t="shared" si="0"/>
        <v>0.9208600861710271</v>
      </c>
      <c r="H20">
        <f t="shared" si="1"/>
        <v>0.12558145756397804</v>
      </c>
    </row>
    <row r="21" spans="1:8">
      <c r="A21" t="s">
        <v>258</v>
      </c>
      <c r="B21" t="s">
        <v>251</v>
      </c>
      <c r="C21">
        <v>84.235765040901597</v>
      </c>
      <c r="D21">
        <v>78.946767499026194</v>
      </c>
      <c r="E21">
        <v>4.7414935925762203</v>
      </c>
      <c r="F21">
        <v>0</v>
      </c>
      <c r="G21">
        <f t="shared" si="0"/>
        <v>0.83688261091602412</v>
      </c>
      <c r="H21">
        <f t="shared" si="1"/>
        <v>5.6656615046479904E-2</v>
      </c>
    </row>
    <row r="22" spans="1:8">
      <c r="A22" t="s">
        <v>258</v>
      </c>
      <c r="B22" t="s">
        <v>251</v>
      </c>
      <c r="C22">
        <v>99.7481108312342</v>
      </c>
      <c r="D22">
        <v>46.276595744680797</v>
      </c>
      <c r="E22">
        <v>5.8241272646928701</v>
      </c>
      <c r="F22">
        <v>0</v>
      </c>
      <c r="G22">
        <f t="shared" si="0"/>
        <v>0.52100723009373662</v>
      </c>
      <c r="H22">
        <f t="shared" si="1"/>
        <v>0.11178592020009062</v>
      </c>
    </row>
    <row r="23" spans="1:8">
      <c r="A23" t="s">
        <v>258</v>
      </c>
      <c r="B23" t="s">
        <v>252</v>
      </c>
      <c r="C23">
        <v>0</v>
      </c>
      <c r="D23">
        <v>4.4934563915716703</v>
      </c>
      <c r="E23">
        <v>1.3605442176870699</v>
      </c>
      <c r="F23">
        <v>0</v>
      </c>
      <c r="G23">
        <f t="shared" si="0"/>
        <v>5.8540006092587402E-2</v>
      </c>
      <c r="H23">
        <f t="shared" si="1"/>
        <v>0.23241272225616458</v>
      </c>
    </row>
    <row r="24" spans="1:8">
      <c r="A24" t="s">
        <v>258</v>
      </c>
      <c r="B24" t="s">
        <v>252</v>
      </c>
      <c r="C24">
        <v>5.3165981273357996</v>
      </c>
      <c r="D24">
        <v>4.5242656021861096</v>
      </c>
      <c r="E24">
        <v>1.04015799868334</v>
      </c>
      <c r="F24">
        <v>0</v>
      </c>
      <c r="G24">
        <f t="shared" si="0"/>
        <v>5.5644236008694496E-2</v>
      </c>
      <c r="H24">
        <f t="shared" si="1"/>
        <v>0.18693005301048859</v>
      </c>
    </row>
    <row r="25" spans="1:8">
      <c r="A25" t="s">
        <v>258</v>
      </c>
      <c r="B25" t="s">
        <v>252</v>
      </c>
      <c r="C25">
        <v>14.066413941837499</v>
      </c>
      <c r="D25">
        <v>32.612888966283997</v>
      </c>
      <c r="E25">
        <v>3.1116962914197899</v>
      </c>
      <c r="F25">
        <v>0</v>
      </c>
      <c r="G25">
        <f t="shared" si="0"/>
        <v>0.35724585257703789</v>
      </c>
      <c r="H25">
        <f t="shared" si="1"/>
        <v>8.7102376947784763E-2</v>
      </c>
    </row>
    <row r="26" spans="1:8">
      <c r="A26" t="s">
        <v>258</v>
      </c>
      <c r="B26" t="s">
        <v>252</v>
      </c>
      <c r="C26">
        <v>24.891163114677202</v>
      </c>
      <c r="D26">
        <v>20.500850602119101</v>
      </c>
      <c r="E26">
        <v>3.8270792187842799</v>
      </c>
      <c r="F26">
        <v>0</v>
      </c>
      <c r="G26">
        <f t="shared" si="0"/>
        <v>0.24327929820903382</v>
      </c>
      <c r="H26">
        <f t="shared" si="1"/>
        <v>0.15731216124669695</v>
      </c>
    </row>
    <row r="27" spans="1:8">
      <c r="A27" t="s">
        <v>258</v>
      </c>
      <c r="B27" t="s">
        <v>252</v>
      </c>
      <c r="C27">
        <v>36.9616760210574</v>
      </c>
      <c r="D27">
        <v>4.4271496122057901</v>
      </c>
      <c r="E27">
        <v>1.4856265086679801</v>
      </c>
      <c r="F27">
        <v>0</v>
      </c>
      <c r="G27">
        <f t="shared" si="0"/>
        <v>5.9127761208737709E-2</v>
      </c>
      <c r="H27">
        <f t="shared" si="1"/>
        <v>0.25125702010317941</v>
      </c>
    </row>
    <row r="28" spans="1:8">
      <c r="A28" t="s">
        <v>258</v>
      </c>
      <c r="B28" t="s">
        <v>252</v>
      </c>
      <c r="C28">
        <v>47.844025022437101</v>
      </c>
      <c r="D28">
        <v>3.6910773846998701</v>
      </c>
      <c r="E28">
        <v>1.1827956989247299</v>
      </c>
      <c r="F28">
        <v>0</v>
      </c>
      <c r="G28">
        <f t="shared" si="0"/>
        <v>4.8738730836246004E-2</v>
      </c>
      <c r="H28">
        <f t="shared" si="1"/>
        <v>0.24268085742706882</v>
      </c>
    </row>
    <row r="29" spans="1:8">
      <c r="A29" t="s">
        <v>258</v>
      </c>
      <c r="B29" t="s">
        <v>252</v>
      </c>
      <c r="C29">
        <v>56.963551364312202</v>
      </c>
      <c r="D29">
        <v>4.7975299050272504</v>
      </c>
      <c r="E29">
        <v>1.5558481457098901</v>
      </c>
      <c r="F29">
        <v>0</v>
      </c>
      <c r="G29">
        <f t="shared" si="0"/>
        <v>6.3533780507371407E-2</v>
      </c>
      <c r="H29">
        <f t="shared" si="1"/>
        <v>0.24488518285628783</v>
      </c>
    </row>
    <row r="30" spans="1:8">
      <c r="A30" t="s">
        <v>258</v>
      </c>
      <c r="B30" t="s">
        <v>252</v>
      </c>
      <c r="C30">
        <v>70.405743908483203</v>
      </c>
      <c r="D30">
        <v>9.6305573788059302</v>
      </c>
      <c r="E30">
        <v>2.6201448321263898</v>
      </c>
      <c r="F30">
        <v>0</v>
      </c>
      <c r="G30">
        <f t="shared" si="0"/>
        <v>0.12250702210932321</v>
      </c>
      <c r="H30">
        <f t="shared" si="1"/>
        <v>0.21387711390031314</v>
      </c>
    </row>
    <row r="31" spans="1:8">
      <c r="A31" t="s">
        <v>258</v>
      </c>
      <c r="B31" t="s">
        <v>252</v>
      </c>
      <c r="C31">
        <v>75.988908684178696</v>
      </c>
      <c r="D31">
        <v>12.3056005786773</v>
      </c>
      <c r="E31">
        <v>1.27935044985735</v>
      </c>
      <c r="F31">
        <v>0</v>
      </c>
      <c r="G31">
        <f t="shared" si="0"/>
        <v>0.1358495102853465</v>
      </c>
      <c r="H31">
        <f t="shared" si="1"/>
        <v>9.4174093610652349E-2</v>
      </c>
    </row>
    <row r="32" spans="1:8">
      <c r="A32" t="s">
        <v>258</v>
      </c>
      <c r="B32" t="s">
        <v>252</v>
      </c>
      <c r="C32">
        <v>84.194874954790805</v>
      </c>
      <c r="D32">
        <v>32.9839390245535</v>
      </c>
      <c r="E32">
        <v>2.66622778143515</v>
      </c>
      <c r="F32">
        <v>0</v>
      </c>
      <c r="G32">
        <f t="shared" si="0"/>
        <v>0.35650166805988648</v>
      </c>
      <c r="H32">
        <f t="shared" si="1"/>
        <v>7.4788648141395714E-2</v>
      </c>
    </row>
    <row r="33" spans="1:8">
      <c r="A33" t="s">
        <v>258</v>
      </c>
      <c r="B33" t="s">
        <v>252</v>
      </c>
      <c r="C33">
        <v>100.07635326108699</v>
      </c>
      <c r="D33">
        <v>69.575904518237607</v>
      </c>
      <c r="E33">
        <v>1.3605442176870699</v>
      </c>
      <c r="F33">
        <v>0</v>
      </c>
      <c r="G33">
        <f t="shared" si="0"/>
        <v>0.70936448735924673</v>
      </c>
      <c r="H33">
        <f t="shared" si="1"/>
        <v>1.9179762194636667E-2</v>
      </c>
    </row>
    <row r="34" spans="1:8">
      <c r="A34" t="s">
        <v>258</v>
      </c>
      <c r="B34" t="s">
        <v>253</v>
      </c>
      <c r="C34">
        <v>0</v>
      </c>
      <c r="D34">
        <v>23.8095238095238</v>
      </c>
      <c r="F34">
        <v>0</v>
      </c>
      <c r="G34">
        <f t="shared" si="0"/>
        <v>0.238095238095238</v>
      </c>
    </row>
    <row r="35" spans="1:8">
      <c r="A35" t="s">
        <v>258</v>
      </c>
      <c r="B35" t="s">
        <v>253</v>
      </c>
      <c r="C35">
        <v>5.7934508816120802</v>
      </c>
      <c r="D35">
        <v>28.3068783068783</v>
      </c>
      <c r="F35">
        <v>0</v>
      </c>
      <c r="G35">
        <f t="shared" si="0"/>
        <v>0.28306878306878303</v>
      </c>
    </row>
    <row r="36" spans="1:8">
      <c r="A36" t="s">
        <v>258</v>
      </c>
      <c r="B36" t="s">
        <v>253</v>
      </c>
      <c r="C36">
        <v>14.105793450881601</v>
      </c>
      <c r="D36">
        <v>38.095238095238003</v>
      </c>
      <c r="F36">
        <v>0</v>
      </c>
      <c r="G36">
        <f t="shared" si="0"/>
        <v>0.38095238095238004</v>
      </c>
    </row>
    <row r="37" spans="1:8">
      <c r="A37" t="s">
        <v>258</v>
      </c>
      <c r="B37" t="s">
        <v>253</v>
      </c>
      <c r="C37">
        <v>24.6851385390428</v>
      </c>
      <c r="D37">
        <v>49.470899470899397</v>
      </c>
      <c r="F37">
        <v>0</v>
      </c>
      <c r="G37">
        <f t="shared" si="0"/>
        <v>0.49470899470899399</v>
      </c>
    </row>
    <row r="38" spans="1:8">
      <c r="A38" t="s">
        <v>258</v>
      </c>
      <c r="B38" t="s">
        <v>253</v>
      </c>
      <c r="C38">
        <v>37.027707808564202</v>
      </c>
      <c r="D38">
        <v>7.4074074074074003</v>
      </c>
      <c r="F38">
        <v>0</v>
      </c>
      <c r="G38">
        <f t="shared" si="0"/>
        <v>7.4074074074074001E-2</v>
      </c>
    </row>
    <row r="39" spans="1:8">
      <c r="A39" t="s">
        <v>258</v>
      </c>
      <c r="B39" t="s">
        <v>253</v>
      </c>
      <c r="C39">
        <v>48.110831234256899</v>
      </c>
      <c r="D39">
        <v>6.0846560846560802</v>
      </c>
      <c r="F39">
        <v>0</v>
      </c>
      <c r="G39">
        <f t="shared" si="0"/>
        <v>6.0846560846560802E-2</v>
      </c>
    </row>
    <row r="40" spans="1:8">
      <c r="A40" t="s">
        <v>258</v>
      </c>
      <c r="B40" t="s">
        <v>253</v>
      </c>
      <c r="C40">
        <v>57.178841309823603</v>
      </c>
      <c r="D40">
        <v>17.989417989417898</v>
      </c>
      <c r="F40">
        <v>0</v>
      </c>
      <c r="G40">
        <f t="shared" si="0"/>
        <v>0.179894179894179</v>
      </c>
    </row>
    <row r="41" spans="1:8">
      <c r="A41" t="s">
        <v>258</v>
      </c>
      <c r="B41" t="s">
        <v>253</v>
      </c>
      <c r="C41">
        <v>70.277078085642302</v>
      </c>
      <c r="D41">
        <v>61.1111111111111</v>
      </c>
      <c r="F41">
        <v>0</v>
      </c>
      <c r="G41">
        <f t="shared" si="0"/>
        <v>0.61111111111111105</v>
      </c>
    </row>
    <row r="42" spans="1:8">
      <c r="A42" t="s">
        <v>258</v>
      </c>
      <c r="B42" t="s">
        <v>253</v>
      </c>
      <c r="C42">
        <v>75.818639798488604</v>
      </c>
      <c r="D42">
        <v>39.153439153439102</v>
      </c>
      <c r="F42">
        <v>0</v>
      </c>
      <c r="G42">
        <f t="shared" si="0"/>
        <v>0.39153439153439101</v>
      </c>
    </row>
    <row r="43" spans="1:8">
      <c r="A43" t="s">
        <v>258</v>
      </c>
      <c r="B43" t="s">
        <v>253</v>
      </c>
      <c r="C43">
        <v>84.130982367758193</v>
      </c>
      <c r="D43">
        <v>21.164021164021101</v>
      </c>
      <c r="F43">
        <v>0</v>
      </c>
      <c r="G43">
        <f t="shared" si="0"/>
        <v>0.21164021164021102</v>
      </c>
    </row>
    <row r="44" spans="1:8">
      <c r="A44" t="s">
        <v>258</v>
      </c>
      <c r="B44" t="s">
        <v>253</v>
      </c>
      <c r="C44">
        <v>100</v>
      </c>
      <c r="D44">
        <v>11.6402116402116</v>
      </c>
      <c r="F44">
        <v>0</v>
      </c>
      <c r="G44">
        <f t="shared" si="0"/>
        <v>0.11640211640211601</v>
      </c>
    </row>
    <row r="45" spans="1:8">
      <c r="A45" t="s">
        <v>258</v>
      </c>
      <c r="B45" t="s">
        <v>254</v>
      </c>
      <c r="C45">
        <v>0</v>
      </c>
      <c r="D45">
        <v>33.068783068782999</v>
      </c>
      <c r="F45">
        <v>0</v>
      </c>
      <c r="G45">
        <f t="shared" si="0"/>
        <v>0.33068783068782998</v>
      </c>
    </row>
    <row r="46" spans="1:8">
      <c r="A46" t="s">
        <v>258</v>
      </c>
      <c r="B46" t="s">
        <v>254</v>
      </c>
      <c r="C46">
        <v>5.7934508816120802</v>
      </c>
      <c r="D46">
        <v>34.126984126984098</v>
      </c>
      <c r="F46">
        <v>0</v>
      </c>
      <c r="G46">
        <f t="shared" si="0"/>
        <v>0.341269841269841</v>
      </c>
    </row>
    <row r="47" spans="1:8">
      <c r="A47" t="s">
        <v>258</v>
      </c>
      <c r="B47" t="s">
        <v>254</v>
      </c>
      <c r="C47">
        <v>14.105793450881601</v>
      </c>
      <c r="D47">
        <v>32.804232804232797</v>
      </c>
      <c r="F47">
        <v>0</v>
      </c>
      <c r="G47">
        <f t="shared" si="0"/>
        <v>0.32804232804232797</v>
      </c>
    </row>
    <row r="48" spans="1:8">
      <c r="A48" t="s">
        <v>258</v>
      </c>
      <c r="B48" t="s">
        <v>254</v>
      </c>
      <c r="C48">
        <v>24.6851385390428</v>
      </c>
      <c r="D48">
        <v>58.465608465608398</v>
      </c>
      <c r="F48">
        <v>0</v>
      </c>
      <c r="G48">
        <f t="shared" si="0"/>
        <v>0.58465608465608399</v>
      </c>
    </row>
    <row r="49" spans="1:7">
      <c r="A49" t="s">
        <v>258</v>
      </c>
      <c r="B49" t="s">
        <v>254</v>
      </c>
      <c r="C49">
        <v>37.027707808564202</v>
      </c>
      <c r="D49">
        <v>29.100529100529101</v>
      </c>
      <c r="F49">
        <v>0</v>
      </c>
      <c r="G49">
        <f t="shared" si="0"/>
        <v>0.29100529100529099</v>
      </c>
    </row>
    <row r="50" spans="1:7">
      <c r="A50" t="s">
        <v>258</v>
      </c>
      <c r="B50" t="s">
        <v>254</v>
      </c>
      <c r="C50">
        <v>48.110831234256899</v>
      </c>
      <c r="D50">
        <v>8.9947089947089793</v>
      </c>
      <c r="F50">
        <v>0</v>
      </c>
      <c r="G50">
        <f t="shared" si="0"/>
        <v>8.9947089947089789E-2</v>
      </c>
    </row>
    <row r="51" spans="1:7">
      <c r="A51" t="s">
        <v>258</v>
      </c>
      <c r="B51" t="s">
        <v>254</v>
      </c>
      <c r="C51">
        <v>57.178841309823603</v>
      </c>
      <c r="D51">
        <v>23.015873015873002</v>
      </c>
      <c r="F51">
        <v>0</v>
      </c>
      <c r="G51">
        <f t="shared" si="0"/>
        <v>0.23015873015873001</v>
      </c>
    </row>
    <row r="52" spans="1:7">
      <c r="A52" t="s">
        <v>258</v>
      </c>
      <c r="B52" t="s">
        <v>254</v>
      </c>
      <c r="C52">
        <v>70.277078085642302</v>
      </c>
      <c r="D52">
        <v>43.915343915343897</v>
      </c>
      <c r="F52">
        <v>0</v>
      </c>
      <c r="G52">
        <f t="shared" si="0"/>
        <v>0.43915343915343896</v>
      </c>
    </row>
    <row r="53" spans="1:7">
      <c r="A53" t="s">
        <v>258</v>
      </c>
      <c r="B53" t="s">
        <v>254</v>
      </c>
      <c r="C53">
        <v>75.818639798488604</v>
      </c>
      <c r="D53">
        <v>27.2486772486772</v>
      </c>
      <c r="F53">
        <v>0</v>
      </c>
      <c r="G53">
        <f t="shared" si="0"/>
        <v>0.272486772486772</v>
      </c>
    </row>
    <row r="54" spans="1:7">
      <c r="A54" t="s">
        <v>258</v>
      </c>
      <c r="B54" t="s">
        <v>254</v>
      </c>
      <c r="C54">
        <v>84.130982367758193</v>
      </c>
      <c r="D54">
        <v>44.4444444444444</v>
      </c>
      <c r="F54">
        <v>0</v>
      </c>
      <c r="G54">
        <f t="shared" si="0"/>
        <v>0.44444444444444398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H6" sqref="H6"/>
    </sheetView>
  </sheetViews>
  <sheetFormatPr baseColWidth="10" defaultRowHeight="13" x14ac:dyDescent="0"/>
  <cols>
    <col min="5" max="5" width="17.28515625" customWidth="1"/>
  </cols>
  <sheetData>
    <row r="1" spans="1:12">
      <c r="B1" t="s">
        <v>794</v>
      </c>
      <c r="C1" t="s">
        <v>795</v>
      </c>
      <c r="D1" t="s">
        <v>796</v>
      </c>
      <c r="E1" t="s">
        <v>797</v>
      </c>
      <c r="F1" t="s">
        <v>798</v>
      </c>
      <c r="H1" t="s">
        <v>799</v>
      </c>
      <c r="I1" t="s">
        <v>800</v>
      </c>
      <c r="J1" t="s">
        <v>801</v>
      </c>
      <c r="L1" t="s">
        <v>802</v>
      </c>
    </row>
    <row r="2" spans="1:12">
      <c r="A2" t="s">
        <v>778</v>
      </c>
    </row>
    <row r="3" spans="1:12">
      <c r="A3" t="s">
        <v>779</v>
      </c>
      <c r="D3" t="s">
        <v>404</v>
      </c>
    </row>
    <row r="5" spans="1:12" s="55" customFormat="1" ht="26">
      <c r="B5" s="66" t="s">
        <v>803</v>
      </c>
      <c r="C5" s="55" t="s">
        <v>804</v>
      </c>
      <c r="D5" s="55" t="s">
        <v>644</v>
      </c>
      <c r="E5" s="55" t="s">
        <v>805</v>
      </c>
      <c r="F5" s="66" t="s">
        <v>369</v>
      </c>
      <c r="G5" s="55" t="s">
        <v>806</v>
      </c>
      <c r="H5" s="66" t="s">
        <v>285</v>
      </c>
    </row>
    <row r="6" spans="1:12">
      <c r="B6" s="26">
        <v>718</v>
      </c>
      <c r="C6">
        <v>12.1</v>
      </c>
      <c r="D6" s="52">
        <f t="shared" ref="D6:D12" si="0">C6*(10^5)</f>
        <v>1210000</v>
      </c>
      <c r="E6">
        <v>84</v>
      </c>
      <c r="F6" s="50">
        <f>(E6*D6)/100</f>
        <v>1016400</v>
      </c>
      <c r="G6">
        <v>4.3</v>
      </c>
      <c r="H6" s="50">
        <f>(G6*D6)/100</f>
        <v>52030</v>
      </c>
    </row>
    <row r="7" spans="1:12">
      <c r="B7" s="26">
        <v>803</v>
      </c>
      <c r="C7">
        <v>12</v>
      </c>
      <c r="D7" s="52">
        <f t="shared" si="0"/>
        <v>1200000</v>
      </c>
      <c r="E7">
        <v>43</v>
      </c>
      <c r="F7" s="50">
        <f t="shared" ref="F7:F12" si="1">(E7*D7)/100</f>
        <v>516000</v>
      </c>
      <c r="G7">
        <v>0.2</v>
      </c>
      <c r="H7" s="50">
        <f t="shared" ref="H7:H12" si="2">(G7*D7)/100</f>
        <v>2400</v>
      </c>
    </row>
    <row r="8" spans="1:12">
      <c r="B8" s="26">
        <v>906</v>
      </c>
      <c r="C8">
        <v>5.7</v>
      </c>
      <c r="D8" s="52">
        <f t="shared" si="0"/>
        <v>570000</v>
      </c>
      <c r="E8">
        <v>73</v>
      </c>
      <c r="F8" s="50">
        <f t="shared" si="1"/>
        <v>416100</v>
      </c>
      <c r="G8">
        <v>0.4</v>
      </c>
      <c r="H8" s="50">
        <f t="shared" si="2"/>
        <v>2280</v>
      </c>
    </row>
    <row r="9" spans="1:12">
      <c r="B9" s="26">
        <v>912</v>
      </c>
      <c r="C9">
        <v>7</v>
      </c>
      <c r="D9" s="52">
        <f t="shared" si="0"/>
        <v>700000</v>
      </c>
      <c r="E9">
        <v>78</v>
      </c>
      <c r="F9" s="50">
        <f>(E9*D9)/100</f>
        <v>546000</v>
      </c>
      <c r="G9">
        <v>5.5</v>
      </c>
      <c r="H9" s="50">
        <f t="shared" si="2"/>
        <v>38500</v>
      </c>
    </row>
    <row r="10" spans="1:12">
      <c r="B10" s="26">
        <v>915</v>
      </c>
      <c r="C10">
        <v>6.5</v>
      </c>
      <c r="D10" s="52">
        <f t="shared" si="0"/>
        <v>650000</v>
      </c>
      <c r="E10">
        <v>81</v>
      </c>
      <c r="F10" s="50">
        <f t="shared" si="1"/>
        <v>526500</v>
      </c>
      <c r="G10">
        <v>1.4</v>
      </c>
      <c r="H10" s="50">
        <f t="shared" si="2"/>
        <v>9100</v>
      </c>
    </row>
    <row r="11" spans="1:12">
      <c r="B11" s="26">
        <v>917</v>
      </c>
      <c r="C11">
        <v>7.8</v>
      </c>
      <c r="D11" s="52">
        <f t="shared" si="0"/>
        <v>780000</v>
      </c>
      <c r="E11">
        <v>45</v>
      </c>
      <c r="F11" s="50">
        <f t="shared" si="1"/>
        <v>351000</v>
      </c>
      <c r="G11">
        <v>2.2999999999999998</v>
      </c>
      <c r="H11" s="50">
        <f t="shared" si="2"/>
        <v>17939.999999999996</v>
      </c>
    </row>
    <row r="12" spans="1:12">
      <c r="B12" s="26">
        <v>918</v>
      </c>
      <c r="C12">
        <v>13.8</v>
      </c>
      <c r="D12" s="52">
        <f t="shared" si="0"/>
        <v>1380000</v>
      </c>
      <c r="E12">
        <v>47</v>
      </c>
      <c r="F12" s="50">
        <f t="shared" si="1"/>
        <v>648600</v>
      </c>
      <c r="G12">
        <v>2.1</v>
      </c>
      <c r="H12" s="50">
        <f t="shared" si="2"/>
        <v>28980</v>
      </c>
    </row>
    <row r="19" spans="1:21">
      <c r="A19" t="s">
        <v>794</v>
      </c>
      <c r="B19" t="s">
        <v>795</v>
      </c>
      <c r="C19" t="s">
        <v>796</v>
      </c>
      <c r="D19" t="s">
        <v>797</v>
      </c>
      <c r="E19" t="s">
        <v>798</v>
      </c>
      <c r="F19" t="s">
        <v>799</v>
      </c>
      <c r="G19" t="s">
        <v>320</v>
      </c>
      <c r="H19" t="s">
        <v>321</v>
      </c>
      <c r="I19" t="s">
        <v>322</v>
      </c>
      <c r="J19" t="s">
        <v>323</v>
      </c>
    </row>
    <row r="20" spans="1:21">
      <c r="A20" t="s">
        <v>417</v>
      </c>
    </row>
    <row r="21" spans="1:21">
      <c r="A21" t="s">
        <v>324</v>
      </c>
      <c r="B21" t="s">
        <v>325</v>
      </c>
      <c r="C21" t="s">
        <v>324</v>
      </c>
      <c r="D21" t="s">
        <v>326</v>
      </c>
    </row>
    <row r="22" spans="1:21">
      <c r="A22" t="s">
        <v>327</v>
      </c>
      <c r="B22" t="s">
        <v>328</v>
      </c>
      <c r="C22" t="s">
        <v>329</v>
      </c>
      <c r="D22" t="s">
        <v>330</v>
      </c>
      <c r="E22" t="s">
        <v>331</v>
      </c>
      <c r="F22" t="s">
        <v>332</v>
      </c>
      <c r="G22" t="s">
        <v>333</v>
      </c>
      <c r="H22" t="s">
        <v>334</v>
      </c>
      <c r="I22" t="s">
        <v>331</v>
      </c>
      <c r="J22" t="s">
        <v>332</v>
      </c>
      <c r="K22">
        <v>105</v>
      </c>
      <c r="L22" t="s">
        <v>335</v>
      </c>
      <c r="M22" t="s">
        <v>336</v>
      </c>
      <c r="N22" t="s">
        <v>334</v>
      </c>
      <c r="O22" t="s">
        <v>337</v>
      </c>
      <c r="P22" t="s">
        <v>331</v>
      </c>
      <c r="Q22" t="s">
        <v>338</v>
      </c>
      <c r="R22" t="s">
        <v>332</v>
      </c>
      <c r="S22" t="s">
        <v>339</v>
      </c>
      <c r="T22" t="s">
        <v>338</v>
      </c>
      <c r="U22" t="s">
        <v>332</v>
      </c>
    </row>
    <row r="23" spans="1:21">
      <c r="A23">
        <v>709</v>
      </c>
      <c r="B23" t="s">
        <v>340</v>
      </c>
      <c r="C23">
        <v>27.4</v>
      </c>
      <c r="D23">
        <v>0.9</v>
      </c>
      <c r="E23">
        <v>10.5</v>
      </c>
      <c r="F23">
        <v>80</v>
      </c>
      <c r="G23">
        <v>1.9</v>
      </c>
      <c r="H23">
        <v>0.1</v>
      </c>
      <c r="I23">
        <v>41</v>
      </c>
      <c r="J23">
        <v>6.1</v>
      </c>
      <c r="K23">
        <v>3</v>
      </c>
      <c r="L23">
        <v>0.57999999999999996</v>
      </c>
      <c r="M23">
        <v>-0.04</v>
      </c>
      <c r="N23">
        <v>39</v>
      </c>
      <c r="O23">
        <v>2.65</v>
      </c>
      <c r="P23">
        <v>-0.09</v>
      </c>
      <c r="Q23">
        <v>35</v>
      </c>
    </row>
    <row r="24" spans="1:21">
      <c r="A24">
        <v>718</v>
      </c>
      <c r="B24">
        <v>6.2</v>
      </c>
      <c r="C24">
        <v>25.5</v>
      </c>
      <c r="D24">
        <v>1.9</v>
      </c>
      <c r="E24">
        <v>5.8</v>
      </c>
      <c r="F24">
        <v>25</v>
      </c>
      <c r="G24">
        <v>1.5</v>
      </c>
      <c r="H24">
        <v>0.3</v>
      </c>
      <c r="I24">
        <v>73</v>
      </c>
      <c r="J24">
        <v>12.1</v>
      </c>
      <c r="K24">
        <v>9</v>
      </c>
      <c r="L24">
        <v>0.57999999999999996</v>
      </c>
      <c r="M24">
        <v>-0.1</v>
      </c>
      <c r="N24">
        <v>0</v>
      </c>
      <c r="O24">
        <v>0.9</v>
      </c>
      <c r="P24">
        <v>-0.13</v>
      </c>
      <c r="Q24">
        <v>0</v>
      </c>
    </row>
    <row r="25" spans="1:21">
      <c r="A25">
        <v>803</v>
      </c>
      <c r="B25">
        <v>8.5</v>
      </c>
      <c r="C25">
        <v>24</v>
      </c>
      <c r="D25">
        <v>2.6</v>
      </c>
      <c r="E25">
        <v>1.8</v>
      </c>
      <c r="F25">
        <v>2</v>
      </c>
      <c r="G25">
        <v>0.3</v>
      </c>
      <c r="H25">
        <v>0.18</v>
      </c>
      <c r="I25">
        <v>43</v>
      </c>
      <c r="J25">
        <v>12</v>
      </c>
      <c r="K25">
        <v>4</v>
      </c>
      <c r="L25">
        <v>0.28000000000000003</v>
      </c>
      <c r="M25">
        <v>-0.05</v>
      </c>
      <c r="N25">
        <v>40</v>
      </c>
      <c r="O25">
        <v>0.87</v>
      </c>
      <c r="P25">
        <v>-0.08</v>
      </c>
      <c r="Q25">
        <v>0</v>
      </c>
    </row>
    <row r="26" spans="1:21">
      <c r="A26">
        <v>906</v>
      </c>
      <c r="B26">
        <v>7.9</v>
      </c>
      <c r="C26">
        <v>14.8</v>
      </c>
      <c r="D26">
        <v>6.2</v>
      </c>
      <c r="E26">
        <v>6.2</v>
      </c>
      <c r="F26">
        <v>60</v>
      </c>
      <c r="G26">
        <v>3.1</v>
      </c>
      <c r="H26">
        <v>1.38</v>
      </c>
      <c r="I26">
        <v>88</v>
      </c>
      <c r="J26">
        <v>5.7</v>
      </c>
      <c r="K26">
        <v>5</v>
      </c>
      <c r="L26">
        <v>1.61</v>
      </c>
      <c r="M26">
        <v>-0.32</v>
      </c>
      <c r="N26">
        <v>51</v>
      </c>
      <c r="O26">
        <v>3.92</v>
      </c>
      <c r="P26">
        <v>-0.62</v>
      </c>
      <c r="Q26">
        <v>0</v>
      </c>
    </row>
    <row r="27" spans="1:21">
      <c r="A27">
        <v>912</v>
      </c>
      <c r="B27">
        <v>7.2</v>
      </c>
      <c r="C27">
        <v>8.6999999999999993</v>
      </c>
      <c r="D27">
        <v>9.3000000000000007</v>
      </c>
      <c r="E27">
        <v>6</v>
      </c>
      <c r="F27">
        <v>61</v>
      </c>
      <c r="G27">
        <v>0.4</v>
      </c>
      <c r="H27">
        <v>2.37</v>
      </c>
      <c r="I27">
        <v>80</v>
      </c>
      <c r="J27">
        <v>7</v>
      </c>
      <c r="K27">
        <v>6</v>
      </c>
      <c r="L27">
        <v>0.49</v>
      </c>
      <c r="M27">
        <v>-0.17</v>
      </c>
      <c r="N27">
        <v>0</v>
      </c>
      <c r="O27">
        <v>1.1000000000000001</v>
      </c>
      <c r="P27">
        <v>-0.12</v>
      </c>
      <c r="Q27">
        <v>24</v>
      </c>
    </row>
    <row r="28" spans="1:21">
      <c r="A28">
        <v>915</v>
      </c>
      <c r="B28">
        <v>6.7</v>
      </c>
      <c r="C28">
        <v>3.9</v>
      </c>
      <c r="D28">
        <v>9.1</v>
      </c>
      <c r="E28">
        <v>7.6</v>
      </c>
      <c r="F28">
        <v>19</v>
      </c>
      <c r="G28">
        <v>0.7</v>
      </c>
      <c r="H28">
        <v>2.1800000000000002</v>
      </c>
      <c r="I28">
        <v>94</v>
      </c>
      <c r="J28">
        <v>6.5</v>
      </c>
      <c r="K28">
        <v>4</v>
      </c>
      <c r="L28">
        <v>0.22</v>
      </c>
      <c r="M28">
        <v>-0.01</v>
      </c>
      <c r="N28">
        <v>33</v>
      </c>
      <c r="O28">
        <v>0.76</v>
      </c>
      <c r="P28" t="s">
        <v>341</v>
      </c>
      <c r="Q28">
        <v>86</v>
      </c>
    </row>
    <row r="29" spans="1:21">
      <c r="A29">
        <v>917</v>
      </c>
      <c r="B29">
        <v>14</v>
      </c>
      <c r="C29">
        <v>7.9</v>
      </c>
      <c r="D29">
        <v>9.6999999999999993</v>
      </c>
      <c r="E29">
        <v>15.1</v>
      </c>
      <c r="F29">
        <v>97</v>
      </c>
      <c r="G29">
        <v>2.6</v>
      </c>
      <c r="H29">
        <v>3.86</v>
      </c>
      <c r="I29">
        <v>93</v>
      </c>
      <c r="J29">
        <v>7.8</v>
      </c>
      <c r="K29">
        <v>7</v>
      </c>
      <c r="L29">
        <v>2.25</v>
      </c>
      <c r="M29">
        <v>-0.3</v>
      </c>
      <c r="N29">
        <v>92</v>
      </c>
      <c r="O29">
        <v>4.05</v>
      </c>
      <c r="P29">
        <v>-0.75</v>
      </c>
      <c r="Q29">
        <v>78</v>
      </c>
    </row>
    <row r="30" spans="1:21">
      <c r="A30">
        <v>918</v>
      </c>
      <c r="B30">
        <v>16.8</v>
      </c>
      <c r="C30">
        <v>0.1</v>
      </c>
      <c r="D30">
        <v>8.8000000000000007</v>
      </c>
      <c r="E30">
        <v>143.69999999999999</v>
      </c>
      <c r="F30">
        <v>98</v>
      </c>
      <c r="G30">
        <v>12.2</v>
      </c>
      <c r="H30">
        <v>2.94</v>
      </c>
      <c r="I30">
        <v>90</v>
      </c>
      <c r="J30">
        <v>13.8</v>
      </c>
      <c r="K30">
        <v>3</v>
      </c>
      <c r="L30">
        <v>0.55000000000000004</v>
      </c>
      <c r="M30">
        <v>-0.03</v>
      </c>
      <c r="N30">
        <v>98</v>
      </c>
      <c r="O30">
        <v>2.37</v>
      </c>
      <c r="P30">
        <v>-0.13</v>
      </c>
      <c r="Q30">
        <v>94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D61" sqref="D61"/>
    </sheetView>
  </sheetViews>
  <sheetFormatPr baseColWidth="10" defaultRowHeight="13" x14ac:dyDescent="0"/>
  <sheetData>
    <row r="1" spans="1:9">
      <c r="A1" t="s">
        <v>356</v>
      </c>
    </row>
    <row r="2" spans="1:9">
      <c r="A2" s="63" t="s">
        <v>396</v>
      </c>
      <c r="B2" s="51" t="s">
        <v>416</v>
      </c>
      <c r="C2" s="65" t="s">
        <v>534</v>
      </c>
      <c r="D2" s="51" t="s">
        <v>246</v>
      </c>
      <c r="E2" s="51" t="s">
        <v>538</v>
      </c>
      <c r="F2" s="20" t="s">
        <v>633</v>
      </c>
      <c r="G2" s="20" t="s">
        <v>634</v>
      </c>
      <c r="H2" s="51" t="s">
        <v>359</v>
      </c>
    </row>
    <row r="6" spans="1:9">
      <c r="B6" t="s">
        <v>520</v>
      </c>
      <c r="C6" t="s">
        <v>256</v>
      </c>
      <c r="D6" t="s">
        <v>250</v>
      </c>
      <c r="E6" t="s">
        <v>360</v>
      </c>
      <c r="F6" t="s">
        <v>358</v>
      </c>
      <c r="G6" t="s">
        <v>361</v>
      </c>
      <c r="H6" t="s">
        <v>362</v>
      </c>
      <c r="I6" t="s">
        <v>363</v>
      </c>
    </row>
    <row r="7" spans="1:9">
      <c r="A7" t="s">
        <v>357</v>
      </c>
      <c r="B7">
        <v>29.742711628012799</v>
      </c>
      <c r="C7">
        <v>2.5345393102077298</v>
      </c>
      <c r="D7">
        <v>44.009270721327098</v>
      </c>
      <c r="E7">
        <v>5.1160714285714199</v>
      </c>
      <c r="F7" t="s">
        <v>262</v>
      </c>
      <c r="G7" s="52">
        <f>E7*10^5</f>
        <v>511607.14285714197</v>
      </c>
      <c r="H7" s="52">
        <f>(D7/100)*G7</f>
        <v>225154.57252964628</v>
      </c>
      <c r="I7" s="52">
        <f>(C7/100)*G7</f>
        <v>12966.884149544881</v>
      </c>
    </row>
    <row r="8" spans="1:9">
      <c r="A8" t="s">
        <v>357</v>
      </c>
      <c r="B8">
        <v>99.956317621569596</v>
      </c>
      <c r="C8">
        <v>3.2298434097460098</v>
      </c>
      <c r="D8">
        <v>67.130955715589394</v>
      </c>
      <c r="E8">
        <v>1.1785714285714199</v>
      </c>
      <c r="F8" t="s">
        <v>262</v>
      </c>
      <c r="G8" s="52">
        <f t="shared" ref="G8:G42" si="0">E8*10^5</f>
        <v>117857.142857142</v>
      </c>
      <c r="H8" s="52">
        <f t="shared" ref="H8:H61" si="1">(D8/100)*G8</f>
        <v>79118.626379086912</v>
      </c>
      <c r="I8" s="52">
        <f t="shared" ref="I8:I61" si="2">(C8/100)*G8</f>
        <v>3806.6011614863405</v>
      </c>
    </row>
    <row r="9" spans="1:9">
      <c r="A9" t="s">
        <v>357</v>
      </c>
      <c r="B9">
        <v>151.10352878358299</v>
      </c>
      <c r="C9">
        <v>2.3357519133286999</v>
      </c>
      <c r="D9">
        <v>66.236412429633802</v>
      </c>
      <c r="E9">
        <v>0.99107142857142705</v>
      </c>
      <c r="F9" t="s">
        <v>262</v>
      </c>
      <c r="G9" s="52">
        <f t="shared" si="0"/>
        <v>99107.14285714271</v>
      </c>
      <c r="H9" s="52">
        <f t="shared" si="1"/>
        <v>65645.015890083407</v>
      </c>
      <c r="I9" s="52">
        <f t="shared" si="2"/>
        <v>2314.8969855311188</v>
      </c>
    </row>
    <row r="10" spans="1:9">
      <c r="A10" t="s">
        <v>357</v>
      </c>
      <c r="B10">
        <v>174.17811073180101</v>
      </c>
      <c r="C10">
        <v>3.1132817088487399</v>
      </c>
      <c r="D10">
        <v>69.472580892916795</v>
      </c>
      <c r="E10">
        <v>0.937499999999995</v>
      </c>
      <c r="F10" t="s">
        <v>262</v>
      </c>
      <c r="G10" s="52">
        <f t="shared" si="0"/>
        <v>93749.999999999505</v>
      </c>
      <c r="H10" s="52">
        <f t="shared" si="1"/>
        <v>65130.544587109151</v>
      </c>
      <c r="I10" s="52">
        <f t="shared" si="2"/>
        <v>2918.7016020456781</v>
      </c>
    </row>
    <row r="11" spans="1:9">
      <c r="A11" t="s">
        <v>357</v>
      </c>
      <c r="B11">
        <v>202.17852155020799</v>
      </c>
      <c r="C11">
        <v>2.50878730652108</v>
      </c>
      <c r="D11">
        <v>56.733019490200597</v>
      </c>
      <c r="E11">
        <v>1.0178571428571399</v>
      </c>
      <c r="F11" t="s">
        <v>262</v>
      </c>
      <c r="G11" s="52">
        <f t="shared" si="0"/>
        <v>101785.71428571398</v>
      </c>
      <c r="H11" s="52">
        <f t="shared" si="1"/>
        <v>57746.109123954011</v>
      </c>
      <c r="I11" s="52">
        <f t="shared" si="2"/>
        <v>2553.5870798518058</v>
      </c>
    </row>
    <row r="12" spans="1:9">
      <c r="A12" t="s">
        <v>357</v>
      </c>
      <c r="B12">
        <v>229.91731836997201</v>
      </c>
      <c r="C12">
        <v>3.2854135229644701</v>
      </c>
      <c r="D12">
        <v>57.049723956591997</v>
      </c>
      <c r="E12">
        <v>0.77678571428571397</v>
      </c>
      <c r="F12" t="s">
        <v>262</v>
      </c>
      <c r="G12" s="52">
        <f t="shared" si="0"/>
        <v>77678.571428571391</v>
      </c>
      <c r="H12" s="52">
        <f t="shared" si="1"/>
        <v>44315.410573424124</v>
      </c>
      <c r="I12" s="52">
        <f t="shared" si="2"/>
        <v>2552.0622901598995</v>
      </c>
    </row>
    <row r="13" spans="1:9">
      <c r="A13" t="s">
        <v>357</v>
      </c>
      <c r="B13">
        <v>254.553628362696</v>
      </c>
      <c r="C13">
        <v>1.7561059356109801</v>
      </c>
      <c r="D13">
        <v>53.983428359732898</v>
      </c>
      <c r="E13">
        <v>1.3660714285714199</v>
      </c>
      <c r="F13" t="s">
        <v>262</v>
      </c>
      <c r="G13" s="52">
        <f t="shared" si="0"/>
        <v>136607.142857142</v>
      </c>
      <c r="H13" s="52">
        <f t="shared" si="1"/>
        <v>73745.219098563233</v>
      </c>
      <c r="I13" s="52">
        <f t="shared" si="2"/>
        <v>2398.9661441828416</v>
      </c>
    </row>
    <row r="14" spans="1:9">
      <c r="A14" t="s">
        <v>357</v>
      </c>
      <c r="B14">
        <v>266.83379931892102</v>
      </c>
      <c r="C14">
        <v>3.90978666497998</v>
      </c>
      <c r="D14">
        <v>55.369518663425801</v>
      </c>
      <c r="E14">
        <v>2.7053571428571299</v>
      </c>
      <c r="F14" t="s">
        <v>262</v>
      </c>
      <c r="G14" s="52">
        <f t="shared" si="0"/>
        <v>270535.71428571298</v>
      </c>
      <c r="H14" s="52">
        <f t="shared" si="1"/>
        <v>149794.32281266013</v>
      </c>
      <c r="I14" s="52">
        <f t="shared" si="2"/>
        <v>10577.369281151145</v>
      </c>
    </row>
    <row r="15" spans="1:9">
      <c r="A15" t="s">
        <v>357</v>
      </c>
      <c r="B15">
        <v>277.93995948365801</v>
      </c>
      <c r="C15">
        <v>2.8372383009098798</v>
      </c>
      <c r="D15">
        <v>45.080463716782099</v>
      </c>
      <c r="E15">
        <v>2.4910714285714302</v>
      </c>
      <c r="F15" t="s">
        <v>262</v>
      </c>
      <c r="G15" s="52">
        <f t="shared" si="0"/>
        <v>249107.14285714302</v>
      </c>
      <c r="H15" s="52">
        <f t="shared" si="1"/>
        <v>112298.65515162691</v>
      </c>
      <c r="I15" s="52">
        <f t="shared" si="2"/>
        <v>7067.7632674451515</v>
      </c>
    </row>
    <row r="16" spans="1:9">
      <c r="A16" t="s">
        <v>357</v>
      </c>
      <c r="B16">
        <v>289.39395808131599</v>
      </c>
      <c r="C16">
        <v>4.6832503546547803</v>
      </c>
      <c r="D16">
        <v>64.590543141382895</v>
      </c>
      <c r="E16">
        <v>1.7678571428571299</v>
      </c>
      <c r="F16" t="s">
        <v>262</v>
      </c>
      <c r="G16" s="52">
        <f t="shared" si="0"/>
        <v>176785.71428571298</v>
      </c>
      <c r="H16" s="52">
        <f t="shared" si="1"/>
        <v>114186.85305351534</v>
      </c>
      <c r="I16" s="52">
        <f t="shared" si="2"/>
        <v>8279.3175912646402</v>
      </c>
    </row>
    <row r="17" spans="1:9">
      <c r="A17" t="s">
        <v>357</v>
      </c>
      <c r="B17">
        <v>305.517949433159</v>
      </c>
      <c r="C17">
        <v>4.3796477848758801</v>
      </c>
      <c r="D17">
        <v>55.377650875116302</v>
      </c>
      <c r="E17">
        <v>1.71428571428571</v>
      </c>
      <c r="F17" t="s">
        <v>262</v>
      </c>
      <c r="G17" s="52">
        <f t="shared" si="0"/>
        <v>171428.57142857098</v>
      </c>
      <c r="H17" s="52">
        <f t="shared" si="1"/>
        <v>94933.115785913411</v>
      </c>
      <c r="I17" s="52">
        <f t="shared" si="2"/>
        <v>7507.9676312157744</v>
      </c>
    </row>
    <row r="18" spans="1:9">
      <c r="A18" t="s">
        <v>357</v>
      </c>
      <c r="B18">
        <v>318.26732895478699</v>
      </c>
      <c r="C18">
        <v>2.5390572055913601</v>
      </c>
      <c r="D18">
        <v>61.985976452729197</v>
      </c>
      <c r="E18">
        <v>1.7946428571428501</v>
      </c>
      <c r="F18" t="s">
        <v>262</v>
      </c>
      <c r="G18" s="52">
        <f t="shared" si="0"/>
        <v>179464.28571428501</v>
      </c>
      <c r="H18" s="52">
        <f t="shared" si="1"/>
        <v>111242.68988391536</v>
      </c>
      <c r="I18" s="52">
        <f t="shared" si="2"/>
        <v>4556.7008778916197</v>
      </c>
    </row>
    <row r="19" spans="1:9">
      <c r="A19" t="s">
        <v>357</v>
      </c>
      <c r="B19">
        <v>331.50046174646599</v>
      </c>
      <c r="C19">
        <v>1.7737257276070599</v>
      </c>
      <c r="D19">
        <v>70.897976886447196</v>
      </c>
      <c r="E19">
        <v>1.15178571428571</v>
      </c>
      <c r="F19" t="s">
        <v>262</v>
      </c>
      <c r="G19" s="52">
        <f t="shared" si="0"/>
        <v>115178.571428571</v>
      </c>
      <c r="H19" s="52">
        <f t="shared" si="1"/>
        <v>81659.276949568346</v>
      </c>
      <c r="I19" s="52">
        <f t="shared" si="2"/>
        <v>2042.9519541188383</v>
      </c>
    </row>
    <row r="20" spans="1:9">
      <c r="A20" t="s">
        <v>357</v>
      </c>
      <c r="B20">
        <v>357.12373490932703</v>
      </c>
      <c r="C20">
        <v>2.0859122986147698</v>
      </c>
      <c r="D20">
        <v>54.773156472788699</v>
      </c>
      <c r="E20">
        <v>1.52678571428571</v>
      </c>
      <c r="F20" t="s">
        <v>262</v>
      </c>
      <c r="G20" s="52">
        <f t="shared" si="0"/>
        <v>152678.57142857098</v>
      </c>
      <c r="H20" s="52">
        <f t="shared" si="1"/>
        <v>83626.872828989639</v>
      </c>
      <c r="I20" s="52">
        <f t="shared" si="2"/>
        <v>3184.7410987778985</v>
      </c>
    </row>
    <row r="21" spans="1:9">
      <c r="A21" t="s">
        <v>357</v>
      </c>
      <c r="B21">
        <v>395.333002365769</v>
      </c>
      <c r="C21">
        <v>1.6318638125615501</v>
      </c>
      <c r="D21">
        <v>77.362181601322803</v>
      </c>
      <c r="E21">
        <v>1.2053571428571399</v>
      </c>
      <c r="F21" t="s">
        <v>262</v>
      </c>
      <c r="G21" s="52">
        <f t="shared" si="0"/>
        <v>120535.71428571398</v>
      </c>
      <c r="H21" s="52">
        <f t="shared" si="1"/>
        <v>93249.058180165637</v>
      </c>
      <c r="I21" s="52">
        <f t="shared" si="2"/>
        <v>1966.9787026411491</v>
      </c>
    </row>
    <row r="22" spans="1:9">
      <c r="A22" t="s">
        <v>357</v>
      </c>
      <c r="B22">
        <v>500.76301239769799</v>
      </c>
      <c r="C22">
        <v>6.2559297376909804</v>
      </c>
      <c r="D22">
        <v>77.683403963097803</v>
      </c>
      <c r="E22">
        <v>1.0446428571428501</v>
      </c>
      <c r="F22" t="s">
        <v>262</v>
      </c>
      <c r="G22" s="52">
        <f t="shared" si="0"/>
        <v>104464.28571428501</v>
      </c>
      <c r="H22" s="52">
        <f t="shared" si="1"/>
        <v>81151.413068592694</v>
      </c>
      <c r="I22" s="52">
        <f t="shared" si="2"/>
        <v>6535.2123152664271</v>
      </c>
    </row>
    <row r="23" spans="1:9">
      <c r="A23" t="s">
        <v>357</v>
      </c>
      <c r="B23">
        <v>903.10485899207299</v>
      </c>
      <c r="C23">
        <v>2.4550243514561001</v>
      </c>
      <c r="D23">
        <v>68.507106649438299</v>
      </c>
      <c r="E23">
        <v>0.66964285714285698</v>
      </c>
      <c r="F23" t="s">
        <v>262</v>
      </c>
      <c r="G23" s="52">
        <f t="shared" si="0"/>
        <v>66964.285714285696</v>
      </c>
      <c r="H23" s="52">
        <f t="shared" si="1"/>
        <v>45875.294631320277</v>
      </c>
      <c r="I23" s="52">
        <f t="shared" si="2"/>
        <v>1643.9895210643522</v>
      </c>
    </row>
    <row r="24" spans="1:9">
      <c r="A24" t="s">
        <v>357</v>
      </c>
      <c r="B24">
        <v>1319.6282641944199</v>
      </c>
      <c r="C24">
        <v>2.3267161225614399</v>
      </c>
      <c r="D24">
        <v>74.214563887558498</v>
      </c>
      <c r="E24">
        <v>0.99107142857142105</v>
      </c>
      <c r="F24" t="s">
        <v>262</v>
      </c>
      <c r="G24" s="52">
        <f t="shared" si="0"/>
        <v>99107.142857142098</v>
      </c>
      <c r="H24" s="52">
        <f t="shared" si="1"/>
        <v>73551.933852847593</v>
      </c>
      <c r="I24" s="52">
        <f t="shared" si="2"/>
        <v>2305.9418714671237</v>
      </c>
    </row>
    <row r="25" spans="1:9">
      <c r="A25" t="s">
        <v>357</v>
      </c>
      <c r="B25">
        <v>29.742711628012799</v>
      </c>
      <c r="C25">
        <v>6.5288106188613098</v>
      </c>
      <c r="D25">
        <v>39.708234316126102</v>
      </c>
      <c r="E25">
        <v>5.1160714285714199</v>
      </c>
      <c r="F25" t="s">
        <v>396</v>
      </c>
      <c r="G25" s="52">
        <f t="shared" si="0"/>
        <v>511607.14285714197</v>
      </c>
      <c r="H25" s="52">
        <f t="shared" si="1"/>
        <v>203150.16306375194</v>
      </c>
      <c r="I25" s="52">
        <f t="shared" si="2"/>
        <v>33401.861469710035</v>
      </c>
    </row>
    <row r="26" spans="1:9">
      <c r="A26" t="s">
        <v>357</v>
      </c>
      <c r="B26">
        <v>99.956317621569596</v>
      </c>
      <c r="C26">
        <v>2.00097586540286</v>
      </c>
      <c r="D26">
        <v>59.450081773906398</v>
      </c>
      <c r="E26">
        <v>1.1785714285714199</v>
      </c>
      <c r="F26" t="s">
        <v>396</v>
      </c>
      <c r="G26" s="52">
        <f t="shared" si="0"/>
        <v>117857.142857142</v>
      </c>
      <c r="H26" s="52">
        <f t="shared" si="1"/>
        <v>70066.167804960598</v>
      </c>
      <c r="I26" s="52">
        <f t="shared" si="2"/>
        <v>2358.2929842247822</v>
      </c>
    </row>
    <row r="27" spans="1:9">
      <c r="A27" t="s">
        <v>357</v>
      </c>
      <c r="B27">
        <v>151.10352878358299</v>
      </c>
      <c r="C27">
        <v>2.0280832377045299</v>
      </c>
      <c r="D27">
        <v>69.154972847448704</v>
      </c>
      <c r="E27">
        <v>0.99107142857142705</v>
      </c>
      <c r="F27" t="s">
        <v>396</v>
      </c>
      <c r="G27" s="52">
        <f t="shared" si="0"/>
        <v>99107.14285714271</v>
      </c>
      <c r="H27" s="52">
        <f t="shared" si="1"/>
        <v>68537.517732739245</v>
      </c>
      <c r="I27" s="52">
        <f t="shared" si="2"/>
        <v>2009.9753516535936</v>
      </c>
    </row>
    <row r="28" spans="1:9">
      <c r="A28" t="s">
        <v>357</v>
      </c>
      <c r="B28">
        <v>174.17811073180101</v>
      </c>
      <c r="C28">
        <v>3.2668901518916198</v>
      </c>
      <c r="D28">
        <v>70.547839994217</v>
      </c>
      <c r="E28">
        <v>0.937499999999995</v>
      </c>
      <c r="F28" t="s">
        <v>396</v>
      </c>
      <c r="G28" s="52">
        <f t="shared" si="0"/>
        <v>93749.999999999505</v>
      </c>
      <c r="H28" s="52">
        <f t="shared" si="1"/>
        <v>66138.599994578093</v>
      </c>
      <c r="I28" s="52">
        <f t="shared" si="2"/>
        <v>3062.7095173983771</v>
      </c>
    </row>
    <row r="29" spans="1:9">
      <c r="A29" t="s">
        <v>357</v>
      </c>
      <c r="B29">
        <v>202.17852155020799</v>
      </c>
      <c r="C29">
        <v>12.0334143542572</v>
      </c>
      <c r="D29">
        <v>66.718471867065404</v>
      </c>
      <c r="E29">
        <v>1.0178571428571399</v>
      </c>
      <c r="F29" t="s">
        <v>396</v>
      </c>
      <c r="G29" s="52">
        <f t="shared" si="0"/>
        <v>101785.71428571398</v>
      </c>
      <c r="H29" s="52">
        <f t="shared" si="1"/>
        <v>67909.873150405649</v>
      </c>
      <c r="I29" s="52">
        <f t="shared" si="2"/>
        <v>12248.296753440329</v>
      </c>
    </row>
    <row r="30" spans="1:9">
      <c r="A30" t="s">
        <v>357</v>
      </c>
      <c r="B30">
        <v>229.91731836997201</v>
      </c>
      <c r="C30">
        <v>4.5142810673075804</v>
      </c>
      <c r="D30">
        <v>65.190519648326998</v>
      </c>
      <c r="E30">
        <v>0.77678571428571397</v>
      </c>
      <c r="F30" t="s">
        <v>396</v>
      </c>
      <c r="G30" s="52">
        <f t="shared" si="0"/>
        <v>77678.571428571391</v>
      </c>
      <c r="H30" s="52">
        <f t="shared" si="1"/>
        <v>50639.06436968255</v>
      </c>
      <c r="I30" s="52">
        <f t="shared" si="2"/>
        <v>3506.6290433549934</v>
      </c>
    </row>
    <row r="31" spans="1:9">
      <c r="A31" t="s">
        <v>357</v>
      </c>
      <c r="B31">
        <v>254.553628362696</v>
      </c>
      <c r="C31">
        <v>16.1948477921045</v>
      </c>
      <c r="D31">
        <v>55.519061000623402</v>
      </c>
      <c r="E31">
        <v>1.3660714285714199</v>
      </c>
      <c r="F31" t="s">
        <v>396</v>
      </c>
      <c r="G31" s="52">
        <f t="shared" si="0"/>
        <v>136607.142857142</v>
      </c>
      <c r="H31" s="52">
        <f t="shared" si="1"/>
        <v>75843.002974065428</v>
      </c>
      <c r="I31" s="52">
        <f t="shared" si="2"/>
        <v>22123.318858856899</v>
      </c>
    </row>
    <row r="32" spans="1:9">
      <c r="A32" t="s">
        <v>357</v>
      </c>
      <c r="B32">
        <v>266.83379931892102</v>
      </c>
      <c r="C32">
        <v>28.948414670509798</v>
      </c>
      <c r="D32">
        <v>73.341254709905897</v>
      </c>
      <c r="E32">
        <v>2.7053571428571299</v>
      </c>
      <c r="F32" t="s">
        <v>396</v>
      </c>
      <c r="G32" s="52">
        <f t="shared" si="0"/>
        <v>270535.71428571298</v>
      </c>
      <c r="H32" s="52">
        <f t="shared" si="1"/>
        <v>198414.28729554804</v>
      </c>
      <c r="I32" s="52">
        <f t="shared" si="2"/>
        <v>78315.800403253801</v>
      </c>
    </row>
    <row r="33" spans="1:9">
      <c r="A33" t="s">
        <v>357</v>
      </c>
      <c r="B33">
        <v>277.93995948365801</v>
      </c>
      <c r="C33">
        <v>15.4340342095038</v>
      </c>
      <c r="D33">
        <v>71.8078810167071</v>
      </c>
      <c r="E33">
        <v>2.4910714285714302</v>
      </c>
      <c r="F33" t="s">
        <v>396</v>
      </c>
      <c r="G33" s="52">
        <f t="shared" si="0"/>
        <v>249107.14285714302</v>
      </c>
      <c r="H33" s="52">
        <f t="shared" si="1"/>
        <v>178878.56074697583</v>
      </c>
      <c r="I33" s="52">
        <f t="shared" si="2"/>
        <v>38447.28164688895</v>
      </c>
    </row>
    <row r="34" spans="1:9">
      <c r="A34" t="s">
        <v>357</v>
      </c>
      <c r="B34">
        <v>289.39395808131599</v>
      </c>
      <c r="C34">
        <v>28.032185486712802</v>
      </c>
      <c r="D34">
        <v>82.255514091315604</v>
      </c>
      <c r="E34">
        <v>1.7678571428571299</v>
      </c>
      <c r="F34" t="s">
        <v>396</v>
      </c>
      <c r="G34" s="52">
        <f t="shared" si="0"/>
        <v>176785.71428571298</v>
      </c>
      <c r="H34" s="52">
        <f t="shared" si="1"/>
        <v>145415.9981257176</v>
      </c>
      <c r="I34" s="52">
        <f t="shared" si="2"/>
        <v>49556.899342581193</v>
      </c>
    </row>
    <row r="35" spans="1:9">
      <c r="A35" t="s">
        <v>357</v>
      </c>
      <c r="B35">
        <v>305.517949433159</v>
      </c>
      <c r="C35">
        <v>20.201317418293801</v>
      </c>
      <c r="D35">
        <v>73.042170035510594</v>
      </c>
      <c r="E35">
        <v>1.71428571428571</v>
      </c>
      <c r="F35" t="s">
        <v>396</v>
      </c>
      <c r="G35" s="52">
        <f t="shared" si="0"/>
        <v>171428.57142857098</v>
      </c>
      <c r="H35" s="52">
        <f t="shared" si="1"/>
        <v>125215.14863230355</v>
      </c>
      <c r="I35" s="52">
        <f t="shared" si="2"/>
        <v>34630.829859932142</v>
      </c>
    </row>
    <row r="36" spans="1:9">
      <c r="A36" t="s">
        <v>357</v>
      </c>
      <c r="B36">
        <v>318.26732895478699</v>
      </c>
      <c r="C36">
        <v>25.581227241101899</v>
      </c>
      <c r="D36">
        <v>78.729748533942896</v>
      </c>
      <c r="E36">
        <v>1.7946428571428501</v>
      </c>
      <c r="F36" t="s">
        <v>396</v>
      </c>
      <c r="G36" s="52">
        <f t="shared" si="0"/>
        <v>179464.28571428501</v>
      </c>
      <c r="H36" s="52">
        <f t="shared" si="1"/>
        <v>141291.78085109341</v>
      </c>
      <c r="I36" s="52">
        <f t="shared" si="2"/>
        <v>45909.166745191622</v>
      </c>
    </row>
    <row r="37" spans="1:9">
      <c r="A37" t="s">
        <v>357</v>
      </c>
      <c r="B37">
        <v>331.50046174646599</v>
      </c>
      <c r="C37">
        <v>21.5896666696785</v>
      </c>
      <c r="D37">
        <v>75.507133756810703</v>
      </c>
      <c r="E37">
        <v>1.15178571428571</v>
      </c>
      <c r="F37" t="s">
        <v>396</v>
      </c>
      <c r="G37" s="52">
        <f t="shared" si="0"/>
        <v>115178.571428571</v>
      </c>
      <c r="H37" s="52">
        <f t="shared" si="1"/>
        <v>86968.037987754869</v>
      </c>
      <c r="I37" s="52">
        <f t="shared" si="2"/>
        <v>24866.669646326038</v>
      </c>
    </row>
    <row r="38" spans="1:9">
      <c r="A38" t="s">
        <v>357</v>
      </c>
      <c r="B38">
        <v>357.12373490932703</v>
      </c>
      <c r="C38">
        <v>13.606545526831701</v>
      </c>
      <c r="D38">
        <v>81.501477351790399</v>
      </c>
      <c r="E38">
        <v>1.52678571428571</v>
      </c>
      <c r="F38" t="s">
        <v>396</v>
      </c>
      <c r="G38" s="52">
        <f t="shared" si="0"/>
        <v>152678.57142857098</v>
      </c>
      <c r="H38" s="52">
        <f t="shared" si="1"/>
        <v>124435.2913138939</v>
      </c>
      <c r="I38" s="52">
        <f t="shared" si="2"/>
        <v>20774.279331144768</v>
      </c>
    </row>
    <row r="39" spans="1:9">
      <c r="A39" t="s">
        <v>357</v>
      </c>
      <c r="B39">
        <v>395.333002365769</v>
      </c>
      <c r="C39">
        <v>9.7740148729116196</v>
      </c>
      <c r="D39">
        <v>73.367458503130905</v>
      </c>
      <c r="E39">
        <v>1.2053571428571399</v>
      </c>
      <c r="F39" t="s">
        <v>396</v>
      </c>
      <c r="G39" s="52">
        <f t="shared" si="0"/>
        <v>120535.71428571398</v>
      </c>
      <c r="H39" s="52">
        <f t="shared" si="1"/>
        <v>88433.990160023634</v>
      </c>
      <c r="I39" s="52">
        <f t="shared" si="2"/>
        <v>11781.178641455941</v>
      </c>
    </row>
    <row r="40" spans="1:9">
      <c r="A40" t="s">
        <v>357</v>
      </c>
      <c r="B40">
        <v>500.76301239769799</v>
      </c>
      <c r="C40">
        <v>4.4121766316379096</v>
      </c>
      <c r="D40">
        <v>78.912723296979294</v>
      </c>
      <c r="E40">
        <v>1.0446428571428501</v>
      </c>
      <c r="F40" t="s">
        <v>396</v>
      </c>
      <c r="G40" s="52">
        <f t="shared" si="0"/>
        <v>104464.28571428501</v>
      </c>
      <c r="H40" s="52">
        <f t="shared" si="1"/>
        <v>82435.612729879605</v>
      </c>
      <c r="I40" s="52">
        <f t="shared" si="2"/>
        <v>4609.1488026931429</v>
      </c>
    </row>
    <row r="41" spans="1:9">
      <c r="A41" t="s">
        <v>357</v>
      </c>
      <c r="B41">
        <v>903.10485899207299</v>
      </c>
      <c r="C41">
        <v>11.51701891191</v>
      </c>
      <c r="D41">
        <v>62.054648462560102</v>
      </c>
      <c r="E41">
        <v>0.66964285714285698</v>
      </c>
      <c r="F41" t="s">
        <v>396</v>
      </c>
      <c r="G41" s="52">
        <f t="shared" si="0"/>
        <v>66964.285714285696</v>
      </c>
      <c r="H41" s="52">
        <f t="shared" si="1"/>
        <v>41554.452095464345</v>
      </c>
      <c r="I41" s="52">
        <f t="shared" si="2"/>
        <v>7712.2894499397298</v>
      </c>
    </row>
    <row r="42" spans="1:9">
      <c r="A42" t="s">
        <v>357</v>
      </c>
      <c r="B42">
        <v>1319.6282641944199</v>
      </c>
      <c r="C42">
        <v>10.9278853538866</v>
      </c>
      <c r="D42">
        <v>72.218557707077693</v>
      </c>
      <c r="E42">
        <v>0.99107142857142105</v>
      </c>
      <c r="F42" t="s">
        <v>396</v>
      </c>
      <c r="G42" s="52">
        <f t="shared" si="0"/>
        <v>99107.142857142098</v>
      </c>
      <c r="H42" s="52">
        <f t="shared" si="1"/>
        <v>71573.749156121092</v>
      </c>
      <c r="I42" s="52">
        <f t="shared" si="2"/>
        <v>10830.314948941101</v>
      </c>
    </row>
    <row r="43" spans="1:9">
      <c r="A43" t="s">
        <v>364</v>
      </c>
      <c r="B43">
        <v>9.9757951745644409</v>
      </c>
      <c r="C43">
        <v>-0.47322297955209791</v>
      </c>
      <c r="D43">
        <v>49.5175267770204</v>
      </c>
      <c r="E43">
        <v>4.62278822068326</v>
      </c>
      <c r="F43" t="s">
        <v>396</v>
      </c>
      <c r="G43" s="52">
        <f t="shared" ref="G43:G61" si="3">E43*10^5</f>
        <v>462278.822068326</v>
      </c>
      <c r="H43" s="52">
        <f t="shared" si="1"/>
        <v>228909.03950217782</v>
      </c>
      <c r="I43" s="52">
        <f t="shared" si="2"/>
        <v>-2187.6096156300732</v>
      </c>
    </row>
    <row r="44" spans="1:9">
      <c r="A44" t="s">
        <v>364</v>
      </c>
      <c r="B44">
        <v>29.800878098572301</v>
      </c>
      <c r="C44">
        <v>2.3734177215189973</v>
      </c>
      <c r="D44">
        <v>41.221518987341703</v>
      </c>
      <c r="E44">
        <v>5.5382238406971496</v>
      </c>
      <c r="F44" t="s">
        <v>396</v>
      </c>
      <c r="G44" s="52">
        <f t="shared" si="3"/>
        <v>553822.38406971493</v>
      </c>
      <c r="H44" s="52">
        <f t="shared" si="1"/>
        <v>228293.99920544605</v>
      </c>
      <c r="I44" s="52">
        <f t="shared" si="2"/>
        <v>13144.518609249619</v>
      </c>
    </row>
    <row r="45" spans="1:9">
      <c r="A45" t="s">
        <v>364</v>
      </c>
      <c r="B45">
        <v>61.208899991049499</v>
      </c>
      <c r="C45">
        <v>14.713729308666103</v>
      </c>
      <c r="D45">
        <v>51.9902629016552</v>
      </c>
      <c r="E45">
        <v>3.2742206411686601</v>
      </c>
      <c r="F45" t="s">
        <v>396</v>
      </c>
      <c r="G45" s="52">
        <f t="shared" si="3"/>
        <v>327422.06411686598</v>
      </c>
      <c r="H45" s="52">
        <f t="shared" si="1"/>
        <v>170227.59193238468</v>
      </c>
      <c r="I45" s="52">
        <f t="shared" si="2"/>
        <v>48175.996211002835</v>
      </c>
    </row>
    <row r="46" spans="1:9">
      <c r="A46" t="s">
        <v>364</v>
      </c>
      <c r="B46">
        <v>69.230460331200504</v>
      </c>
      <c r="C46">
        <v>13.765822784810197</v>
      </c>
      <c r="D46">
        <v>60.509737098344601</v>
      </c>
      <c r="E46">
        <v>4.6946934136021996</v>
      </c>
      <c r="F46" t="s">
        <v>396</v>
      </c>
      <c r="G46" s="52">
        <f t="shared" si="3"/>
        <v>469469.34136021999</v>
      </c>
      <c r="H46" s="52">
        <f t="shared" si="1"/>
        <v>284074.66421439906</v>
      </c>
      <c r="I46" s="52">
        <f t="shared" si="2"/>
        <v>64626.317560663527</v>
      </c>
    </row>
    <row r="47" spans="1:9">
      <c r="A47" t="s">
        <v>364</v>
      </c>
      <c r="B47">
        <v>75.955768027324595</v>
      </c>
      <c r="C47">
        <v>14.716650438169395</v>
      </c>
      <c r="D47">
        <v>62.389483933787702</v>
      </c>
      <c r="E47">
        <v>4.9567684762245499</v>
      </c>
      <c r="F47" t="s">
        <v>396</v>
      </c>
      <c r="G47" s="52">
        <f t="shared" si="3"/>
        <v>495676.84762245498</v>
      </c>
      <c r="H47" s="52">
        <f t="shared" si="1"/>
        <v>309250.22721091693</v>
      </c>
      <c r="I47" s="52">
        <f t="shared" si="2"/>
        <v>72947.028967534265</v>
      </c>
    </row>
    <row r="48" spans="1:9">
      <c r="A48" t="s">
        <v>364</v>
      </c>
      <c r="B48">
        <v>83.721429407112694</v>
      </c>
      <c r="C48">
        <v>15.663096397273591</v>
      </c>
      <c r="D48">
        <v>49.079357351509202</v>
      </c>
      <c r="E48">
        <v>3.83085440040414</v>
      </c>
      <c r="F48" t="s">
        <v>396</v>
      </c>
      <c r="G48" s="52">
        <f t="shared" si="3"/>
        <v>383085.44004041399</v>
      </c>
      <c r="H48" s="52">
        <f t="shared" si="1"/>
        <v>188015.87207903629</v>
      </c>
      <c r="I48" s="52">
        <f t="shared" si="2"/>
        <v>60003.041757449762</v>
      </c>
    </row>
    <row r="49" spans="1:9">
      <c r="A49" t="s">
        <v>364</v>
      </c>
      <c r="B49">
        <v>90.474106263722007</v>
      </c>
      <c r="C49">
        <v>12.341772151898802</v>
      </c>
      <c r="D49">
        <v>50.011197663096297</v>
      </c>
      <c r="E49">
        <v>3.5574462710758299</v>
      </c>
      <c r="F49" t="s">
        <v>396</v>
      </c>
      <c r="G49" s="52">
        <f t="shared" si="3"/>
        <v>355744.62710758299</v>
      </c>
      <c r="H49" s="52">
        <f t="shared" si="1"/>
        <v>177912.14863861818</v>
      </c>
      <c r="I49" s="52">
        <f t="shared" si="2"/>
        <v>43905.191320239908</v>
      </c>
    </row>
    <row r="50" spans="1:9">
      <c r="A50" t="s">
        <v>364</v>
      </c>
      <c r="B50">
        <v>98.578446308666003</v>
      </c>
      <c r="C50">
        <v>11.3924050632911</v>
      </c>
      <c r="D50">
        <v>43.822784810126599</v>
      </c>
      <c r="E50">
        <v>3.9178984149704199</v>
      </c>
      <c r="F50" t="s">
        <v>396</v>
      </c>
      <c r="G50" s="52">
        <f t="shared" si="3"/>
        <v>391789.84149704198</v>
      </c>
      <c r="H50" s="52">
        <f t="shared" si="1"/>
        <v>171693.21914718478</v>
      </c>
      <c r="I50" s="52">
        <f t="shared" si="2"/>
        <v>44634.285740169187</v>
      </c>
    </row>
    <row r="51" spans="1:9">
      <c r="A51" t="s">
        <v>364</v>
      </c>
      <c r="B51">
        <v>113.404933688589</v>
      </c>
      <c r="C51">
        <v>10.4401168451801</v>
      </c>
      <c r="D51">
        <v>41.421616358325203</v>
      </c>
      <c r="E51">
        <v>2.9011724587955401</v>
      </c>
      <c r="F51" t="s">
        <v>396</v>
      </c>
      <c r="G51" s="52">
        <f t="shared" si="3"/>
        <v>290117.24587955402</v>
      </c>
      <c r="H51" s="52">
        <f t="shared" si="1"/>
        <v>120171.2525775679</v>
      </c>
      <c r="I51" s="52">
        <f t="shared" si="2"/>
        <v>30288.579457843887</v>
      </c>
    </row>
    <row r="52" spans="1:9">
      <c r="A52" t="s">
        <v>364</v>
      </c>
      <c r="B52">
        <v>126.43003368463999</v>
      </c>
      <c r="C52">
        <v>9.4922103213242011</v>
      </c>
      <c r="D52">
        <v>46.140701071080798</v>
      </c>
      <c r="E52">
        <v>4.1905319216115497</v>
      </c>
      <c r="F52" t="s">
        <v>396</v>
      </c>
      <c r="G52" s="52">
        <f t="shared" si="3"/>
        <v>419053.19216115499</v>
      </c>
      <c r="H52" s="52">
        <f t="shared" si="1"/>
        <v>193354.08072390032</v>
      </c>
      <c r="I52" s="52">
        <f t="shared" si="2"/>
        <v>39777.410358159694</v>
      </c>
    </row>
    <row r="53" spans="1:9">
      <c r="A53" t="s">
        <v>364</v>
      </c>
      <c r="B53">
        <v>157.432780177675</v>
      </c>
      <c r="C53">
        <v>8.0725413826679002</v>
      </c>
      <c r="D53">
        <v>45.623661148977597</v>
      </c>
      <c r="E53">
        <v>3.8184267581619502</v>
      </c>
      <c r="F53" t="s">
        <v>396</v>
      </c>
      <c r="G53" s="52">
        <f t="shared" si="3"/>
        <v>381842.67581619503</v>
      </c>
      <c r="H53" s="52">
        <f t="shared" si="1"/>
        <v>174210.60853656984</v>
      </c>
      <c r="I53" s="52">
        <f t="shared" si="2"/>
        <v>30824.408021948777</v>
      </c>
    </row>
    <row r="54" spans="1:9">
      <c r="A54" t="s">
        <v>364</v>
      </c>
      <c r="B54">
        <v>196.12535011073501</v>
      </c>
      <c r="C54">
        <v>6.1723466407011003</v>
      </c>
      <c r="D54">
        <v>49.850535540408899</v>
      </c>
      <c r="E54">
        <v>3.6976866567032101</v>
      </c>
      <c r="F54" t="s">
        <v>396</v>
      </c>
      <c r="G54" s="52">
        <f t="shared" si="3"/>
        <v>369768.66567032103</v>
      </c>
      <c r="H54" s="52">
        <f t="shared" si="1"/>
        <v>184331.66009727915</v>
      </c>
      <c r="I54" s="52">
        <f t="shared" si="2"/>
        <v>22823.403813867342</v>
      </c>
    </row>
    <row r="55" spans="1:9">
      <c r="A55" t="s">
        <v>364</v>
      </c>
      <c r="B55">
        <v>298.00011471844601</v>
      </c>
      <c r="C55">
        <v>6.6455696202531982</v>
      </c>
      <c r="D55">
        <v>46.920642648490698</v>
      </c>
      <c r="E55">
        <v>3.5218304670890501</v>
      </c>
      <c r="F55" t="s">
        <v>396</v>
      </c>
      <c r="G55" s="52">
        <f t="shared" si="3"/>
        <v>352183.04670890502</v>
      </c>
      <c r="H55" s="52">
        <f t="shared" si="1"/>
        <v>165246.5488148524</v>
      </c>
      <c r="I55" s="52">
        <f t="shared" si="2"/>
        <v>23404.569559769123</v>
      </c>
    </row>
    <row r="56" spans="1:9">
      <c r="A56" t="s">
        <v>364</v>
      </c>
      <c r="B56">
        <v>392.92368393727202</v>
      </c>
      <c r="C56">
        <v>5.2200584225900002</v>
      </c>
      <c r="D56">
        <v>44.962025316455701</v>
      </c>
      <c r="E56">
        <v>3.4009556486412502</v>
      </c>
      <c r="F56" t="s">
        <v>396</v>
      </c>
      <c r="G56" s="52">
        <f t="shared" si="3"/>
        <v>340095.56486412504</v>
      </c>
      <c r="H56" s="52">
        <f t="shared" si="1"/>
        <v>152913.85397435093</v>
      </c>
      <c r="I56" s="52">
        <f t="shared" si="2"/>
        <v>17753.187178544795</v>
      </c>
    </row>
    <row r="57" spans="1:9">
      <c r="A57" t="s">
        <v>364</v>
      </c>
      <c r="B57">
        <v>588.70125662736098</v>
      </c>
      <c r="C57">
        <v>6.6470301850047946</v>
      </c>
      <c r="D57">
        <v>38.231742940603702</v>
      </c>
      <c r="E57">
        <v>3.3125644641842098</v>
      </c>
      <c r="F57" t="s">
        <v>396</v>
      </c>
      <c r="G57" s="52">
        <f t="shared" si="3"/>
        <v>331256.44641842099</v>
      </c>
      <c r="H57" s="52">
        <f t="shared" si="1"/>
        <v>126645.11306886935</v>
      </c>
      <c r="I57" s="52">
        <f t="shared" si="2"/>
        <v>22018.715983206675</v>
      </c>
    </row>
    <row r="58" spans="1:9">
      <c r="A58" t="s">
        <v>364</v>
      </c>
      <c r="B58">
        <v>781.52359211110604</v>
      </c>
      <c r="C58">
        <v>6.1694255111975949</v>
      </c>
      <c r="D58">
        <v>43.396299902629003</v>
      </c>
      <c r="E58">
        <v>3.0277390700317799</v>
      </c>
      <c r="F58" t="s">
        <v>396</v>
      </c>
      <c r="G58" s="52">
        <f t="shared" si="3"/>
        <v>302773.90700317797</v>
      </c>
      <c r="H58" s="52">
        <f t="shared" si="1"/>
        <v>131392.67271000615</v>
      </c>
      <c r="I58" s="52">
        <f t="shared" si="2"/>
        <v>18679.41065990374</v>
      </c>
    </row>
    <row r="59" spans="1:9">
      <c r="A59" t="s">
        <v>364</v>
      </c>
      <c r="B59">
        <v>987.91772607864698</v>
      </c>
      <c r="C59">
        <v>7.1217137293087021</v>
      </c>
      <c r="D59">
        <v>42.398734177215097</v>
      </c>
      <c r="E59">
        <v>3.1364725198391699</v>
      </c>
      <c r="F59" t="s">
        <v>396</v>
      </c>
      <c r="G59" s="52">
        <f t="shared" si="3"/>
        <v>313647.25198391697</v>
      </c>
      <c r="H59" s="52">
        <f t="shared" si="1"/>
        <v>132982.46462280097</v>
      </c>
      <c r="I59" s="52">
        <f t="shared" si="2"/>
        <v>22337.059406138076</v>
      </c>
    </row>
    <row r="60" spans="1:9">
      <c r="A60" t="s">
        <v>364</v>
      </c>
      <c r="B60">
        <v>1482.62608741552</v>
      </c>
      <c r="C60">
        <v>6.1738072054528033</v>
      </c>
      <c r="D60">
        <v>40.4152872444011</v>
      </c>
      <c r="E60">
        <v>3.9879680889131999</v>
      </c>
      <c r="F60" t="s">
        <v>396</v>
      </c>
      <c r="G60" s="52">
        <f t="shared" si="3"/>
        <v>398796.80889131996</v>
      </c>
      <c r="H60" s="52">
        <f t="shared" si="1"/>
        <v>161174.87583493226</v>
      </c>
      <c r="I60" s="52">
        <f t="shared" si="2"/>
        <v>24620.946122448157</v>
      </c>
    </row>
    <row r="61" spans="1:9">
      <c r="A61" t="s">
        <v>364</v>
      </c>
      <c r="B61">
        <v>1988.80309189071</v>
      </c>
      <c r="C61">
        <v>6.6470301850047946</v>
      </c>
      <c r="D61">
        <v>39.408958130477103</v>
      </c>
      <c r="E61">
        <v>5.5610415307217798</v>
      </c>
      <c r="F61" t="s">
        <v>396</v>
      </c>
      <c r="G61" s="52">
        <f t="shared" si="3"/>
        <v>556104.15307217801</v>
      </c>
      <c r="H61" s="52">
        <f t="shared" si="1"/>
        <v>219154.85284605893</v>
      </c>
      <c r="I61" s="52">
        <f t="shared" si="2"/>
        <v>36964.41091477294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D21" sqref="D21"/>
    </sheetView>
  </sheetViews>
  <sheetFormatPr baseColWidth="10" defaultRowHeight="13" x14ac:dyDescent="0"/>
  <sheetData>
    <row r="1" spans="1:14">
      <c r="A1" t="s">
        <v>661</v>
      </c>
    </row>
    <row r="2" spans="1:14">
      <c r="A2" t="s">
        <v>365</v>
      </c>
    </row>
    <row r="4" spans="1:14">
      <c r="A4" t="s">
        <v>837</v>
      </c>
      <c r="B4" t="s">
        <v>499</v>
      </c>
      <c r="C4" s="7" t="s">
        <v>644</v>
      </c>
      <c r="D4" s="23" t="s">
        <v>487</v>
      </c>
      <c r="G4" t="s">
        <v>645</v>
      </c>
    </row>
    <row r="5" spans="1:14">
      <c r="A5" t="s">
        <v>662</v>
      </c>
      <c r="C5" s="7"/>
      <c r="D5" s="8"/>
      <c r="G5" t="s">
        <v>662</v>
      </c>
      <c r="H5" t="s">
        <v>648</v>
      </c>
      <c r="J5" s="4" t="s">
        <v>635</v>
      </c>
      <c r="K5" t="s">
        <v>649</v>
      </c>
      <c r="M5" t="s">
        <v>650</v>
      </c>
      <c r="N5" s="4" t="s">
        <v>636</v>
      </c>
    </row>
    <row r="6" spans="1:14">
      <c r="A6" t="s">
        <v>811</v>
      </c>
      <c r="B6">
        <v>5.9</v>
      </c>
      <c r="C6" s="7">
        <f>(B6*300000)/9</f>
        <v>196666.66666666666</v>
      </c>
      <c r="D6" s="8">
        <f>C6</f>
        <v>196666.66666666666</v>
      </c>
      <c r="G6" t="s">
        <v>646</v>
      </c>
      <c r="H6">
        <v>5.2</v>
      </c>
      <c r="I6">
        <f>(100*H6)/7.45</f>
        <v>69.798657718120808</v>
      </c>
      <c r="J6" s="4">
        <f>(I6*D6)/100</f>
        <v>137270.69351230425</v>
      </c>
      <c r="K6">
        <v>7.4</v>
      </c>
      <c r="L6">
        <f>(100*K6)/7.45</f>
        <v>99.328859060402678</v>
      </c>
      <c r="M6">
        <f>L6-I6</f>
        <v>29.53020134228187</v>
      </c>
      <c r="N6" s="4">
        <f>(M6*D6)/100</f>
        <v>58076.062639821001</v>
      </c>
    </row>
    <row r="7" spans="1:14">
      <c r="A7" t="s">
        <v>812</v>
      </c>
      <c r="B7">
        <v>4.5999999999999996</v>
      </c>
      <c r="C7" s="7">
        <f t="shared" ref="C7:C9" si="0">(B7*300000)/9</f>
        <v>153333.33333333334</v>
      </c>
      <c r="D7" s="23">
        <f t="shared" ref="D7:D9" si="1">C7</f>
        <v>153333.33333333334</v>
      </c>
      <c r="G7" t="s">
        <v>812</v>
      </c>
      <c r="H7">
        <v>4.2</v>
      </c>
      <c r="I7">
        <f t="shared" ref="I7:I9" si="2">(100*H7)/7.45</f>
        <v>56.375838926174495</v>
      </c>
      <c r="J7" s="4">
        <f t="shared" ref="J7:J9" si="3">(I7*D7)/100</f>
        <v>86442.953020134228</v>
      </c>
      <c r="K7">
        <v>7.45</v>
      </c>
      <c r="L7">
        <f t="shared" ref="L7:L9" si="4">(100*K7)/7.45</f>
        <v>100</v>
      </c>
      <c r="M7">
        <f t="shared" ref="M7:M9" si="5">L7-I7</f>
        <v>43.624161073825505</v>
      </c>
      <c r="N7" s="4">
        <f t="shared" ref="N7:N9" si="6">(M7*D7)/100</f>
        <v>66890.380313199115</v>
      </c>
    </row>
    <row r="8" spans="1:14">
      <c r="A8" t="s">
        <v>813</v>
      </c>
      <c r="B8">
        <v>3.4</v>
      </c>
      <c r="C8" s="7">
        <f t="shared" si="0"/>
        <v>113333.33333333333</v>
      </c>
      <c r="D8" s="23">
        <f t="shared" si="1"/>
        <v>113333.33333333333</v>
      </c>
      <c r="G8" t="s">
        <v>647</v>
      </c>
      <c r="H8">
        <v>4.3</v>
      </c>
      <c r="I8">
        <f t="shared" si="2"/>
        <v>57.718120805369125</v>
      </c>
      <c r="J8" s="4">
        <f t="shared" si="3"/>
        <v>65413.870246085004</v>
      </c>
      <c r="K8">
        <v>7.45</v>
      </c>
      <c r="L8">
        <f t="shared" si="4"/>
        <v>100</v>
      </c>
      <c r="M8">
        <f t="shared" si="5"/>
        <v>42.281879194630875</v>
      </c>
      <c r="N8" s="4">
        <f t="shared" si="6"/>
        <v>47919.463087248325</v>
      </c>
    </row>
    <row r="9" spans="1:14">
      <c r="A9" t="s">
        <v>814</v>
      </c>
      <c r="B9">
        <v>5</v>
      </c>
      <c r="C9" s="7">
        <f t="shared" si="0"/>
        <v>166666.66666666666</v>
      </c>
      <c r="D9" s="23">
        <f t="shared" si="1"/>
        <v>166666.66666666666</v>
      </c>
      <c r="G9" t="s">
        <v>814</v>
      </c>
      <c r="H9">
        <v>5.15</v>
      </c>
      <c r="I9">
        <f t="shared" si="2"/>
        <v>69.127516778523486</v>
      </c>
      <c r="J9" s="4">
        <f t="shared" si="3"/>
        <v>115212.5279642058</v>
      </c>
      <c r="K9">
        <v>7.45</v>
      </c>
      <c r="L9">
        <f t="shared" si="4"/>
        <v>100</v>
      </c>
      <c r="M9">
        <f t="shared" si="5"/>
        <v>30.872483221476514</v>
      </c>
      <c r="N9" s="4">
        <f t="shared" si="6"/>
        <v>51454.138702460856</v>
      </c>
    </row>
    <row r="27" spans="4:4">
      <c r="D27" t="s">
        <v>651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3" sqref="A3"/>
    </sheetView>
  </sheetViews>
  <sheetFormatPr baseColWidth="10" defaultRowHeight="13" x14ac:dyDescent="0"/>
  <cols>
    <col min="2" max="2" width="28.140625" customWidth="1"/>
  </cols>
  <sheetData>
    <row r="1" spans="1:8">
      <c r="A1" t="s">
        <v>511</v>
      </c>
    </row>
    <row r="2" spans="1:8">
      <c r="A2" t="s">
        <v>307</v>
      </c>
    </row>
    <row r="5" spans="1:8" s="55" customFormat="1" ht="39">
      <c r="A5" s="55" t="s">
        <v>306</v>
      </c>
      <c r="B5" s="55" t="s">
        <v>512</v>
      </c>
      <c r="C5" s="55" t="s">
        <v>513</v>
      </c>
      <c r="D5" s="55" t="s">
        <v>514</v>
      </c>
      <c r="E5" s="55" t="s">
        <v>515</v>
      </c>
      <c r="F5" s="55" t="s">
        <v>516</v>
      </c>
      <c r="G5" s="55" t="s">
        <v>517</v>
      </c>
      <c r="H5" s="55" t="s">
        <v>518</v>
      </c>
    </row>
    <row r="6" spans="1:8" s="55" customFormat="1">
      <c r="A6" s="55">
        <v>0</v>
      </c>
      <c r="B6" s="55" t="s">
        <v>305</v>
      </c>
      <c r="C6">
        <v>4.0291262135922299</v>
      </c>
      <c r="D6" s="55">
        <v>85.874360331745095</v>
      </c>
      <c r="F6" s="56">
        <f>C6*10^5</f>
        <v>402912.62135922298</v>
      </c>
      <c r="G6" s="56">
        <f>D6*F6/100</f>
        <v>345998.63628809893</v>
      </c>
      <c r="H6" s="56"/>
    </row>
    <row r="7" spans="1:8">
      <c r="A7">
        <v>0</v>
      </c>
      <c r="B7" t="s">
        <v>445</v>
      </c>
      <c r="C7">
        <v>4.5</v>
      </c>
      <c r="D7">
        <v>94.172091131000798</v>
      </c>
      <c r="E7" s="55">
        <v>31.309041835357601</v>
      </c>
      <c r="F7" s="56">
        <f t="shared" ref="F7:F26" si="0">C7*10^5</f>
        <v>450000</v>
      </c>
      <c r="G7" s="56">
        <f t="shared" ref="G7:G26" si="1">D7*F7/100</f>
        <v>423774.41008950362</v>
      </c>
      <c r="H7" s="56">
        <f>E8*F8/100</f>
        <v>81968.234194954799</v>
      </c>
    </row>
    <row r="8" spans="1:8">
      <c r="A8" s="55">
        <v>0</v>
      </c>
      <c r="B8" t="s">
        <v>446</v>
      </c>
      <c r="C8">
        <v>4.2</v>
      </c>
      <c r="D8">
        <v>96.307973962571097</v>
      </c>
      <c r="E8">
        <v>19.516246236893998</v>
      </c>
      <c r="F8" s="56">
        <f t="shared" si="0"/>
        <v>420000</v>
      </c>
      <c r="G8" s="56">
        <f t="shared" si="1"/>
        <v>404493.4906427986</v>
      </c>
      <c r="H8" s="56">
        <f t="shared" ref="H8:H14" si="2">E9*F9/100</f>
        <v>74509.498598567254</v>
      </c>
    </row>
    <row r="9" spans="1:8">
      <c r="A9">
        <v>0</v>
      </c>
      <c r="B9" t="s">
        <v>447</v>
      </c>
      <c r="C9">
        <v>2.5</v>
      </c>
      <c r="D9">
        <v>92.697314890154502</v>
      </c>
      <c r="E9">
        <v>29.8037994394269</v>
      </c>
      <c r="F9" s="56">
        <f t="shared" si="0"/>
        <v>250000</v>
      </c>
      <c r="G9" s="56">
        <f t="shared" si="1"/>
        <v>231743.28722538624</v>
      </c>
      <c r="H9" s="56">
        <f t="shared" si="2"/>
        <v>282528.80722516321</v>
      </c>
    </row>
    <row r="10" spans="1:8">
      <c r="A10" s="55">
        <v>0</v>
      </c>
      <c r="B10" t="s">
        <v>448</v>
      </c>
      <c r="C10">
        <v>6</v>
      </c>
      <c r="D10">
        <v>90.235964198535299</v>
      </c>
      <c r="E10">
        <v>47.088134537527203</v>
      </c>
      <c r="F10" s="56">
        <f t="shared" si="0"/>
        <v>600000</v>
      </c>
      <c r="G10" s="56">
        <f t="shared" si="1"/>
        <v>541415.78519121173</v>
      </c>
      <c r="H10" s="56">
        <f t="shared" si="2"/>
        <v>233183.8471919439</v>
      </c>
    </row>
    <row r="11" spans="1:8">
      <c r="A11">
        <v>0</v>
      </c>
      <c r="B11" t="s">
        <v>449</v>
      </c>
      <c r="C11">
        <v>6.2</v>
      </c>
      <c r="D11">
        <v>91.222538649308305</v>
      </c>
      <c r="E11">
        <v>37.610297934184501</v>
      </c>
      <c r="F11" s="56">
        <f t="shared" si="0"/>
        <v>620000</v>
      </c>
      <c r="G11" s="56">
        <f t="shared" si="1"/>
        <v>565579.73962571146</v>
      </c>
      <c r="H11" s="56">
        <f t="shared" si="2"/>
        <v>364247.8978511364</v>
      </c>
    </row>
    <row r="12" spans="1:8">
      <c r="A12" s="55">
        <v>0</v>
      </c>
      <c r="B12" t="s">
        <v>450</v>
      </c>
      <c r="C12">
        <v>6</v>
      </c>
      <c r="D12">
        <v>86.452400325467806</v>
      </c>
      <c r="E12">
        <v>60.707982975189402</v>
      </c>
      <c r="F12" s="56">
        <f t="shared" si="0"/>
        <v>600000</v>
      </c>
      <c r="G12" s="56">
        <f t="shared" si="1"/>
        <v>518714.40195280686</v>
      </c>
      <c r="H12" s="56">
        <f t="shared" si="2"/>
        <v>484157.58330738044</v>
      </c>
    </row>
    <row r="13" spans="1:8">
      <c r="A13">
        <v>0</v>
      </c>
      <c r="B13" t="s">
        <v>451</v>
      </c>
      <c r="C13">
        <v>9.9</v>
      </c>
      <c r="D13">
        <v>92.036208299430399</v>
      </c>
      <c r="E13">
        <v>48.904806394684897</v>
      </c>
      <c r="F13" s="56">
        <f t="shared" si="0"/>
        <v>990000</v>
      </c>
      <c r="G13" s="56">
        <f t="shared" si="1"/>
        <v>911158.46216436091</v>
      </c>
      <c r="H13" s="56">
        <f t="shared" si="2"/>
        <v>377053.87729679205</v>
      </c>
    </row>
    <row r="14" spans="1:8">
      <c r="A14" s="55">
        <v>0</v>
      </c>
      <c r="B14" t="s">
        <v>452</v>
      </c>
      <c r="C14">
        <v>5.6</v>
      </c>
      <c r="D14">
        <v>84.977624084621596</v>
      </c>
      <c r="E14">
        <v>67.331049517284299</v>
      </c>
      <c r="F14" s="56">
        <f t="shared" si="0"/>
        <v>560000</v>
      </c>
      <c r="G14" s="56">
        <f t="shared" si="1"/>
        <v>475874.69487388094</v>
      </c>
      <c r="H14" s="56">
        <f t="shared" si="2"/>
        <v>369847.01682814857</v>
      </c>
    </row>
    <row r="15" spans="1:8">
      <c r="A15">
        <v>0</v>
      </c>
      <c r="B15" t="s">
        <v>293</v>
      </c>
      <c r="C15">
        <v>6.5</v>
      </c>
      <c r="D15">
        <v>91.114394259181097</v>
      </c>
      <c r="E15">
        <v>56.899541050484402</v>
      </c>
      <c r="F15" s="56">
        <f t="shared" si="0"/>
        <v>650000</v>
      </c>
      <c r="G15" s="56">
        <f t="shared" si="1"/>
        <v>592243.56268467708</v>
      </c>
      <c r="H15" s="56">
        <f>E15*F15/100</f>
        <v>369847.01682814857</v>
      </c>
    </row>
    <row r="16" spans="1:8">
      <c r="A16" s="55">
        <v>0</v>
      </c>
      <c r="B16" t="s">
        <v>294</v>
      </c>
      <c r="C16">
        <v>6.3</v>
      </c>
      <c r="D16">
        <v>89.436471084845905</v>
      </c>
      <c r="E16">
        <v>42.784293727689899</v>
      </c>
      <c r="F16" s="56">
        <f t="shared" si="0"/>
        <v>630000</v>
      </c>
      <c r="G16" s="56">
        <f t="shared" si="1"/>
        <v>563449.76783452916</v>
      </c>
      <c r="H16" s="56">
        <f t="shared" ref="H16:H26" si="3">E16*F16/100</f>
        <v>269541.05048444634</v>
      </c>
    </row>
    <row r="17" spans="1:8">
      <c r="A17">
        <v>0</v>
      </c>
      <c r="B17" t="s">
        <v>295</v>
      </c>
      <c r="C17">
        <v>5.0999999999999996</v>
      </c>
      <c r="D17">
        <v>86.587167581257901</v>
      </c>
      <c r="E17">
        <v>49.586945436001997</v>
      </c>
      <c r="F17" s="56">
        <f t="shared" si="0"/>
        <v>509999.99999999994</v>
      </c>
      <c r="G17" s="56">
        <f t="shared" si="1"/>
        <v>441594.55466441525</v>
      </c>
      <c r="H17" s="56">
        <f t="shared" si="3"/>
        <v>252893.42172361017</v>
      </c>
    </row>
    <row r="18" spans="1:8">
      <c r="A18" s="55">
        <v>0</v>
      </c>
      <c r="B18" t="s">
        <v>296</v>
      </c>
      <c r="C18">
        <v>3.2</v>
      </c>
      <c r="D18">
        <v>94.280287040945495</v>
      </c>
      <c r="E18">
        <v>42.4681285058643</v>
      </c>
      <c r="F18" s="56">
        <f t="shared" si="0"/>
        <v>320000</v>
      </c>
      <c r="G18" s="56">
        <f t="shared" si="1"/>
        <v>301696.91853102559</v>
      </c>
      <c r="H18" s="56">
        <f t="shared" si="3"/>
        <v>135898.01121876575</v>
      </c>
    </row>
    <row r="19" spans="1:8">
      <c r="A19">
        <v>0</v>
      </c>
      <c r="B19" t="s">
        <v>297</v>
      </c>
      <c r="C19">
        <v>3.2</v>
      </c>
      <c r="D19">
        <v>94.913465597298398</v>
      </c>
      <c r="E19">
        <v>56.246812850586402</v>
      </c>
      <c r="F19" s="56">
        <f t="shared" si="0"/>
        <v>320000</v>
      </c>
      <c r="G19" s="56">
        <f t="shared" si="1"/>
        <v>303723.08991135488</v>
      </c>
      <c r="H19" s="56">
        <f t="shared" si="3"/>
        <v>179989.80112187649</v>
      </c>
    </row>
    <row r="20" spans="1:8">
      <c r="A20" s="55">
        <v>0</v>
      </c>
      <c r="B20" t="s">
        <v>298</v>
      </c>
      <c r="C20">
        <v>2.1</v>
      </c>
      <c r="D20">
        <v>94.406922752216104</v>
      </c>
      <c r="E20">
        <v>51.422743498215098</v>
      </c>
      <c r="F20" s="56">
        <f t="shared" si="0"/>
        <v>210000</v>
      </c>
      <c r="G20" s="56">
        <f t="shared" si="1"/>
        <v>198254.53777965382</v>
      </c>
      <c r="H20" s="56">
        <f t="shared" si="3"/>
        <v>107987.7613462517</v>
      </c>
    </row>
    <row r="21" spans="1:8">
      <c r="A21">
        <v>0</v>
      </c>
      <c r="B21" t="s">
        <v>299</v>
      </c>
      <c r="C21">
        <v>2.8</v>
      </c>
      <c r="D21">
        <v>99.835796387520503</v>
      </c>
      <c r="E21">
        <v>49.240558292282401</v>
      </c>
      <c r="F21" s="56">
        <f t="shared" si="0"/>
        <v>280000</v>
      </c>
      <c r="G21" s="56">
        <f t="shared" si="1"/>
        <v>279540.22988505737</v>
      </c>
      <c r="H21" s="56">
        <f t="shared" si="3"/>
        <v>137873.56321839071</v>
      </c>
    </row>
    <row r="22" spans="1:8">
      <c r="A22" s="55">
        <v>0</v>
      </c>
      <c r="B22" t="s">
        <v>300</v>
      </c>
      <c r="C22">
        <v>1.7</v>
      </c>
      <c r="D22">
        <v>94.889162561576299</v>
      </c>
      <c r="E22">
        <v>50.082101806239699</v>
      </c>
      <c r="F22" s="56">
        <f t="shared" si="0"/>
        <v>170000</v>
      </c>
      <c r="G22" s="56">
        <f t="shared" si="1"/>
        <v>161311.57635467971</v>
      </c>
      <c r="H22" s="56">
        <f t="shared" si="3"/>
        <v>85139.573070607483</v>
      </c>
    </row>
    <row r="23" spans="1:8">
      <c r="A23">
        <v>0</v>
      </c>
      <c r="B23" t="s">
        <v>301</v>
      </c>
      <c r="C23">
        <v>2.4</v>
      </c>
      <c r="D23">
        <v>96.880131362889898</v>
      </c>
      <c r="E23">
        <v>56.609195402298802</v>
      </c>
      <c r="F23" s="56">
        <f t="shared" si="0"/>
        <v>240000</v>
      </c>
      <c r="G23" s="56">
        <f t="shared" si="1"/>
        <v>232512.31527093574</v>
      </c>
      <c r="H23" s="56">
        <f t="shared" si="3"/>
        <v>135862.06896551713</v>
      </c>
    </row>
    <row r="24" spans="1:8">
      <c r="A24" s="55">
        <v>0</v>
      </c>
      <c r="B24" t="s">
        <v>302</v>
      </c>
      <c r="C24">
        <v>2.6</v>
      </c>
      <c r="D24">
        <v>98.830049261083701</v>
      </c>
      <c r="E24">
        <v>47.105911330049203</v>
      </c>
      <c r="F24" s="56">
        <f t="shared" si="0"/>
        <v>260000</v>
      </c>
      <c r="G24" s="56">
        <f t="shared" si="1"/>
        <v>256958.12807881762</v>
      </c>
      <c r="H24" s="56">
        <f t="shared" si="3"/>
        <v>122475.36945812794</v>
      </c>
    </row>
    <row r="25" spans="1:8">
      <c r="A25">
        <v>0</v>
      </c>
      <c r="B25" t="s">
        <v>303</v>
      </c>
      <c r="C25">
        <v>2.5</v>
      </c>
      <c r="D25">
        <v>99.651067323481001</v>
      </c>
      <c r="E25">
        <v>47.926929392446603</v>
      </c>
      <c r="F25" s="56">
        <f t="shared" si="0"/>
        <v>250000</v>
      </c>
      <c r="G25" s="56">
        <f t="shared" si="1"/>
        <v>249127.66830870253</v>
      </c>
      <c r="H25" s="56">
        <f t="shared" si="3"/>
        <v>119817.3234811165</v>
      </c>
    </row>
    <row r="26" spans="1:8">
      <c r="A26" s="55">
        <v>0</v>
      </c>
      <c r="B26" t="s">
        <v>304</v>
      </c>
      <c r="C26">
        <v>2.2999999999999998</v>
      </c>
      <c r="D26">
        <v>95.874384236453096</v>
      </c>
      <c r="E26">
        <v>61.391625615763502</v>
      </c>
      <c r="F26" s="56">
        <f t="shared" si="0"/>
        <v>229999.99999999997</v>
      </c>
      <c r="G26" s="56">
        <f t="shared" si="1"/>
        <v>220511.08374384209</v>
      </c>
      <c r="H26" s="56">
        <f t="shared" si="3"/>
        <v>141200.73891625603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4" sqref="B4"/>
    </sheetView>
  </sheetViews>
  <sheetFormatPr baseColWidth="10" defaultRowHeight="13" x14ac:dyDescent="0"/>
  <sheetData>
    <row r="1" spans="1:4">
      <c r="A1" t="s">
        <v>501</v>
      </c>
    </row>
    <row r="2" spans="1:4">
      <c r="A2" t="s">
        <v>502</v>
      </c>
    </row>
    <row r="3" spans="1:4">
      <c r="B3" t="s">
        <v>421</v>
      </c>
    </row>
    <row r="4" spans="1:4">
      <c r="A4" t="s">
        <v>503</v>
      </c>
    </row>
    <row r="5" spans="1:4">
      <c r="B5" t="s">
        <v>568</v>
      </c>
      <c r="C5" t="s">
        <v>666</v>
      </c>
      <c r="D5" t="s">
        <v>667</v>
      </c>
    </row>
    <row r="6" spans="1:4">
      <c r="A6" t="s">
        <v>505</v>
      </c>
      <c r="B6">
        <f>1.7+2.2</f>
        <v>3.9000000000000004</v>
      </c>
      <c r="C6">
        <v>25.1</v>
      </c>
      <c r="D6">
        <f>100-C6-B6</f>
        <v>71</v>
      </c>
    </row>
    <row r="7" spans="1:4">
      <c r="A7" t="s">
        <v>507</v>
      </c>
      <c r="B7">
        <f>5+1.5</f>
        <v>6.5</v>
      </c>
      <c r="C7">
        <v>37.1</v>
      </c>
      <c r="D7">
        <f t="shared" ref="D7:D32" si="0">100-C7-B7</f>
        <v>56.4</v>
      </c>
    </row>
    <row r="8" spans="1:4">
      <c r="A8" t="s">
        <v>663</v>
      </c>
      <c r="B8">
        <f>29.4+0.6</f>
        <v>30</v>
      </c>
      <c r="C8">
        <v>28.7</v>
      </c>
      <c r="D8">
        <f t="shared" si="0"/>
        <v>41.3</v>
      </c>
    </row>
    <row r="10" spans="1:4">
      <c r="A10" t="s">
        <v>668</v>
      </c>
    </row>
    <row r="11" spans="1:4">
      <c r="B11" t="s">
        <v>568</v>
      </c>
      <c r="C11" t="s">
        <v>666</v>
      </c>
      <c r="D11" t="s">
        <v>667</v>
      </c>
    </row>
    <row r="12" spans="1:4">
      <c r="A12" t="s">
        <v>505</v>
      </c>
      <c r="B12">
        <f>0.3+0.3</f>
        <v>0.6</v>
      </c>
      <c r="C12">
        <v>26.2</v>
      </c>
      <c r="D12">
        <f t="shared" si="0"/>
        <v>73.2</v>
      </c>
    </row>
    <row r="13" spans="1:4">
      <c r="A13" t="s">
        <v>507</v>
      </c>
      <c r="B13">
        <f>0.4+1.7</f>
        <v>2.1</v>
      </c>
      <c r="C13">
        <v>39.299999999999997</v>
      </c>
      <c r="D13">
        <f t="shared" si="0"/>
        <v>58.6</v>
      </c>
    </row>
    <row r="14" spans="1:4">
      <c r="A14" t="s">
        <v>663</v>
      </c>
      <c r="B14">
        <f>12.7+0.2</f>
        <v>12.899999999999999</v>
      </c>
      <c r="C14">
        <v>41.4</v>
      </c>
      <c r="D14">
        <f t="shared" si="0"/>
        <v>45.7</v>
      </c>
    </row>
    <row r="16" spans="1:4">
      <c r="A16" t="s">
        <v>669</v>
      </c>
    </row>
    <row r="17" spans="1:4">
      <c r="B17" t="s">
        <v>568</v>
      </c>
      <c r="C17" t="s">
        <v>666</v>
      </c>
      <c r="D17" t="s">
        <v>667</v>
      </c>
    </row>
    <row r="18" spans="1:4">
      <c r="A18" t="s">
        <v>505</v>
      </c>
      <c r="B18">
        <f>0.2+0.2</f>
        <v>0.4</v>
      </c>
      <c r="C18">
        <v>23.9</v>
      </c>
      <c r="D18">
        <f t="shared" si="0"/>
        <v>75.699999999999989</v>
      </c>
    </row>
    <row r="19" spans="1:4">
      <c r="A19" t="s">
        <v>507</v>
      </c>
      <c r="B19">
        <f>2.6+0.3</f>
        <v>2.9</v>
      </c>
      <c r="C19">
        <v>26.6</v>
      </c>
      <c r="D19">
        <f t="shared" si="0"/>
        <v>70.5</v>
      </c>
    </row>
    <row r="20" spans="1:4">
      <c r="A20" t="s">
        <v>663</v>
      </c>
      <c r="B20">
        <f>21.8+0.3</f>
        <v>22.1</v>
      </c>
      <c r="C20">
        <v>27</v>
      </c>
      <c r="D20">
        <f t="shared" si="0"/>
        <v>50.9</v>
      </c>
    </row>
    <row r="22" spans="1:4">
      <c r="A22" t="s">
        <v>419</v>
      </c>
    </row>
    <row r="23" spans="1:4">
      <c r="B23" t="s">
        <v>568</v>
      </c>
      <c r="C23" t="s">
        <v>666</v>
      </c>
      <c r="D23" t="s">
        <v>667</v>
      </c>
    </row>
    <row r="24" spans="1:4">
      <c r="A24" t="s">
        <v>505</v>
      </c>
      <c r="B24">
        <f>0.4+0.5</f>
        <v>0.9</v>
      </c>
      <c r="C24">
        <v>19</v>
      </c>
      <c r="D24">
        <f t="shared" si="0"/>
        <v>80.099999999999994</v>
      </c>
    </row>
    <row r="25" spans="1:4">
      <c r="A25" t="s">
        <v>507</v>
      </c>
      <c r="B25">
        <f>2.8+0.5</f>
        <v>3.3</v>
      </c>
      <c r="C25">
        <v>33.200000000000003</v>
      </c>
      <c r="D25">
        <f t="shared" si="0"/>
        <v>63.5</v>
      </c>
    </row>
    <row r="26" spans="1:4">
      <c r="A26" t="s">
        <v>663</v>
      </c>
      <c r="B26">
        <f>14.5+0.2</f>
        <v>14.7</v>
      </c>
      <c r="C26">
        <v>43.5</v>
      </c>
      <c r="D26">
        <f t="shared" si="0"/>
        <v>41.8</v>
      </c>
    </row>
    <row r="28" spans="1:4">
      <c r="A28" t="s">
        <v>420</v>
      </c>
    </row>
    <row r="29" spans="1:4">
      <c r="B29" t="s">
        <v>664</v>
      </c>
      <c r="C29" t="s">
        <v>665</v>
      </c>
      <c r="D29" t="s">
        <v>667</v>
      </c>
    </row>
    <row r="30" spans="1:4">
      <c r="A30" t="s">
        <v>504</v>
      </c>
      <c r="B30">
        <f>0.4+0.1</f>
        <v>0.5</v>
      </c>
      <c r="C30">
        <v>11.1</v>
      </c>
      <c r="D30">
        <f t="shared" si="0"/>
        <v>88.4</v>
      </c>
    </row>
    <row r="31" spans="1:4">
      <c r="A31" t="s">
        <v>506</v>
      </c>
      <c r="B31">
        <f>1.2+0.5</f>
        <v>1.7</v>
      </c>
      <c r="C31">
        <v>17.3</v>
      </c>
      <c r="D31">
        <f t="shared" si="0"/>
        <v>81</v>
      </c>
    </row>
    <row r="32" spans="1:4">
      <c r="A32" t="s">
        <v>508</v>
      </c>
      <c r="B32">
        <f>17+0.1</f>
        <v>17.100000000000001</v>
      </c>
      <c r="C32">
        <v>24.8</v>
      </c>
      <c r="D32">
        <f t="shared" si="0"/>
        <v>58.1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6"/>
  <sheetViews>
    <sheetView topLeftCell="B1" workbookViewId="0">
      <selection activeCell="J36" sqref="J36"/>
    </sheetView>
  </sheetViews>
  <sheetFormatPr baseColWidth="10" defaultRowHeight="16" x14ac:dyDescent="0"/>
  <cols>
    <col min="1" max="4" width="10.7109375" style="34"/>
    <col min="5" max="5" width="10.7109375" style="46"/>
    <col min="6" max="7" width="10.7109375" style="34"/>
    <col min="8" max="8" width="10.7109375" style="46"/>
    <col min="9" max="12" width="10.7109375" style="34"/>
    <col min="13" max="13" width="10.7109375" style="69"/>
    <col min="14" max="16384" width="10.7109375" style="34"/>
  </cols>
  <sheetData>
    <row r="1" spans="1:13">
      <c r="A1" s="34" t="s">
        <v>561</v>
      </c>
    </row>
    <row r="2" spans="1:13">
      <c r="A2" s="34" t="s">
        <v>406</v>
      </c>
    </row>
    <row r="4" spans="1:13">
      <c r="E4" s="46" t="s">
        <v>408</v>
      </c>
    </row>
    <row r="5" spans="1:13" ht="30">
      <c r="A5" s="35" t="s">
        <v>422</v>
      </c>
      <c r="B5" s="35" t="s">
        <v>423</v>
      </c>
      <c r="C5" s="35" t="s">
        <v>424</v>
      </c>
      <c r="D5" s="35" t="s">
        <v>425</v>
      </c>
      <c r="E5" s="47" t="s">
        <v>426</v>
      </c>
      <c r="F5" s="36" t="s">
        <v>407</v>
      </c>
      <c r="G5" s="35" t="s">
        <v>427</v>
      </c>
      <c r="H5" s="47" t="s">
        <v>369</v>
      </c>
      <c r="I5" s="35" t="s">
        <v>428</v>
      </c>
      <c r="J5" s="35" t="s">
        <v>370</v>
      </c>
      <c r="K5" s="35" t="s">
        <v>429</v>
      </c>
      <c r="L5" s="34" t="s">
        <v>371</v>
      </c>
      <c r="M5" s="69" t="s">
        <v>409</v>
      </c>
    </row>
    <row r="6" spans="1:13">
      <c r="A6" s="37">
        <v>1</v>
      </c>
      <c r="B6" s="38">
        <v>37031</v>
      </c>
      <c r="C6" s="39">
        <v>1697367</v>
      </c>
      <c r="D6" s="39">
        <v>-3297050</v>
      </c>
      <c r="E6" s="48">
        <v>2</v>
      </c>
      <c r="F6" s="44">
        <v>1300000</v>
      </c>
      <c r="G6" s="37">
        <v>79.2</v>
      </c>
      <c r="H6" s="67">
        <f>(G6*F6)/100</f>
        <v>1029600</v>
      </c>
      <c r="I6" s="37">
        <v>0.8</v>
      </c>
      <c r="J6" s="68">
        <f>(I6*F6)/100</f>
        <v>10400</v>
      </c>
      <c r="K6" s="37">
        <v>2.9</v>
      </c>
      <c r="L6" s="70">
        <f>(K6*F6)/100</f>
        <v>37700</v>
      </c>
      <c r="M6" s="69">
        <f>J6+L6</f>
        <v>48100</v>
      </c>
    </row>
    <row r="7" spans="1:13">
      <c r="A7" s="37">
        <v>1</v>
      </c>
      <c r="B7" s="38">
        <v>37031</v>
      </c>
      <c r="C7" s="39">
        <v>1697367</v>
      </c>
      <c r="D7" s="39">
        <v>-3297050</v>
      </c>
      <c r="E7" s="48">
        <v>30</v>
      </c>
      <c r="F7" s="44">
        <v>680000</v>
      </c>
      <c r="G7" s="37">
        <v>66.5</v>
      </c>
      <c r="H7" s="67">
        <f t="shared" ref="H7:H70" si="0">(G7*F7)/100</f>
        <v>452200</v>
      </c>
      <c r="I7" s="37">
        <v>1.2</v>
      </c>
      <c r="J7" s="68">
        <f t="shared" ref="J7:J70" si="1">(I7*F7)/100</f>
        <v>8160</v>
      </c>
      <c r="K7" s="37">
        <v>6.2</v>
      </c>
      <c r="L7" s="70">
        <f t="shared" ref="L7:L70" si="2">(K7*F7)/100</f>
        <v>42160</v>
      </c>
      <c r="M7" s="69">
        <f t="shared" ref="M7:M70" si="3">J7+L7</f>
        <v>50320</v>
      </c>
    </row>
    <row r="8" spans="1:13">
      <c r="A8" s="37">
        <v>1</v>
      </c>
      <c r="B8" s="38">
        <v>37031</v>
      </c>
      <c r="C8" s="39">
        <v>1697367</v>
      </c>
      <c r="D8" s="39">
        <v>-3297050</v>
      </c>
      <c r="E8" s="48">
        <v>50</v>
      </c>
      <c r="F8" s="44">
        <v>1400000</v>
      </c>
      <c r="G8" s="37">
        <v>74.3</v>
      </c>
      <c r="H8" s="67">
        <f t="shared" si="0"/>
        <v>1040200</v>
      </c>
      <c r="I8" s="37">
        <v>1.4</v>
      </c>
      <c r="J8" s="68">
        <f t="shared" si="1"/>
        <v>19599.999999999996</v>
      </c>
      <c r="K8" s="37">
        <v>1.6</v>
      </c>
      <c r="L8" s="70">
        <f t="shared" si="2"/>
        <v>22400</v>
      </c>
      <c r="M8" s="69">
        <f t="shared" si="3"/>
        <v>42000</v>
      </c>
    </row>
    <row r="9" spans="1:13">
      <c r="A9" s="37">
        <v>1</v>
      </c>
      <c r="B9" s="38">
        <v>37031</v>
      </c>
      <c r="C9" s="39">
        <v>1697367</v>
      </c>
      <c r="D9" s="39">
        <v>-3297050</v>
      </c>
      <c r="E9" s="48">
        <v>85</v>
      </c>
      <c r="F9" s="44">
        <v>760000</v>
      </c>
      <c r="G9" s="37">
        <v>58</v>
      </c>
      <c r="H9" s="67">
        <f t="shared" si="0"/>
        <v>440800</v>
      </c>
      <c r="I9" s="37">
        <v>3.9</v>
      </c>
      <c r="J9" s="68">
        <f t="shared" si="1"/>
        <v>29640</v>
      </c>
      <c r="K9" s="37">
        <v>2</v>
      </c>
      <c r="L9" s="70">
        <f t="shared" si="2"/>
        <v>15200</v>
      </c>
      <c r="M9" s="69">
        <f t="shared" si="3"/>
        <v>44840</v>
      </c>
    </row>
    <row r="10" spans="1:13">
      <c r="A10" s="37">
        <v>1</v>
      </c>
      <c r="B10" s="38">
        <v>37031</v>
      </c>
      <c r="C10" s="39">
        <v>1697367</v>
      </c>
      <c r="D10" s="39">
        <v>-3297050</v>
      </c>
      <c r="E10" s="48">
        <v>175</v>
      </c>
      <c r="F10" s="44">
        <v>930000</v>
      </c>
      <c r="G10" s="37">
        <v>47.2</v>
      </c>
      <c r="H10" s="67">
        <f t="shared" si="0"/>
        <v>438960</v>
      </c>
      <c r="I10" s="37">
        <v>25.6</v>
      </c>
      <c r="J10" s="68">
        <f t="shared" si="1"/>
        <v>238080</v>
      </c>
      <c r="K10" s="37">
        <v>0.3</v>
      </c>
      <c r="L10" s="70">
        <f t="shared" si="2"/>
        <v>2790</v>
      </c>
      <c r="M10" s="69">
        <f t="shared" si="3"/>
        <v>240870</v>
      </c>
    </row>
    <row r="11" spans="1:13">
      <c r="A11" s="37">
        <v>1</v>
      </c>
      <c r="B11" s="38">
        <v>37031</v>
      </c>
      <c r="C11" s="39">
        <v>1697367</v>
      </c>
      <c r="D11" s="39">
        <v>-3297050</v>
      </c>
      <c r="E11" s="48">
        <v>250</v>
      </c>
      <c r="F11" s="44">
        <v>1500000</v>
      </c>
      <c r="G11" s="37">
        <v>64.2</v>
      </c>
      <c r="H11" s="67">
        <f t="shared" si="0"/>
        <v>963000</v>
      </c>
      <c r="I11" s="37">
        <v>37</v>
      </c>
      <c r="J11" s="68">
        <f t="shared" si="1"/>
        <v>555000</v>
      </c>
      <c r="K11" s="37">
        <v>0.6</v>
      </c>
      <c r="L11" s="70">
        <f t="shared" si="2"/>
        <v>9000</v>
      </c>
      <c r="M11" s="69">
        <f t="shared" si="3"/>
        <v>564000</v>
      </c>
    </row>
    <row r="12" spans="1:13">
      <c r="A12" s="37">
        <v>2</v>
      </c>
      <c r="B12" s="38">
        <v>37031</v>
      </c>
      <c r="C12" s="39">
        <v>1649250</v>
      </c>
      <c r="D12" s="39">
        <v>-3100650</v>
      </c>
      <c r="E12" s="48">
        <v>2</v>
      </c>
      <c r="F12" s="44">
        <v>2100000</v>
      </c>
      <c r="G12" s="37">
        <v>83</v>
      </c>
      <c r="H12" s="67">
        <f t="shared" si="0"/>
        <v>1743000</v>
      </c>
      <c r="I12" s="37">
        <v>2.9</v>
      </c>
      <c r="J12" s="68">
        <f t="shared" si="1"/>
        <v>60900</v>
      </c>
      <c r="K12" s="37">
        <v>4.2</v>
      </c>
      <c r="L12" s="70">
        <f t="shared" si="2"/>
        <v>88200</v>
      </c>
      <c r="M12" s="69">
        <f t="shared" si="3"/>
        <v>149100</v>
      </c>
    </row>
    <row r="13" spans="1:13">
      <c r="A13" s="37">
        <v>2</v>
      </c>
      <c r="B13" s="38">
        <v>37031</v>
      </c>
      <c r="C13" s="39">
        <v>1649250</v>
      </c>
      <c r="D13" s="39">
        <v>-3100650</v>
      </c>
      <c r="E13" s="48">
        <v>30</v>
      </c>
      <c r="F13" s="44">
        <v>1500000</v>
      </c>
      <c r="G13" s="37">
        <v>67.900000000000006</v>
      </c>
      <c r="H13" s="67">
        <f t="shared" si="0"/>
        <v>1018500.0000000001</v>
      </c>
      <c r="I13" s="37">
        <v>4.5999999999999996</v>
      </c>
      <c r="J13" s="68">
        <f t="shared" si="1"/>
        <v>68999.999999999985</v>
      </c>
      <c r="K13" s="37">
        <v>1.3</v>
      </c>
      <c r="L13" s="70">
        <f t="shared" si="2"/>
        <v>19500</v>
      </c>
      <c r="M13" s="69">
        <f t="shared" si="3"/>
        <v>88499.999999999985</v>
      </c>
    </row>
    <row r="14" spans="1:13">
      <c r="A14" s="37">
        <v>2</v>
      </c>
      <c r="B14" s="38">
        <v>37031</v>
      </c>
      <c r="C14" s="39">
        <v>1649250</v>
      </c>
      <c r="D14" s="39">
        <v>-3100650</v>
      </c>
      <c r="E14" s="48">
        <v>50</v>
      </c>
      <c r="F14" s="44">
        <v>540000</v>
      </c>
      <c r="G14" s="37">
        <v>51.5</v>
      </c>
      <c r="H14" s="67">
        <f t="shared" si="0"/>
        <v>278100</v>
      </c>
      <c r="I14" s="37">
        <v>16.899999999999999</v>
      </c>
      <c r="J14" s="68">
        <f t="shared" si="1"/>
        <v>91260</v>
      </c>
      <c r="K14" s="37">
        <v>0.5</v>
      </c>
      <c r="L14" s="70">
        <f t="shared" si="2"/>
        <v>2700</v>
      </c>
      <c r="M14" s="69">
        <f t="shared" si="3"/>
        <v>93960</v>
      </c>
    </row>
    <row r="15" spans="1:13">
      <c r="A15" s="37">
        <v>2</v>
      </c>
      <c r="B15" s="38">
        <v>37031</v>
      </c>
      <c r="C15" s="39">
        <v>1649250</v>
      </c>
      <c r="D15" s="39">
        <v>-3100650</v>
      </c>
      <c r="E15" s="48">
        <v>100</v>
      </c>
      <c r="F15" s="44">
        <v>390000</v>
      </c>
      <c r="G15" s="37">
        <v>45.2</v>
      </c>
      <c r="H15" s="67">
        <f t="shared" si="0"/>
        <v>176280</v>
      </c>
      <c r="I15" s="37">
        <v>22.9</v>
      </c>
      <c r="J15" s="68">
        <f t="shared" si="1"/>
        <v>89310</v>
      </c>
      <c r="K15" s="37">
        <v>0.2</v>
      </c>
      <c r="L15" s="70">
        <f t="shared" si="2"/>
        <v>780</v>
      </c>
      <c r="M15" s="69">
        <f t="shared" si="3"/>
        <v>90090</v>
      </c>
    </row>
    <row r="16" spans="1:13">
      <c r="A16" s="37">
        <v>2</v>
      </c>
      <c r="B16" s="38">
        <v>37031</v>
      </c>
      <c r="C16" s="39">
        <v>1649250</v>
      </c>
      <c r="D16" s="39">
        <v>-3100650</v>
      </c>
      <c r="E16" s="48">
        <v>150</v>
      </c>
      <c r="F16" s="44">
        <v>430000</v>
      </c>
      <c r="G16" s="37">
        <v>47.9</v>
      </c>
      <c r="H16" s="67">
        <f t="shared" si="0"/>
        <v>205970</v>
      </c>
      <c r="I16" s="37">
        <v>26.3</v>
      </c>
      <c r="J16" s="68">
        <f t="shared" si="1"/>
        <v>113090</v>
      </c>
      <c r="K16" s="37">
        <v>0</v>
      </c>
      <c r="L16" s="70">
        <f t="shared" si="2"/>
        <v>0</v>
      </c>
      <c r="M16" s="69">
        <f t="shared" si="3"/>
        <v>113090</v>
      </c>
    </row>
    <row r="17" spans="1:13">
      <c r="A17" s="37">
        <v>2</v>
      </c>
      <c r="B17" s="38">
        <v>37031</v>
      </c>
      <c r="C17" s="39">
        <v>1649250</v>
      </c>
      <c r="D17" s="39">
        <v>-3100650</v>
      </c>
      <c r="E17" s="48">
        <v>250</v>
      </c>
      <c r="F17" s="44">
        <v>1100000</v>
      </c>
      <c r="G17" s="37">
        <v>46</v>
      </c>
      <c r="H17" s="67">
        <f t="shared" si="0"/>
        <v>506000</v>
      </c>
      <c r="I17" s="37">
        <v>31.7</v>
      </c>
      <c r="J17" s="68">
        <f t="shared" si="1"/>
        <v>348700</v>
      </c>
      <c r="K17" s="37">
        <v>0.2</v>
      </c>
      <c r="L17" s="70">
        <f t="shared" si="2"/>
        <v>2200</v>
      </c>
      <c r="M17" s="69">
        <f t="shared" si="3"/>
        <v>350900</v>
      </c>
    </row>
    <row r="18" spans="1:13">
      <c r="A18" s="37">
        <v>3</v>
      </c>
      <c r="B18" s="38">
        <v>37034</v>
      </c>
      <c r="C18" s="39">
        <v>1050017</v>
      </c>
      <c r="D18" s="39">
        <v>-3183300</v>
      </c>
      <c r="E18" s="48">
        <v>2</v>
      </c>
      <c r="F18" s="44">
        <v>1700000</v>
      </c>
      <c r="G18" s="37">
        <v>74.5</v>
      </c>
      <c r="H18" s="67">
        <f t="shared" si="0"/>
        <v>1266500</v>
      </c>
      <c r="I18" s="37">
        <v>1.3</v>
      </c>
      <c r="J18" s="68">
        <f t="shared" si="1"/>
        <v>22100</v>
      </c>
      <c r="K18" s="37">
        <v>0.1</v>
      </c>
      <c r="L18" s="70">
        <f t="shared" si="2"/>
        <v>1700</v>
      </c>
      <c r="M18" s="69">
        <f t="shared" si="3"/>
        <v>23800</v>
      </c>
    </row>
    <row r="19" spans="1:13">
      <c r="A19" s="37">
        <v>3</v>
      </c>
      <c r="B19" s="38">
        <v>37034</v>
      </c>
      <c r="C19" s="39">
        <v>1050017</v>
      </c>
      <c r="D19" s="39">
        <v>-3183300</v>
      </c>
      <c r="E19" s="48">
        <v>65</v>
      </c>
      <c r="F19" s="44">
        <v>910000</v>
      </c>
      <c r="G19" s="37">
        <v>56.2</v>
      </c>
      <c r="H19" s="67">
        <f t="shared" si="0"/>
        <v>511420</v>
      </c>
      <c r="I19" s="37">
        <v>1.8</v>
      </c>
      <c r="J19" s="68">
        <f t="shared" si="1"/>
        <v>16380</v>
      </c>
      <c r="K19" s="37">
        <v>0.4</v>
      </c>
      <c r="L19" s="70">
        <f t="shared" si="2"/>
        <v>3640</v>
      </c>
      <c r="M19" s="69">
        <f t="shared" si="3"/>
        <v>20020</v>
      </c>
    </row>
    <row r="20" spans="1:13">
      <c r="A20" s="37">
        <v>3</v>
      </c>
      <c r="B20" s="38">
        <v>37034</v>
      </c>
      <c r="C20" s="39">
        <v>1050017</v>
      </c>
      <c r="D20" s="39">
        <v>-3183300</v>
      </c>
      <c r="E20" s="48">
        <v>96</v>
      </c>
      <c r="F20" s="44">
        <v>780000</v>
      </c>
      <c r="G20" s="37">
        <v>54.6</v>
      </c>
      <c r="H20" s="67">
        <f t="shared" si="0"/>
        <v>425880</v>
      </c>
      <c r="I20" s="37">
        <v>1.9</v>
      </c>
      <c r="J20" s="68">
        <f t="shared" si="1"/>
        <v>14820</v>
      </c>
      <c r="K20" s="37">
        <v>1</v>
      </c>
      <c r="L20" s="70">
        <f t="shared" si="2"/>
        <v>7800</v>
      </c>
      <c r="M20" s="69">
        <f t="shared" si="3"/>
        <v>22620</v>
      </c>
    </row>
    <row r="21" spans="1:13">
      <c r="A21" s="37">
        <v>3</v>
      </c>
      <c r="B21" s="38">
        <v>37034</v>
      </c>
      <c r="C21" s="39">
        <v>1050017</v>
      </c>
      <c r="D21" s="39">
        <v>-3183300</v>
      </c>
      <c r="E21" s="48">
        <v>144</v>
      </c>
      <c r="F21" s="44">
        <v>300000</v>
      </c>
      <c r="G21" s="37">
        <v>42.5</v>
      </c>
      <c r="H21" s="67">
        <f t="shared" si="0"/>
        <v>127500</v>
      </c>
      <c r="I21" s="37">
        <v>18.2</v>
      </c>
      <c r="J21" s="68">
        <f t="shared" si="1"/>
        <v>54600</v>
      </c>
      <c r="K21" s="37">
        <v>0.2</v>
      </c>
      <c r="L21" s="70">
        <f t="shared" si="2"/>
        <v>600</v>
      </c>
      <c r="M21" s="69">
        <f t="shared" si="3"/>
        <v>55200</v>
      </c>
    </row>
    <row r="22" spans="1:13">
      <c r="A22" s="37">
        <v>3</v>
      </c>
      <c r="B22" s="38">
        <v>37034</v>
      </c>
      <c r="C22" s="39">
        <v>1050017</v>
      </c>
      <c r="D22" s="39">
        <v>-3183300</v>
      </c>
      <c r="E22" s="48">
        <v>200</v>
      </c>
      <c r="F22" s="44">
        <v>270000</v>
      </c>
      <c r="G22" s="37">
        <v>44.1</v>
      </c>
      <c r="H22" s="67">
        <f t="shared" si="0"/>
        <v>119070</v>
      </c>
      <c r="I22" s="37">
        <v>19.100000000000001</v>
      </c>
      <c r="J22" s="68">
        <f t="shared" si="1"/>
        <v>51570</v>
      </c>
      <c r="K22" s="37">
        <v>0.2</v>
      </c>
      <c r="L22" s="70">
        <f t="shared" si="2"/>
        <v>540</v>
      </c>
      <c r="M22" s="69">
        <f t="shared" si="3"/>
        <v>52110</v>
      </c>
    </row>
    <row r="23" spans="1:13">
      <c r="A23" s="37">
        <v>3</v>
      </c>
      <c r="B23" s="38">
        <v>37034</v>
      </c>
      <c r="C23" s="39">
        <v>1050017</v>
      </c>
      <c r="D23" s="39">
        <v>-3183300</v>
      </c>
      <c r="E23" s="48">
        <v>300</v>
      </c>
      <c r="F23" s="44">
        <v>190000</v>
      </c>
      <c r="G23" s="37">
        <v>47.9</v>
      </c>
      <c r="H23" s="67">
        <f t="shared" si="0"/>
        <v>91010</v>
      </c>
      <c r="I23" s="37">
        <v>20.5</v>
      </c>
      <c r="J23" s="68">
        <f t="shared" si="1"/>
        <v>38950</v>
      </c>
      <c r="K23" s="37">
        <v>0</v>
      </c>
      <c r="L23" s="70">
        <f t="shared" si="2"/>
        <v>0</v>
      </c>
      <c r="M23" s="69">
        <f t="shared" si="3"/>
        <v>38950</v>
      </c>
    </row>
    <row r="24" spans="1:13">
      <c r="A24" s="37">
        <v>4</v>
      </c>
      <c r="B24" s="38">
        <v>37034</v>
      </c>
      <c r="C24" s="39">
        <v>932767</v>
      </c>
      <c r="D24" s="39">
        <v>-3158133</v>
      </c>
      <c r="E24" s="48">
        <v>2</v>
      </c>
      <c r="F24" s="44">
        <v>740000</v>
      </c>
      <c r="G24" s="37">
        <v>60.4</v>
      </c>
      <c r="H24" s="67">
        <f t="shared" si="0"/>
        <v>446960</v>
      </c>
      <c r="I24" s="37">
        <v>1</v>
      </c>
      <c r="J24" s="68">
        <f t="shared" si="1"/>
        <v>7400</v>
      </c>
      <c r="K24" s="37">
        <v>0.1</v>
      </c>
      <c r="L24" s="70">
        <f t="shared" si="2"/>
        <v>740</v>
      </c>
      <c r="M24" s="69">
        <f t="shared" si="3"/>
        <v>8140</v>
      </c>
    </row>
    <row r="25" spans="1:13">
      <c r="A25" s="37">
        <v>4</v>
      </c>
      <c r="B25" s="38">
        <v>37034</v>
      </c>
      <c r="C25" s="39">
        <v>932767</v>
      </c>
      <c r="D25" s="39">
        <v>-3158133</v>
      </c>
      <c r="E25" s="48">
        <v>42</v>
      </c>
      <c r="F25" s="44">
        <v>860000</v>
      </c>
      <c r="G25" s="37">
        <v>57</v>
      </c>
      <c r="H25" s="67">
        <f t="shared" si="0"/>
        <v>490200</v>
      </c>
      <c r="I25" s="37">
        <v>0.9</v>
      </c>
      <c r="J25" s="68">
        <f t="shared" si="1"/>
        <v>7740</v>
      </c>
      <c r="K25" s="37">
        <v>0</v>
      </c>
      <c r="L25" s="70">
        <f t="shared" si="2"/>
        <v>0</v>
      </c>
      <c r="M25" s="69">
        <f t="shared" si="3"/>
        <v>7740</v>
      </c>
    </row>
    <row r="26" spans="1:13">
      <c r="A26" s="37">
        <v>4</v>
      </c>
      <c r="B26" s="38">
        <v>37034</v>
      </c>
      <c r="C26" s="39">
        <v>932767</v>
      </c>
      <c r="D26" s="39">
        <v>-3158133</v>
      </c>
      <c r="E26" s="48">
        <v>100</v>
      </c>
      <c r="F26" s="44">
        <v>720000</v>
      </c>
      <c r="G26" s="37">
        <v>67.099999999999994</v>
      </c>
      <c r="H26" s="67">
        <f t="shared" si="0"/>
        <v>483119.99999999994</v>
      </c>
      <c r="I26" s="37">
        <v>0.7</v>
      </c>
      <c r="J26" s="68">
        <f t="shared" si="1"/>
        <v>5039.9999999999991</v>
      </c>
      <c r="K26" s="37">
        <v>0</v>
      </c>
      <c r="L26" s="70">
        <f t="shared" si="2"/>
        <v>0</v>
      </c>
      <c r="M26" s="69">
        <f t="shared" si="3"/>
        <v>5039.9999999999991</v>
      </c>
    </row>
    <row r="27" spans="1:13">
      <c r="A27" s="37">
        <v>4</v>
      </c>
      <c r="B27" s="38">
        <v>37034</v>
      </c>
      <c r="C27" s="39">
        <v>932767</v>
      </c>
      <c r="D27" s="39">
        <v>-3158133</v>
      </c>
      <c r="E27" s="48">
        <v>150</v>
      </c>
      <c r="F27" s="44">
        <v>350000</v>
      </c>
      <c r="G27" s="37">
        <v>46.1</v>
      </c>
      <c r="H27" s="67">
        <f t="shared" si="0"/>
        <v>161350</v>
      </c>
      <c r="I27" s="37">
        <v>14.5</v>
      </c>
      <c r="J27" s="68">
        <f t="shared" si="1"/>
        <v>50750</v>
      </c>
      <c r="K27" s="37">
        <v>0.5</v>
      </c>
      <c r="L27" s="70">
        <f t="shared" si="2"/>
        <v>1750</v>
      </c>
      <c r="M27" s="69">
        <f t="shared" si="3"/>
        <v>52500</v>
      </c>
    </row>
    <row r="28" spans="1:13">
      <c r="A28" s="37">
        <v>4</v>
      </c>
      <c r="B28" s="38">
        <v>37034</v>
      </c>
      <c r="C28" s="39">
        <v>932767</v>
      </c>
      <c r="D28" s="39">
        <v>-3158133</v>
      </c>
      <c r="E28" s="48">
        <v>225</v>
      </c>
      <c r="F28" s="44">
        <v>250000</v>
      </c>
      <c r="G28" s="37">
        <v>42.7</v>
      </c>
      <c r="H28" s="67">
        <f t="shared" si="0"/>
        <v>106750</v>
      </c>
      <c r="I28" s="37">
        <v>22.8</v>
      </c>
      <c r="J28" s="68">
        <f t="shared" si="1"/>
        <v>57000</v>
      </c>
      <c r="K28" s="37">
        <v>0</v>
      </c>
      <c r="L28" s="70">
        <f t="shared" si="2"/>
        <v>0</v>
      </c>
      <c r="M28" s="69">
        <f t="shared" si="3"/>
        <v>57000</v>
      </c>
    </row>
    <row r="29" spans="1:13">
      <c r="A29" s="37">
        <v>4</v>
      </c>
      <c r="B29" s="38">
        <v>37034</v>
      </c>
      <c r="C29" s="39">
        <v>932767</v>
      </c>
      <c r="D29" s="39">
        <v>-3158133</v>
      </c>
      <c r="E29" s="48">
        <v>300</v>
      </c>
      <c r="F29" s="44">
        <v>230000</v>
      </c>
      <c r="G29" s="37">
        <v>42.6</v>
      </c>
      <c r="H29" s="67">
        <f t="shared" si="0"/>
        <v>97980</v>
      </c>
      <c r="I29" s="37">
        <v>17.899999999999999</v>
      </c>
      <c r="J29" s="68">
        <f t="shared" si="1"/>
        <v>41169.999999999993</v>
      </c>
      <c r="K29" s="37">
        <v>1</v>
      </c>
      <c r="L29" s="70">
        <f t="shared" si="2"/>
        <v>2300</v>
      </c>
      <c r="M29" s="69">
        <f t="shared" si="3"/>
        <v>43469.999999999993</v>
      </c>
    </row>
    <row r="30" spans="1:13">
      <c r="A30" s="37">
        <v>5</v>
      </c>
      <c r="B30" s="38">
        <v>37035</v>
      </c>
      <c r="C30" s="39">
        <v>422300</v>
      </c>
      <c r="D30" s="39">
        <v>-3063350</v>
      </c>
      <c r="E30" s="48">
        <v>2</v>
      </c>
      <c r="F30" s="44">
        <v>1000000</v>
      </c>
      <c r="G30" s="37">
        <v>68.2</v>
      </c>
      <c r="H30" s="67">
        <f t="shared" si="0"/>
        <v>682000</v>
      </c>
      <c r="I30" s="37">
        <v>0.4</v>
      </c>
      <c r="J30" s="68">
        <f t="shared" si="1"/>
        <v>4000</v>
      </c>
      <c r="K30" s="37">
        <v>1</v>
      </c>
      <c r="L30" s="70">
        <f t="shared" si="2"/>
        <v>10000</v>
      </c>
      <c r="M30" s="69">
        <f t="shared" si="3"/>
        <v>14000</v>
      </c>
    </row>
    <row r="31" spans="1:13">
      <c r="A31" s="37">
        <v>5</v>
      </c>
      <c r="B31" s="38">
        <v>37035</v>
      </c>
      <c r="C31" s="39">
        <v>422300</v>
      </c>
      <c r="D31" s="39">
        <v>-3063350</v>
      </c>
      <c r="E31" s="48">
        <v>50</v>
      </c>
      <c r="F31" s="44">
        <v>840000</v>
      </c>
      <c r="G31" s="37">
        <v>60.4</v>
      </c>
      <c r="H31" s="67">
        <f t="shared" si="0"/>
        <v>507360</v>
      </c>
      <c r="I31" s="37">
        <v>0.2</v>
      </c>
      <c r="J31" s="68">
        <f t="shared" si="1"/>
        <v>1680</v>
      </c>
      <c r="K31" s="37">
        <v>1.4</v>
      </c>
      <c r="L31" s="70">
        <f t="shared" si="2"/>
        <v>11760</v>
      </c>
      <c r="M31" s="69">
        <f t="shared" si="3"/>
        <v>13440</v>
      </c>
    </row>
    <row r="32" spans="1:13">
      <c r="A32" s="37">
        <v>5</v>
      </c>
      <c r="B32" s="38">
        <v>37035</v>
      </c>
      <c r="C32" s="39">
        <v>422300</v>
      </c>
      <c r="D32" s="39">
        <v>-3063350</v>
      </c>
      <c r="E32" s="48">
        <v>80</v>
      </c>
      <c r="F32" s="44">
        <v>830000</v>
      </c>
      <c r="G32" s="37">
        <v>66.7</v>
      </c>
      <c r="H32" s="67">
        <f t="shared" si="0"/>
        <v>553610</v>
      </c>
      <c r="I32" s="37">
        <v>0.4</v>
      </c>
      <c r="J32" s="68">
        <f t="shared" si="1"/>
        <v>3320</v>
      </c>
      <c r="K32" s="37">
        <v>0.3</v>
      </c>
      <c r="L32" s="70">
        <f t="shared" si="2"/>
        <v>2490</v>
      </c>
      <c r="M32" s="69">
        <f t="shared" si="3"/>
        <v>5810</v>
      </c>
    </row>
    <row r="33" spans="1:13">
      <c r="A33" s="37">
        <v>5</v>
      </c>
      <c r="B33" s="38">
        <v>37035</v>
      </c>
      <c r="C33" s="39">
        <v>422300</v>
      </c>
      <c r="D33" s="39">
        <v>-3063350</v>
      </c>
      <c r="E33" s="48">
        <v>125</v>
      </c>
      <c r="F33" s="44">
        <v>410000</v>
      </c>
      <c r="G33" s="37">
        <v>58.8</v>
      </c>
      <c r="H33" s="67">
        <f t="shared" si="0"/>
        <v>241080</v>
      </c>
      <c r="I33" s="37">
        <v>10.199999999999999</v>
      </c>
      <c r="J33" s="68">
        <f t="shared" si="1"/>
        <v>41819.999999999993</v>
      </c>
      <c r="K33" s="37">
        <v>0.5</v>
      </c>
      <c r="L33" s="70">
        <f t="shared" si="2"/>
        <v>2050</v>
      </c>
      <c r="M33" s="69">
        <f t="shared" si="3"/>
        <v>43869.999999999993</v>
      </c>
    </row>
    <row r="34" spans="1:13">
      <c r="A34" s="37">
        <v>5</v>
      </c>
      <c r="B34" s="38">
        <v>37035</v>
      </c>
      <c r="C34" s="39">
        <v>422300</v>
      </c>
      <c r="D34" s="39">
        <v>-3063350</v>
      </c>
      <c r="E34" s="48">
        <v>225</v>
      </c>
      <c r="F34" s="44">
        <v>280000</v>
      </c>
      <c r="G34" s="37">
        <v>52.7</v>
      </c>
      <c r="H34" s="67">
        <f t="shared" si="0"/>
        <v>147560</v>
      </c>
      <c r="I34" s="37">
        <v>15.4</v>
      </c>
      <c r="J34" s="68">
        <f t="shared" si="1"/>
        <v>43120</v>
      </c>
      <c r="K34" s="37">
        <v>0</v>
      </c>
      <c r="L34" s="70">
        <f t="shared" si="2"/>
        <v>0</v>
      </c>
      <c r="M34" s="69">
        <f t="shared" si="3"/>
        <v>43120</v>
      </c>
    </row>
    <row r="35" spans="1:13">
      <c r="A35" s="37">
        <v>5</v>
      </c>
      <c r="B35" s="38">
        <v>37035</v>
      </c>
      <c r="C35" s="39">
        <v>422300</v>
      </c>
      <c r="D35" s="39">
        <v>-3063350</v>
      </c>
      <c r="E35" s="48">
        <v>300</v>
      </c>
      <c r="F35" s="44">
        <v>250000</v>
      </c>
      <c r="G35" s="37">
        <v>58</v>
      </c>
      <c r="H35" s="67">
        <f t="shared" si="0"/>
        <v>145000</v>
      </c>
      <c r="I35" s="37">
        <v>22.4</v>
      </c>
      <c r="J35" s="68">
        <f t="shared" si="1"/>
        <v>56000</v>
      </c>
      <c r="K35" s="37">
        <v>0.5</v>
      </c>
      <c r="L35" s="70">
        <f t="shared" si="2"/>
        <v>1250</v>
      </c>
      <c r="M35" s="69">
        <f t="shared" si="3"/>
        <v>57250</v>
      </c>
    </row>
    <row r="36" spans="1:13">
      <c r="A36" s="37">
        <v>6</v>
      </c>
      <c r="B36" s="38">
        <v>37036</v>
      </c>
      <c r="C36" s="37" t="s">
        <v>418</v>
      </c>
      <c r="D36" s="39">
        <v>-2996617</v>
      </c>
      <c r="E36" s="48">
        <v>2</v>
      </c>
      <c r="F36" s="44">
        <v>780000</v>
      </c>
      <c r="G36" s="37">
        <v>66.7</v>
      </c>
      <c r="H36" s="67">
        <f t="shared" si="0"/>
        <v>520260</v>
      </c>
      <c r="I36" s="37">
        <v>0.2</v>
      </c>
      <c r="J36" s="68">
        <f t="shared" si="1"/>
        <v>1560</v>
      </c>
      <c r="K36" s="37">
        <v>0.4</v>
      </c>
      <c r="L36" s="70">
        <f t="shared" si="2"/>
        <v>3120</v>
      </c>
      <c r="M36" s="69">
        <f t="shared" si="3"/>
        <v>4680</v>
      </c>
    </row>
    <row r="37" spans="1:13">
      <c r="A37" s="37">
        <v>6</v>
      </c>
      <c r="B37" s="38">
        <v>37036</v>
      </c>
      <c r="C37" s="37" t="s">
        <v>418</v>
      </c>
      <c r="D37" s="39">
        <v>-2996617</v>
      </c>
      <c r="E37" s="48">
        <v>70</v>
      </c>
      <c r="F37" s="44">
        <v>690000</v>
      </c>
      <c r="G37" s="37">
        <v>62.3</v>
      </c>
      <c r="H37" s="67">
        <f t="shared" si="0"/>
        <v>429870</v>
      </c>
      <c r="I37" s="37">
        <v>0.9</v>
      </c>
      <c r="J37" s="68">
        <f t="shared" si="1"/>
        <v>6210</v>
      </c>
      <c r="K37" s="37">
        <v>0.4</v>
      </c>
      <c r="L37" s="70">
        <f t="shared" si="2"/>
        <v>2760</v>
      </c>
      <c r="M37" s="69">
        <f t="shared" si="3"/>
        <v>8970</v>
      </c>
    </row>
    <row r="38" spans="1:13">
      <c r="A38" s="37">
        <v>6</v>
      </c>
      <c r="B38" s="38">
        <v>37036</v>
      </c>
      <c r="C38" s="37" t="s">
        <v>418</v>
      </c>
      <c r="D38" s="39">
        <v>-2996617</v>
      </c>
      <c r="E38" s="48">
        <v>95</v>
      </c>
      <c r="F38" s="44">
        <v>450000</v>
      </c>
      <c r="G38" s="37">
        <v>54.4</v>
      </c>
      <c r="H38" s="67">
        <f t="shared" si="0"/>
        <v>244800</v>
      </c>
      <c r="I38" s="37">
        <v>2.2999999999999998</v>
      </c>
      <c r="J38" s="68">
        <f t="shared" si="1"/>
        <v>10349.999999999998</v>
      </c>
      <c r="K38" s="37">
        <v>0</v>
      </c>
      <c r="L38" s="70">
        <f t="shared" si="2"/>
        <v>0</v>
      </c>
      <c r="M38" s="69">
        <f t="shared" si="3"/>
        <v>10349.999999999998</v>
      </c>
    </row>
    <row r="39" spans="1:13">
      <c r="A39" s="37">
        <v>6</v>
      </c>
      <c r="B39" s="38">
        <v>37036</v>
      </c>
      <c r="C39" s="37" t="s">
        <v>418</v>
      </c>
      <c r="D39" s="39">
        <v>-2996617</v>
      </c>
      <c r="E39" s="48">
        <v>110</v>
      </c>
      <c r="F39" s="44">
        <v>420000</v>
      </c>
      <c r="G39" s="37">
        <v>43.5</v>
      </c>
      <c r="H39" s="67">
        <f t="shared" si="0"/>
        <v>182700</v>
      </c>
      <c r="I39" s="37">
        <v>5</v>
      </c>
      <c r="J39" s="68">
        <f t="shared" si="1"/>
        <v>21000</v>
      </c>
      <c r="K39" s="37">
        <v>0.2</v>
      </c>
      <c r="L39" s="70">
        <f t="shared" si="2"/>
        <v>840</v>
      </c>
      <c r="M39" s="69">
        <f t="shared" si="3"/>
        <v>21840</v>
      </c>
    </row>
    <row r="40" spans="1:13">
      <c r="A40" s="37">
        <v>6</v>
      </c>
      <c r="B40" s="38">
        <v>37036</v>
      </c>
      <c r="C40" s="37" t="s">
        <v>418</v>
      </c>
      <c r="D40" s="39">
        <v>-2996617</v>
      </c>
      <c r="E40" s="48">
        <v>240</v>
      </c>
      <c r="F40" s="44">
        <v>190000</v>
      </c>
      <c r="G40" s="37">
        <v>52.6</v>
      </c>
      <c r="H40" s="67">
        <f t="shared" si="0"/>
        <v>99940</v>
      </c>
      <c r="I40" s="37">
        <v>18.399999999999999</v>
      </c>
      <c r="J40" s="68">
        <f t="shared" si="1"/>
        <v>34959.999999999993</v>
      </c>
      <c r="K40" s="37">
        <v>0</v>
      </c>
      <c r="L40" s="70">
        <f t="shared" si="2"/>
        <v>0</v>
      </c>
      <c r="M40" s="69">
        <f t="shared" si="3"/>
        <v>34959.999999999993</v>
      </c>
    </row>
    <row r="41" spans="1:13">
      <c r="A41" s="37">
        <v>6</v>
      </c>
      <c r="B41" s="38">
        <v>37036</v>
      </c>
      <c r="C41" s="37" t="s">
        <v>418</v>
      </c>
      <c r="D41" s="39">
        <v>-2996617</v>
      </c>
      <c r="E41" s="48">
        <v>300</v>
      </c>
      <c r="F41" s="44">
        <v>190000</v>
      </c>
      <c r="G41" s="37">
        <v>53.9</v>
      </c>
      <c r="H41" s="67">
        <f t="shared" si="0"/>
        <v>102410</v>
      </c>
      <c r="I41" s="37">
        <v>16.7</v>
      </c>
      <c r="J41" s="68">
        <f t="shared" si="1"/>
        <v>31730</v>
      </c>
      <c r="K41" s="37">
        <v>0</v>
      </c>
      <c r="L41" s="70">
        <f t="shared" si="2"/>
        <v>0</v>
      </c>
      <c r="M41" s="69">
        <f t="shared" si="3"/>
        <v>31730</v>
      </c>
    </row>
    <row r="42" spans="1:13">
      <c r="A42" s="37">
        <v>7</v>
      </c>
      <c r="B42" s="38">
        <v>37036</v>
      </c>
      <c r="C42" s="39">
        <v>-575683</v>
      </c>
      <c r="D42" s="39">
        <v>-2874317</v>
      </c>
      <c r="E42" s="48">
        <v>2</v>
      </c>
      <c r="F42" s="44">
        <v>820000</v>
      </c>
      <c r="G42" s="37">
        <v>66.599999999999994</v>
      </c>
      <c r="H42" s="67">
        <f t="shared" si="0"/>
        <v>546119.99999999988</v>
      </c>
      <c r="I42" s="37">
        <v>0.4</v>
      </c>
      <c r="J42" s="68">
        <f t="shared" si="1"/>
        <v>3280</v>
      </c>
      <c r="K42" s="37">
        <v>0.1</v>
      </c>
      <c r="L42" s="70">
        <f t="shared" si="2"/>
        <v>820</v>
      </c>
      <c r="M42" s="69">
        <f t="shared" si="3"/>
        <v>4100</v>
      </c>
    </row>
    <row r="43" spans="1:13">
      <c r="A43" s="37">
        <v>7</v>
      </c>
      <c r="B43" s="38">
        <v>37036</v>
      </c>
      <c r="C43" s="39">
        <v>-575683</v>
      </c>
      <c r="D43" s="39">
        <v>-2874317</v>
      </c>
      <c r="E43" s="48">
        <v>80</v>
      </c>
      <c r="F43" s="44">
        <v>470000</v>
      </c>
      <c r="G43" s="37">
        <v>61.7</v>
      </c>
      <c r="H43" s="67">
        <f t="shared" si="0"/>
        <v>289990</v>
      </c>
      <c r="I43" s="37">
        <v>0.7</v>
      </c>
      <c r="J43" s="68">
        <f t="shared" si="1"/>
        <v>3290</v>
      </c>
      <c r="K43" s="37">
        <v>0.3</v>
      </c>
      <c r="L43" s="70">
        <f t="shared" si="2"/>
        <v>1410</v>
      </c>
      <c r="M43" s="69">
        <f t="shared" si="3"/>
        <v>4700</v>
      </c>
    </row>
    <row r="44" spans="1:13">
      <c r="A44" s="37">
        <v>7</v>
      </c>
      <c r="B44" s="38">
        <v>37036</v>
      </c>
      <c r="C44" s="39">
        <v>-575683</v>
      </c>
      <c r="D44" s="39">
        <v>-2874317</v>
      </c>
      <c r="E44" s="48">
        <v>100</v>
      </c>
      <c r="F44" s="44">
        <v>660000</v>
      </c>
      <c r="G44" s="37">
        <v>59.1</v>
      </c>
      <c r="H44" s="67">
        <f t="shared" si="0"/>
        <v>390060</v>
      </c>
      <c r="I44" s="37">
        <v>1.4</v>
      </c>
      <c r="J44" s="68">
        <f t="shared" si="1"/>
        <v>9239.9999999999982</v>
      </c>
      <c r="K44" s="37">
        <v>0.4</v>
      </c>
      <c r="L44" s="70">
        <f t="shared" si="2"/>
        <v>2640</v>
      </c>
      <c r="M44" s="69">
        <f t="shared" si="3"/>
        <v>11879.999999999998</v>
      </c>
    </row>
    <row r="45" spans="1:13">
      <c r="A45" s="37">
        <v>7</v>
      </c>
      <c r="B45" s="38">
        <v>37036</v>
      </c>
      <c r="C45" s="39">
        <v>-575683</v>
      </c>
      <c r="D45" s="39">
        <v>-2874317</v>
      </c>
      <c r="E45" s="48">
        <v>125</v>
      </c>
      <c r="F45" s="44">
        <v>680000</v>
      </c>
      <c r="G45" s="37">
        <v>51.8</v>
      </c>
      <c r="H45" s="67">
        <f t="shared" si="0"/>
        <v>352240</v>
      </c>
      <c r="I45" s="37">
        <v>6.8</v>
      </c>
      <c r="J45" s="68">
        <f t="shared" si="1"/>
        <v>46240</v>
      </c>
      <c r="K45" s="37">
        <v>0.1</v>
      </c>
      <c r="L45" s="70">
        <f t="shared" si="2"/>
        <v>680</v>
      </c>
      <c r="M45" s="69">
        <f t="shared" si="3"/>
        <v>46920</v>
      </c>
    </row>
    <row r="46" spans="1:13">
      <c r="A46" s="37">
        <v>7</v>
      </c>
      <c r="B46" s="38">
        <v>37036</v>
      </c>
      <c r="C46" s="39">
        <v>-575683</v>
      </c>
      <c r="D46" s="39">
        <v>-2874317</v>
      </c>
      <c r="E46" s="48">
        <v>225</v>
      </c>
      <c r="F46" s="44">
        <v>170000</v>
      </c>
      <c r="G46" s="37">
        <v>48.2</v>
      </c>
      <c r="H46" s="67">
        <f t="shared" si="0"/>
        <v>81940.000000000015</v>
      </c>
      <c r="I46" s="37">
        <v>12.9</v>
      </c>
      <c r="J46" s="68">
        <f t="shared" si="1"/>
        <v>21930</v>
      </c>
      <c r="K46" s="37">
        <v>0</v>
      </c>
      <c r="L46" s="70">
        <f t="shared" si="2"/>
        <v>0</v>
      </c>
      <c r="M46" s="69">
        <f t="shared" si="3"/>
        <v>21930</v>
      </c>
    </row>
    <row r="47" spans="1:13">
      <c r="A47" s="37">
        <v>7</v>
      </c>
      <c r="B47" s="38">
        <v>37036</v>
      </c>
      <c r="C47" s="39">
        <v>-575683</v>
      </c>
      <c r="D47" s="39">
        <v>-2874317</v>
      </c>
      <c r="E47" s="48">
        <v>300</v>
      </c>
      <c r="F47" s="44">
        <v>210000</v>
      </c>
      <c r="G47" s="37">
        <v>42.1</v>
      </c>
      <c r="H47" s="67">
        <f t="shared" si="0"/>
        <v>88410</v>
      </c>
      <c r="I47" s="37">
        <v>11.6</v>
      </c>
      <c r="J47" s="68">
        <f t="shared" si="1"/>
        <v>24360</v>
      </c>
      <c r="K47" s="37">
        <v>0.1</v>
      </c>
      <c r="L47" s="70">
        <f t="shared" si="2"/>
        <v>210</v>
      </c>
      <c r="M47" s="69">
        <f t="shared" si="3"/>
        <v>24570</v>
      </c>
    </row>
    <row r="48" spans="1:13">
      <c r="A48" s="37">
        <v>8</v>
      </c>
      <c r="B48" s="38">
        <v>37038</v>
      </c>
      <c r="C48" s="39">
        <v>-924817</v>
      </c>
      <c r="D48" s="39">
        <v>-2806967</v>
      </c>
      <c r="E48" s="48">
        <v>2</v>
      </c>
      <c r="F48" s="44">
        <v>800000</v>
      </c>
      <c r="G48" s="37">
        <v>73.8</v>
      </c>
      <c r="H48" s="67">
        <f t="shared" si="0"/>
        <v>590400</v>
      </c>
      <c r="I48" s="37">
        <v>0</v>
      </c>
      <c r="J48" s="68">
        <f t="shared" si="1"/>
        <v>0</v>
      </c>
      <c r="K48" s="37">
        <v>0</v>
      </c>
      <c r="L48" s="70">
        <f t="shared" si="2"/>
        <v>0</v>
      </c>
      <c r="M48" s="69">
        <f t="shared" si="3"/>
        <v>0</v>
      </c>
    </row>
    <row r="49" spans="1:13">
      <c r="A49" s="37">
        <v>8</v>
      </c>
      <c r="B49" s="38">
        <v>37038</v>
      </c>
      <c r="C49" s="39">
        <v>-924817</v>
      </c>
      <c r="D49" s="39">
        <v>-2806967</v>
      </c>
      <c r="E49" s="48">
        <v>105</v>
      </c>
      <c r="F49" s="44">
        <v>570000</v>
      </c>
      <c r="G49" s="37">
        <v>66.2</v>
      </c>
      <c r="H49" s="67">
        <f t="shared" si="0"/>
        <v>377340</v>
      </c>
      <c r="I49" s="37">
        <v>0.4</v>
      </c>
      <c r="J49" s="68">
        <f t="shared" si="1"/>
        <v>2280</v>
      </c>
      <c r="K49" s="37">
        <v>0.1</v>
      </c>
      <c r="L49" s="70">
        <f t="shared" si="2"/>
        <v>570</v>
      </c>
      <c r="M49" s="69">
        <f t="shared" si="3"/>
        <v>2850</v>
      </c>
    </row>
    <row r="50" spans="1:13">
      <c r="A50" s="37">
        <v>8</v>
      </c>
      <c r="B50" s="38">
        <v>37038</v>
      </c>
      <c r="C50" s="39">
        <v>-924817</v>
      </c>
      <c r="D50" s="39">
        <v>-2806967</v>
      </c>
      <c r="E50" s="48">
        <v>115</v>
      </c>
      <c r="F50" s="44">
        <v>480000</v>
      </c>
      <c r="G50" s="37">
        <v>66.5</v>
      </c>
      <c r="H50" s="67">
        <f t="shared" si="0"/>
        <v>319200</v>
      </c>
      <c r="I50" s="37">
        <v>1.1000000000000001</v>
      </c>
      <c r="J50" s="68">
        <f t="shared" si="1"/>
        <v>5280</v>
      </c>
      <c r="K50" s="37">
        <v>0.2</v>
      </c>
      <c r="L50" s="70">
        <f t="shared" si="2"/>
        <v>960</v>
      </c>
      <c r="M50" s="69">
        <f t="shared" si="3"/>
        <v>6240</v>
      </c>
    </row>
    <row r="51" spans="1:13">
      <c r="A51" s="37">
        <v>8</v>
      </c>
      <c r="B51" s="38">
        <v>37038</v>
      </c>
      <c r="C51" s="39">
        <v>-924817</v>
      </c>
      <c r="D51" s="39">
        <v>-2806967</v>
      </c>
      <c r="E51" s="48">
        <v>130</v>
      </c>
      <c r="F51" s="44">
        <v>330000</v>
      </c>
      <c r="G51" s="37">
        <v>57.7</v>
      </c>
      <c r="H51" s="67">
        <f t="shared" si="0"/>
        <v>190410</v>
      </c>
      <c r="I51" s="37">
        <v>6.8</v>
      </c>
      <c r="J51" s="68">
        <f t="shared" si="1"/>
        <v>22440</v>
      </c>
      <c r="K51" s="37">
        <v>0</v>
      </c>
      <c r="L51" s="70">
        <f t="shared" si="2"/>
        <v>0</v>
      </c>
      <c r="M51" s="69">
        <f t="shared" si="3"/>
        <v>22440</v>
      </c>
    </row>
    <row r="52" spans="1:13">
      <c r="A52" s="37">
        <v>8</v>
      </c>
      <c r="B52" s="38">
        <v>37038</v>
      </c>
      <c r="C52" s="39">
        <v>-924817</v>
      </c>
      <c r="D52" s="39">
        <v>-2806967</v>
      </c>
      <c r="E52" s="48">
        <v>200</v>
      </c>
      <c r="F52" s="44">
        <v>200000</v>
      </c>
      <c r="G52" s="37">
        <v>44.8</v>
      </c>
      <c r="H52" s="67">
        <f t="shared" si="0"/>
        <v>89600</v>
      </c>
      <c r="I52" s="37">
        <v>13.5</v>
      </c>
      <c r="J52" s="68">
        <f t="shared" si="1"/>
        <v>27000</v>
      </c>
      <c r="K52" s="37">
        <v>0</v>
      </c>
      <c r="L52" s="70">
        <f t="shared" si="2"/>
        <v>0</v>
      </c>
      <c r="M52" s="69">
        <f t="shared" si="3"/>
        <v>27000</v>
      </c>
    </row>
    <row r="53" spans="1:13">
      <c r="A53" s="37">
        <v>8</v>
      </c>
      <c r="B53" s="38">
        <v>37038</v>
      </c>
      <c r="C53" s="39">
        <v>-924817</v>
      </c>
      <c r="D53" s="39">
        <v>-2806967</v>
      </c>
      <c r="E53" s="48">
        <v>300</v>
      </c>
      <c r="F53" s="44">
        <v>140000</v>
      </c>
      <c r="G53" s="37">
        <v>41.5</v>
      </c>
      <c r="H53" s="67">
        <f t="shared" si="0"/>
        <v>58100</v>
      </c>
      <c r="I53" s="37">
        <v>24.5</v>
      </c>
      <c r="J53" s="68">
        <f t="shared" si="1"/>
        <v>34300</v>
      </c>
      <c r="K53" s="37">
        <v>0.1</v>
      </c>
      <c r="L53" s="70">
        <f t="shared" si="2"/>
        <v>140</v>
      </c>
      <c r="M53" s="69">
        <f t="shared" si="3"/>
        <v>34440</v>
      </c>
    </row>
    <row r="54" spans="1:13">
      <c r="A54" s="37">
        <v>9</v>
      </c>
      <c r="B54" s="38">
        <v>37038</v>
      </c>
      <c r="C54" s="39">
        <v>-1051350</v>
      </c>
      <c r="D54" s="39">
        <v>-2783017</v>
      </c>
      <c r="E54" s="48">
        <v>2</v>
      </c>
      <c r="F54" s="44">
        <v>600000</v>
      </c>
      <c r="G54" s="37">
        <v>77.7</v>
      </c>
      <c r="H54" s="67">
        <f t="shared" si="0"/>
        <v>466200</v>
      </c>
      <c r="I54" s="37">
        <v>0.4</v>
      </c>
      <c r="J54" s="68">
        <f t="shared" si="1"/>
        <v>2400</v>
      </c>
      <c r="K54" s="37">
        <v>0.1</v>
      </c>
      <c r="L54" s="70">
        <f t="shared" si="2"/>
        <v>600</v>
      </c>
      <c r="M54" s="69">
        <f t="shared" si="3"/>
        <v>3000</v>
      </c>
    </row>
    <row r="55" spans="1:13">
      <c r="A55" s="37">
        <v>9</v>
      </c>
      <c r="B55" s="38">
        <v>37038</v>
      </c>
      <c r="C55" s="39">
        <v>-1051350</v>
      </c>
      <c r="D55" s="39">
        <v>-2783017</v>
      </c>
      <c r="E55" s="48">
        <v>95</v>
      </c>
      <c r="F55" s="44">
        <v>630000</v>
      </c>
      <c r="G55" s="37">
        <v>67.8</v>
      </c>
      <c r="H55" s="67">
        <f t="shared" si="0"/>
        <v>427140</v>
      </c>
      <c r="I55" s="37">
        <v>0.1</v>
      </c>
      <c r="J55" s="68">
        <f t="shared" si="1"/>
        <v>630</v>
      </c>
      <c r="K55" s="37">
        <v>0</v>
      </c>
      <c r="L55" s="70">
        <f t="shared" si="2"/>
        <v>0</v>
      </c>
      <c r="M55" s="69">
        <f t="shared" si="3"/>
        <v>630</v>
      </c>
    </row>
    <row r="56" spans="1:13">
      <c r="A56" s="37">
        <v>9</v>
      </c>
      <c r="B56" s="38">
        <v>37038</v>
      </c>
      <c r="C56" s="39">
        <v>-1051350</v>
      </c>
      <c r="D56" s="39">
        <v>-2783017</v>
      </c>
      <c r="E56" s="48">
        <v>125</v>
      </c>
      <c r="F56" s="44">
        <v>410000</v>
      </c>
      <c r="G56" s="37">
        <v>51.6</v>
      </c>
      <c r="H56" s="67">
        <f t="shared" si="0"/>
        <v>211560</v>
      </c>
      <c r="I56" s="37">
        <v>2.9</v>
      </c>
      <c r="J56" s="68">
        <f t="shared" si="1"/>
        <v>11890</v>
      </c>
      <c r="K56" s="37">
        <v>0</v>
      </c>
      <c r="L56" s="70">
        <f t="shared" si="2"/>
        <v>0</v>
      </c>
      <c r="M56" s="69">
        <f t="shared" si="3"/>
        <v>11890</v>
      </c>
    </row>
    <row r="57" spans="1:13">
      <c r="A57" s="37">
        <v>9</v>
      </c>
      <c r="B57" s="38">
        <v>37038</v>
      </c>
      <c r="C57" s="39">
        <v>-1051350</v>
      </c>
      <c r="D57" s="39">
        <v>-2783017</v>
      </c>
      <c r="E57" s="48">
        <v>150</v>
      </c>
      <c r="F57" s="44">
        <v>410000</v>
      </c>
      <c r="G57" s="37">
        <v>49.1</v>
      </c>
      <c r="H57" s="67">
        <f t="shared" si="0"/>
        <v>201310</v>
      </c>
      <c r="I57" s="37">
        <v>6.1</v>
      </c>
      <c r="J57" s="68">
        <f t="shared" si="1"/>
        <v>25010</v>
      </c>
      <c r="K57" s="37">
        <v>0</v>
      </c>
      <c r="L57" s="70">
        <f t="shared" si="2"/>
        <v>0</v>
      </c>
      <c r="M57" s="69">
        <f t="shared" si="3"/>
        <v>25010</v>
      </c>
    </row>
    <row r="58" spans="1:13">
      <c r="A58" s="37">
        <v>9</v>
      </c>
      <c r="B58" s="38">
        <v>37038</v>
      </c>
      <c r="C58" s="39">
        <v>-1051350</v>
      </c>
      <c r="D58" s="39">
        <v>-2783017</v>
      </c>
      <c r="E58" s="48">
        <v>225</v>
      </c>
      <c r="F58" s="44">
        <v>230000</v>
      </c>
      <c r="G58" s="37">
        <v>42.3</v>
      </c>
      <c r="H58" s="67">
        <f t="shared" si="0"/>
        <v>97290</v>
      </c>
      <c r="I58" s="37">
        <v>20.6</v>
      </c>
      <c r="J58" s="68">
        <f t="shared" si="1"/>
        <v>47380</v>
      </c>
      <c r="K58" s="37">
        <v>0</v>
      </c>
      <c r="L58" s="70">
        <f t="shared" si="2"/>
        <v>0</v>
      </c>
      <c r="M58" s="69">
        <f t="shared" si="3"/>
        <v>47380</v>
      </c>
    </row>
    <row r="59" spans="1:13">
      <c r="A59" s="37">
        <v>9</v>
      </c>
      <c r="B59" s="38">
        <v>37038</v>
      </c>
      <c r="C59" s="39">
        <v>-1051350</v>
      </c>
      <c r="D59" s="39">
        <v>-2783017</v>
      </c>
      <c r="E59" s="48">
        <v>300</v>
      </c>
      <c r="F59" s="44">
        <v>200000</v>
      </c>
      <c r="G59" s="37">
        <v>52</v>
      </c>
      <c r="H59" s="67">
        <f t="shared" si="0"/>
        <v>104000</v>
      </c>
      <c r="I59" s="37">
        <v>12.4</v>
      </c>
      <c r="J59" s="68">
        <f t="shared" si="1"/>
        <v>24800</v>
      </c>
      <c r="K59" s="37">
        <v>0.1</v>
      </c>
      <c r="L59" s="70">
        <f t="shared" si="2"/>
        <v>200</v>
      </c>
      <c r="M59" s="69">
        <f t="shared" si="3"/>
        <v>25000</v>
      </c>
    </row>
    <row r="60" spans="1:13">
      <c r="A60" s="37">
        <v>11</v>
      </c>
      <c r="B60" s="38">
        <v>37039</v>
      </c>
      <c r="C60" s="39">
        <v>-1344283</v>
      </c>
      <c r="D60" s="39">
        <v>-2723000</v>
      </c>
      <c r="E60" s="48">
        <v>2</v>
      </c>
      <c r="F60" s="44">
        <v>660000</v>
      </c>
      <c r="G60" s="37">
        <v>73</v>
      </c>
      <c r="H60" s="67">
        <f t="shared" si="0"/>
        <v>481800</v>
      </c>
      <c r="I60" s="37">
        <v>0.7</v>
      </c>
      <c r="J60" s="68">
        <f t="shared" si="1"/>
        <v>4619.9999999999991</v>
      </c>
      <c r="K60" s="37">
        <v>0.3</v>
      </c>
      <c r="L60" s="70">
        <f t="shared" si="2"/>
        <v>1980</v>
      </c>
      <c r="M60" s="69">
        <f t="shared" si="3"/>
        <v>6599.9999999999991</v>
      </c>
    </row>
    <row r="61" spans="1:13">
      <c r="A61" s="37">
        <v>11</v>
      </c>
      <c r="B61" s="38">
        <v>37039</v>
      </c>
      <c r="C61" s="39">
        <v>-1344283</v>
      </c>
      <c r="D61" s="39">
        <v>-2723000</v>
      </c>
      <c r="E61" s="48">
        <v>120</v>
      </c>
      <c r="F61" s="44">
        <v>440000</v>
      </c>
      <c r="G61" s="37">
        <v>65.7</v>
      </c>
      <c r="H61" s="67">
        <f t="shared" si="0"/>
        <v>289080</v>
      </c>
      <c r="I61" s="37">
        <v>1.7</v>
      </c>
      <c r="J61" s="68">
        <f t="shared" si="1"/>
        <v>7480</v>
      </c>
      <c r="K61" s="37">
        <v>0.3</v>
      </c>
      <c r="L61" s="70">
        <f t="shared" si="2"/>
        <v>1320</v>
      </c>
      <c r="M61" s="69">
        <f t="shared" si="3"/>
        <v>8800</v>
      </c>
    </row>
    <row r="62" spans="1:13">
      <c r="A62" s="37">
        <v>11</v>
      </c>
      <c r="B62" s="38">
        <v>37039</v>
      </c>
      <c r="C62" s="39">
        <v>-1344283</v>
      </c>
      <c r="D62" s="39">
        <v>-2723000</v>
      </c>
      <c r="E62" s="48">
        <v>130</v>
      </c>
      <c r="F62" s="44">
        <v>440000</v>
      </c>
      <c r="G62" s="37">
        <v>56.1</v>
      </c>
      <c r="H62" s="67">
        <f t="shared" si="0"/>
        <v>246840</v>
      </c>
      <c r="I62" s="37">
        <v>1.1000000000000001</v>
      </c>
      <c r="J62" s="68">
        <f t="shared" si="1"/>
        <v>4840.0000000000009</v>
      </c>
      <c r="K62" s="37">
        <v>0.1</v>
      </c>
      <c r="L62" s="70">
        <f t="shared" si="2"/>
        <v>440</v>
      </c>
      <c r="M62" s="69">
        <f t="shared" si="3"/>
        <v>5280.0000000000009</v>
      </c>
    </row>
    <row r="63" spans="1:13">
      <c r="A63" s="37">
        <v>11</v>
      </c>
      <c r="B63" s="38">
        <v>37039</v>
      </c>
      <c r="C63" s="39">
        <v>-1344283</v>
      </c>
      <c r="D63" s="39">
        <v>-2723000</v>
      </c>
      <c r="E63" s="48">
        <v>140</v>
      </c>
      <c r="F63" s="44">
        <v>390000</v>
      </c>
      <c r="G63" s="37">
        <v>49.6</v>
      </c>
      <c r="H63" s="67">
        <f t="shared" si="0"/>
        <v>193440</v>
      </c>
      <c r="I63" s="37">
        <v>2.7</v>
      </c>
      <c r="J63" s="68">
        <f t="shared" si="1"/>
        <v>10530</v>
      </c>
      <c r="K63" s="37">
        <v>0</v>
      </c>
      <c r="L63" s="70">
        <f t="shared" si="2"/>
        <v>0</v>
      </c>
      <c r="M63" s="69">
        <f t="shared" si="3"/>
        <v>10530</v>
      </c>
    </row>
    <row r="64" spans="1:13">
      <c r="A64" s="37">
        <v>11</v>
      </c>
      <c r="B64" s="38">
        <v>37039</v>
      </c>
      <c r="C64" s="39">
        <v>-1344283</v>
      </c>
      <c r="D64" s="39">
        <v>-2723000</v>
      </c>
      <c r="E64" s="48">
        <v>220</v>
      </c>
      <c r="F64" s="44">
        <v>220000</v>
      </c>
      <c r="G64" s="37">
        <v>49.9</v>
      </c>
      <c r="H64" s="67">
        <f t="shared" si="0"/>
        <v>109780</v>
      </c>
      <c r="I64" s="37">
        <v>11.5</v>
      </c>
      <c r="J64" s="68">
        <f t="shared" si="1"/>
        <v>25300</v>
      </c>
      <c r="K64" s="37">
        <v>0</v>
      </c>
      <c r="L64" s="70">
        <f t="shared" si="2"/>
        <v>0</v>
      </c>
      <c r="M64" s="69">
        <f t="shared" si="3"/>
        <v>25300</v>
      </c>
    </row>
    <row r="65" spans="1:13">
      <c r="A65" s="37">
        <v>12</v>
      </c>
      <c r="B65" s="38">
        <v>37039</v>
      </c>
      <c r="C65" s="39">
        <v>-1382867</v>
      </c>
      <c r="D65" s="39">
        <v>-2716650</v>
      </c>
      <c r="E65" s="48">
        <v>2</v>
      </c>
      <c r="F65" s="44">
        <v>750000</v>
      </c>
      <c r="G65" s="37">
        <v>71.599999999999994</v>
      </c>
      <c r="H65" s="67">
        <f t="shared" si="0"/>
        <v>536999.99999999988</v>
      </c>
      <c r="I65" s="37">
        <v>0.2</v>
      </c>
      <c r="J65" s="68">
        <f t="shared" si="1"/>
        <v>1500</v>
      </c>
      <c r="K65" s="37">
        <v>0.2</v>
      </c>
      <c r="L65" s="70">
        <f t="shared" si="2"/>
        <v>1500</v>
      </c>
      <c r="M65" s="69">
        <f t="shared" si="3"/>
        <v>3000</v>
      </c>
    </row>
    <row r="66" spans="1:13">
      <c r="A66" s="37">
        <v>12</v>
      </c>
      <c r="B66" s="38">
        <v>37039</v>
      </c>
      <c r="C66" s="39">
        <v>-1382867</v>
      </c>
      <c r="D66" s="39">
        <v>-2716650</v>
      </c>
      <c r="E66" s="48">
        <v>110</v>
      </c>
      <c r="F66" s="44">
        <v>700000</v>
      </c>
      <c r="G66" s="37">
        <v>67.099999999999994</v>
      </c>
      <c r="H66" s="67">
        <f t="shared" si="0"/>
        <v>469699.99999999994</v>
      </c>
      <c r="I66" s="37">
        <v>1.5</v>
      </c>
      <c r="J66" s="68">
        <f t="shared" si="1"/>
        <v>10500</v>
      </c>
      <c r="K66" s="37">
        <v>0.2</v>
      </c>
      <c r="L66" s="70">
        <f t="shared" si="2"/>
        <v>1400</v>
      </c>
      <c r="M66" s="69">
        <f t="shared" si="3"/>
        <v>11900</v>
      </c>
    </row>
    <row r="67" spans="1:13">
      <c r="A67" s="37">
        <v>12</v>
      </c>
      <c r="B67" s="38">
        <v>37039</v>
      </c>
      <c r="C67" s="39">
        <v>-1382867</v>
      </c>
      <c r="D67" s="39">
        <v>-2716650</v>
      </c>
      <c r="E67" s="48">
        <v>125</v>
      </c>
      <c r="F67" s="44">
        <v>620000</v>
      </c>
      <c r="G67" s="37">
        <v>60.2</v>
      </c>
      <c r="H67" s="67">
        <f t="shared" si="0"/>
        <v>373240</v>
      </c>
      <c r="I67" s="37">
        <v>0.4</v>
      </c>
      <c r="J67" s="68">
        <f t="shared" si="1"/>
        <v>2480</v>
      </c>
      <c r="K67" s="37">
        <v>0.1</v>
      </c>
      <c r="L67" s="70">
        <f t="shared" si="2"/>
        <v>620</v>
      </c>
      <c r="M67" s="69">
        <f t="shared" si="3"/>
        <v>3100</v>
      </c>
    </row>
    <row r="68" spans="1:13">
      <c r="A68" s="37">
        <v>12</v>
      </c>
      <c r="B68" s="38">
        <v>37039</v>
      </c>
      <c r="C68" s="39">
        <v>-1382867</v>
      </c>
      <c r="D68" s="39">
        <v>-2716650</v>
      </c>
      <c r="E68" s="48">
        <v>150</v>
      </c>
      <c r="F68" s="44">
        <v>370000</v>
      </c>
      <c r="G68" s="37">
        <v>49.3</v>
      </c>
      <c r="H68" s="67">
        <f t="shared" si="0"/>
        <v>182410</v>
      </c>
      <c r="I68" s="37">
        <v>15</v>
      </c>
      <c r="J68" s="68">
        <f t="shared" si="1"/>
        <v>55500</v>
      </c>
      <c r="K68" s="37">
        <v>0.3</v>
      </c>
      <c r="L68" s="70">
        <f t="shared" si="2"/>
        <v>1110</v>
      </c>
      <c r="M68" s="69">
        <f t="shared" si="3"/>
        <v>56610</v>
      </c>
    </row>
    <row r="69" spans="1:13">
      <c r="A69" s="37">
        <v>12</v>
      </c>
      <c r="B69" s="38">
        <v>37039</v>
      </c>
      <c r="C69" s="39">
        <v>-1382867</v>
      </c>
      <c r="D69" s="39">
        <v>-2716650</v>
      </c>
      <c r="E69" s="48">
        <v>225</v>
      </c>
      <c r="F69" s="44">
        <v>260000</v>
      </c>
      <c r="G69" s="37">
        <v>50.5</v>
      </c>
      <c r="H69" s="67">
        <f t="shared" si="0"/>
        <v>131300</v>
      </c>
      <c r="I69" s="37">
        <v>12.3</v>
      </c>
      <c r="J69" s="68">
        <f t="shared" si="1"/>
        <v>31980</v>
      </c>
      <c r="K69" s="37">
        <v>0</v>
      </c>
      <c r="L69" s="70">
        <f t="shared" si="2"/>
        <v>0</v>
      </c>
      <c r="M69" s="69">
        <f t="shared" si="3"/>
        <v>31980</v>
      </c>
    </row>
    <row r="70" spans="1:13">
      <c r="A70" s="37">
        <v>12</v>
      </c>
      <c r="B70" s="38">
        <v>37039</v>
      </c>
      <c r="C70" s="39">
        <v>-1382867</v>
      </c>
      <c r="D70" s="39">
        <v>-2716650</v>
      </c>
      <c r="E70" s="48">
        <v>300</v>
      </c>
      <c r="F70" s="44">
        <v>160000</v>
      </c>
      <c r="G70" s="37">
        <v>44.7</v>
      </c>
      <c r="H70" s="67">
        <f t="shared" si="0"/>
        <v>71520</v>
      </c>
      <c r="I70" s="37">
        <v>10.8</v>
      </c>
      <c r="J70" s="68">
        <f t="shared" si="1"/>
        <v>17280</v>
      </c>
      <c r="K70" s="37">
        <v>0</v>
      </c>
      <c r="L70" s="70">
        <f t="shared" si="2"/>
        <v>0</v>
      </c>
      <c r="M70" s="69">
        <f t="shared" si="3"/>
        <v>17280</v>
      </c>
    </row>
    <row r="71" spans="1:13">
      <c r="A71" s="37">
        <v>13</v>
      </c>
      <c r="B71" s="38">
        <v>37040</v>
      </c>
      <c r="C71" s="39">
        <v>-1722800</v>
      </c>
      <c r="D71" s="39">
        <v>-2652650</v>
      </c>
      <c r="E71" s="48">
        <v>15</v>
      </c>
      <c r="F71" s="44">
        <v>760000</v>
      </c>
      <c r="G71" s="37">
        <v>78.400000000000006</v>
      </c>
      <c r="H71" s="67">
        <f t="shared" ref="H71:H134" si="4">(G71*F71)/100</f>
        <v>595840.00000000012</v>
      </c>
      <c r="I71" s="37">
        <v>0.1</v>
      </c>
      <c r="J71" s="68">
        <f t="shared" ref="J71:J134" si="5">(I71*F71)/100</f>
        <v>760</v>
      </c>
      <c r="K71" s="37">
        <v>0.2</v>
      </c>
      <c r="L71" s="70">
        <f t="shared" ref="L71:L134" si="6">(K71*F71)/100</f>
        <v>1520</v>
      </c>
      <c r="M71" s="69">
        <f t="shared" ref="M71:M134" si="7">J71+L71</f>
        <v>2280</v>
      </c>
    </row>
    <row r="72" spans="1:13">
      <c r="A72" s="37">
        <v>13</v>
      </c>
      <c r="B72" s="38">
        <v>37040</v>
      </c>
      <c r="C72" s="39">
        <v>-1722800</v>
      </c>
      <c r="D72" s="39">
        <v>-2652650</v>
      </c>
      <c r="E72" s="48">
        <v>95</v>
      </c>
      <c r="F72" s="44">
        <v>670000</v>
      </c>
      <c r="G72" s="37">
        <v>62.9</v>
      </c>
      <c r="H72" s="67">
        <f t="shared" si="4"/>
        <v>421430</v>
      </c>
      <c r="I72" s="37">
        <v>0.3</v>
      </c>
      <c r="J72" s="68">
        <f t="shared" si="5"/>
        <v>2010</v>
      </c>
      <c r="K72" s="37">
        <v>0.1</v>
      </c>
      <c r="L72" s="70">
        <f t="shared" si="6"/>
        <v>670</v>
      </c>
      <c r="M72" s="69">
        <f t="shared" si="7"/>
        <v>2680</v>
      </c>
    </row>
    <row r="73" spans="1:13">
      <c r="A73" s="37">
        <v>13</v>
      </c>
      <c r="B73" s="38">
        <v>37040</v>
      </c>
      <c r="C73" s="39">
        <v>-1722800</v>
      </c>
      <c r="D73" s="39">
        <v>-2652650</v>
      </c>
      <c r="E73" s="48">
        <v>115</v>
      </c>
      <c r="F73" s="44">
        <v>440000</v>
      </c>
      <c r="G73" s="37">
        <v>53.8</v>
      </c>
      <c r="H73" s="67">
        <f t="shared" si="4"/>
        <v>236720</v>
      </c>
      <c r="I73" s="37">
        <v>0.3</v>
      </c>
      <c r="J73" s="68">
        <f t="shared" si="5"/>
        <v>1320</v>
      </c>
      <c r="K73" s="37">
        <v>0</v>
      </c>
      <c r="L73" s="70">
        <f t="shared" si="6"/>
        <v>0</v>
      </c>
      <c r="M73" s="69">
        <f t="shared" si="7"/>
        <v>1320</v>
      </c>
    </row>
    <row r="74" spans="1:13">
      <c r="A74" s="37">
        <v>13</v>
      </c>
      <c r="B74" s="38">
        <v>37040</v>
      </c>
      <c r="C74" s="39">
        <v>-1722800</v>
      </c>
      <c r="D74" s="39">
        <v>-2652650</v>
      </c>
      <c r="E74" s="48">
        <v>135</v>
      </c>
      <c r="F74" s="44">
        <v>330000</v>
      </c>
      <c r="G74" s="37">
        <v>57.4</v>
      </c>
      <c r="H74" s="67">
        <f t="shared" si="4"/>
        <v>189420</v>
      </c>
      <c r="I74" s="37">
        <v>1.9</v>
      </c>
      <c r="J74" s="68">
        <f t="shared" si="5"/>
        <v>6270</v>
      </c>
      <c r="K74" s="37">
        <v>0.2</v>
      </c>
      <c r="L74" s="70">
        <f t="shared" si="6"/>
        <v>660</v>
      </c>
      <c r="M74" s="69">
        <f t="shared" si="7"/>
        <v>6930</v>
      </c>
    </row>
    <row r="75" spans="1:13">
      <c r="A75" s="37">
        <v>13</v>
      </c>
      <c r="B75" s="38">
        <v>37040</v>
      </c>
      <c r="C75" s="39">
        <v>-1722800</v>
      </c>
      <c r="D75" s="39">
        <v>-2652650</v>
      </c>
      <c r="E75" s="48">
        <v>200</v>
      </c>
      <c r="F75" s="44">
        <v>490000</v>
      </c>
      <c r="G75" s="37">
        <v>65.5</v>
      </c>
      <c r="H75" s="67">
        <f t="shared" si="4"/>
        <v>320950</v>
      </c>
      <c r="I75" s="37">
        <v>6</v>
      </c>
      <c r="J75" s="68">
        <f t="shared" si="5"/>
        <v>29400</v>
      </c>
      <c r="K75" s="37">
        <v>0.1</v>
      </c>
      <c r="L75" s="70">
        <f t="shared" si="6"/>
        <v>490</v>
      </c>
      <c r="M75" s="69">
        <f t="shared" si="7"/>
        <v>29890</v>
      </c>
    </row>
    <row r="76" spans="1:13">
      <c r="A76" s="37">
        <v>13</v>
      </c>
      <c r="B76" s="38">
        <v>37040</v>
      </c>
      <c r="C76" s="39">
        <v>-1722800</v>
      </c>
      <c r="D76" s="39">
        <v>-2652650</v>
      </c>
      <c r="E76" s="48">
        <v>300</v>
      </c>
      <c r="F76" s="44">
        <v>150000</v>
      </c>
      <c r="G76" s="37">
        <v>32.6</v>
      </c>
      <c r="H76" s="67">
        <f t="shared" si="4"/>
        <v>48900</v>
      </c>
      <c r="I76" s="37">
        <v>17.600000000000001</v>
      </c>
      <c r="J76" s="68">
        <f t="shared" si="5"/>
        <v>26400</v>
      </c>
      <c r="K76" s="37">
        <v>0.2</v>
      </c>
      <c r="L76" s="70">
        <f t="shared" si="6"/>
        <v>300</v>
      </c>
      <c r="M76" s="69">
        <f t="shared" si="7"/>
        <v>26700</v>
      </c>
    </row>
    <row r="77" spans="1:13">
      <c r="A77" s="37">
        <v>13</v>
      </c>
      <c r="B77" s="38">
        <v>37040</v>
      </c>
      <c r="C77" s="39">
        <v>-1722800</v>
      </c>
      <c r="D77" s="39">
        <v>-2652650</v>
      </c>
      <c r="E77" s="48">
        <v>600</v>
      </c>
      <c r="F77" s="44">
        <v>95000</v>
      </c>
      <c r="G77" s="37">
        <v>44.3</v>
      </c>
      <c r="H77" s="67">
        <f t="shared" si="4"/>
        <v>42085</v>
      </c>
      <c r="I77" s="37">
        <v>18.8</v>
      </c>
      <c r="J77" s="68">
        <f t="shared" si="5"/>
        <v>17860</v>
      </c>
      <c r="K77" s="37">
        <v>0</v>
      </c>
      <c r="L77" s="70">
        <f t="shared" si="6"/>
        <v>0</v>
      </c>
      <c r="M77" s="69">
        <f t="shared" si="7"/>
        <v>17860</v>
      </c>
    </row>
    <row r="78" spans="1:13">
      <c r="A78" s="37">
        <v>13</v>
      </c>
      <c r="B78" s="38">
        <v>37040</v>
      </c>
      <c r="C78" s="39">
        <v>-1722800</v>
      </c>
      <c r="D78" s="39">
        <v>-2652650</v>
      </c>
      <c r="E78" s="48">
        <v>1000</v>
      </c>
      <c r="F78" s="44">
        <v>91000</v>
      </c>
      <c r="G78" s="37">
        <v>70.8</v>
      </c>
      <c r="H78" s="67">
        <f t="shared" si="4"/>
        <v>64428</v>
      </c>
      <c r="I78" s="37">
        <v>8.6</v>
      </c>
      <c r="J78" s="68">
        <f t="shared" si="5"/>
        <v>7826</v>
      </c>
      <c r="K78" s="37">
        <v>0</v>
      </c>
      <c r="L78" s="70">
        <f t="shared" si="6"/>
        <v>0</v>
      </c>
      <c r="M78" s="69">
        <f t="shared" si="7"/>
        <v>7826</v>
      </c>
    </row>
    <row r="79" spans="1:13">
      <c r="A79" s="37">
        <v>14</v>
      </c>
      <c r="B79" s="38">
        <v>37040</v>
      </c>
      <c r="C79" s="39">
        <v>-1846167</v>
      </c>
      <c r="D79" s="39">
        <v>-2628367</v>
      </c>
      <c r="E79" s="48">
        <v>17</v>
      </c>
      <c r="F79" s="44">
        <v>660000</v>
      </c>
      <c r="G79" s="37">
        <v>78.400000000000006</v>
      </c>
      <c r="H79" s="67">
        <f t="shared" si="4"/>
        <v>517440.00000000006</v>
      </c>
      <c r="I79" s="37">
        <v>0.4</v>
      </c>
      <c r="J79" s="68">
        <f t="shared" si="5"/>
        <v>2640</v>
      </c>
      <c r="K79" s="37">
        <v>0.1</v>
      </c>
      <c r="L79" s="70">
        <f t="shared" si="6"/>
        <v>660</v>
      </c>
      <c r="M79" s="69">
        <f t="shared" si="7"/>
        <v>3300</v>
      </c>
    </row>
    <row r="80" spans="1:13">
      <c r="A80" s="37">
        <v>14</v>
      </c>
      <c r="B80" s="38">
        <v>37040</v>
      </c>
      <c r="C80" s="39">
        <v>-1846167</v>
      </c>
      <c r="D80" s="39">
        <v>-2628367</v>
      </c>
      <c r="E80" s="48">
        <v>110</v>
      </c>
      <c r="F80" s="44">
        <v>580000</v>
      </c>
      <c r="G80" s="37">
        <v>66.900000000000006</v>
      </c>
      <c r="H80" s="67">
        <f t="shared" si="4"/>
        <v>388020</v>
      </c>
      <c r="I80" s="37">
        <v>1</v>
      </c>
      <c r="J80" s="68">
        <f t="shared" si="5"/>
        <v>5800</v>
      </c>
      <c r="K80" s="37">
        <v>0.1</v>
      </c>
      <c r="L80" s="70">
        <f t="shared" si="6"/>
        <v>580</v>
      </c>
      <c r="M80" s="69">
        <f t="shared" si="7"/>
        <v>6380</v>
      </c>
    </row>
    <row r="81" spans="1:13">
      <c r="A81" s="37">
        <v>14</v>
      </c>
      <c r="B81" s="38">
        <v>37040</v>
      </c>
      <c r="C81" s="39">
        <v>-1846167</v>
      </c>
      <c r="D81" s="39">
        <v>-2628367</v>
      </c>
      <c r="E81" s="48">
        <v>130</v>
      </c>
      <c r="F81" s="44">
        <v>450000</v>
      </c>
      <c r="G81" s="37">
        <v>58.8</v>
      </c>
      <c r="H81" s="67">
        <f t="shared" si="4"/>
        <v>264600</v>
      </c>
      <c r="I81" s="37">
        <v>0.2</v>
      </c>
      <c r="J81" s="68">
        <f t="shared" si="5"/>
        <v>900</v>
      </c>
      <c r="K81" s="37">
        <v>0.1</v>
      </c>
      <c r="L81" s="70">
        <f t="shared" si="6"/>
        <v>450</v>
      </c>
      <c r="M81" s="69">
        <f t="shared" si="7"/>
        <v>1350</v>
      </c>
    </row>
    <row r="82" spans="1:13">
      <c r="A82" s="37">
        <v>14</v>
      </c>
      <c r="B82" s="38">
        <v>37040</v>
      </c>
      <c r="C82" s="39">
        <v>-1846167</v>
      </c>
      <c r="D82" s="39">
        <v>-2628367</v>
      </c>
      <c r="E82" s="48">
        <v>150</v>
      </c>
      <c r="F82" s="44">
        <v>430000</v>
      </c>
      <c r="G82" s="37">
        <v>50.9</v>
      </c>
      <c r="H82" s="67">
        <f t="shared" si="4"/>
        <v>218870</v>
      </c>
      <c r="I82" s="37">
        <v>1.4</v>
      </c>
      <c r="J82" s="68">
        <f t="shared" si="5"/>
        <v>6020</v>
      </c>
      <c r="K82" s="37">
        <v>0</v>
      </c>
      <c r="L82" s="70">
        <f t="shared" si="6"/>
        <v>0</v>
      </c>
      <c r="M82" s="69">
        <f t="shared" si="7"/>
        <v>6020</v>
      </c>
    </row>
    <row r="83" spans="1:13">
      <c r="A83" s="37">
        <v>14</v>
      </c>
      <c r="B83" s="38">
        <v>37040</v>
      </c>
      <c r="C83" s="39">
        <v>-1846167</v>
      </c>
      <c r="D83" s="39">
        <v>-2628367</v>
      </c>
      <c r="E83" s="48">
        <v>225</v>
      </c>
      <c r="F83" s="44">
        <v>200000</v>
      </c>
      <c r="G83" s="37">
        <v>46.5</v>
      </c>
      <c r="H83" s="67">
        <f t="shared" si="4"/>
        <v>93000</v>
      </c>
      <c r="I83" s="37">
        <v>12.3</v>
      </c>
      <c r="J83" s="68">
        <f t="shared" si="5"/>
        <v>24600</v>
      </c>
      <c r="K83" s="37">
        <v>0</v>
      </c>
      <c r="L83" s="70">
        <f t="shared" si="6"/>
        <v>0</v>
      </c>
      <c r="M83" s="69">
        <f t="shared" si="7"/>
        <v>24600</v>
      </c>
    </row>
    <row r="84" spans="1:13">
      <c r="A84" s="37">
        <v>14</v>
      </c>
      <c r="B84" s="38">
        <v>37040</v>
      </c>
      <c r="C84" s="39">
        <v>-1846167</v>
      </c>
      <c r="D84" s="39">
        <v>-2628367</v>
      </c>
      <c r="E84" s="48">
        <v>300</v>
      </c>
      <c r="F84" s="44">
        <v>170000</v>
      </c>
      <c r="G84" s="37">
        <v>50.2</v>
      </c>
      <c r="H84" s="67">
        <f t="shared" si="4"/>
        <v>85340</v>
      </c>
      <c r="I84" s="37">
        <v>16.600000000000001</v>
      </c>
      <c r="J84" s="68">
        <f t="shared" si="5"/>
        <v>28220.000000000004</v>
      </c>
      <c r="K84" s="37">
        <v>0</v>
      </c>
      <c r="L84" s="70">
        <f t="shared" si="6"/>
        <v>0</v>
      </c>
      <c r="M84" s="69">
        <f t="shared" si="7"/>
        <v>28220.000000000004</v>
      </c>
    </row>
    <row r="85" spans="1:13">
      <c r="A85" s="37">
        <v>15</v>
      </c>
      <c r="B85" s="38">
        <v>37041</v>
      </c>
      <c r="C85" s="39">
        <v>-2193283</v>
      </c>
      <c r="D85" s="39">
        <v>-2560433</v>
      </c>
      <c r="E85" s="48">
        <v>14</v>
      </c>
      <c r="F85" s="44">
        <v>790000</v>
      </c>
      <c r="G85" s="37">
        <v>76.099999999999994</v>
      </c>
      <c r="H85" s="67">
        <f t="shared" si="4"/>
        <v>601189.99999999988</v>
      </c>
      <c r="I85" s="37">
        <v>0.6</v>
      </c>
      <c r="J85" s="68">
        <f t="shared" si="5"/>
        <v>4740</v>
      </c>
      <c r="K85" s="37">
        <v>0.2</v>
      </c>
      <c r="L85" s="70">
        <f t="shared" si="6"/>
        <v>1580</v>
      </c>
      <c r="M85" s="69">
        <f t="shared" si="7"/>
        <v>6320</v>
      </c>
    </row>
    <row r="86" spans="1:13">
      <c r="A86" s="37">
        <v>15</v>
      </c>
      <c r="B86" s="38">
        <v>37041</v>
      </c>
      <c r="C86" s="39">
        <v>-2193283</v>
      </c>
      <c r="D86" s="39">
        <v>-2560433</v>
      </c>
      <c r="E86" s="48">
        <v>85</v>
      </c>
      <c r="F86" s="44">
        <v>670000</v>
      </c>
      <c r="G86" s="37">
        <v>71.900000000000006</v>
      </c>
      <c r="H86" s="67">
        <f t="shared" si="4"/>
        <v>481730.00000000006</v>
      </c>
      <c r="I86" s="37">
        <v>0.1</v>
      </c>
      <c r="J86" s="68">
        <f t="shared" si="5"/>
        <v>670</v>
      </c>
      <c r="K86" s="37">
        <v>1.2</v>
      </c>
      <c r="L86" s="70">
        <f t="shared" si="6"/>
        <v>8040</v>
      </c>
      <c r="M86" s="69">
        <f t="shared" si="7"/>
        <v>8710</v>
      </c>
    </row>
    <row r="87" spans="1:13">
      <c r="A87" s="37">
        <v>15</v>
      </c>
      <c r="B87" s="38">
        <v>37041</v>
      </c>
      <c r="C87" s="39">
        <v>-2193283</v>
      </c>
      <c r="D87" s="39">
        <v>-2560433</v>
      </c>
      <c r="E87" s="48">
        <v>105</v>
      </c>
      <c r="F87" s="44">
        <v>460000</v>
      </c>
      <c r="G87" s="37">
        <v>54.8</v>
      </c>
      <c r="H87" s="67">
        <f t="shared" si="4"/>
        <v>252080</v>
      </c>
      <c r="I87" s="37">
        <v>0</v>
      </c>
      <c r="J87" s="68">
        <f t="shared" si="5"/>
        <v>0</v>
      </c>
      <c r="K87" s="37">
        <v>0.9</v>
      </c>
      <c r="L87" s="70">
        <f t="shared" si="6"/>
        <v>4140</v>
      </c>
      <c r="M87" s="69">
        <f t="shared" si="7"/>
        <v>4140</v>
      </c>
    </row>
    <row r="88" spans="1:13">
      <c r="A88" s="37">
        <v>15</v>
      </c>
      <c r="B88" s="38">
        <v>37041</v>
      </c>
      <c r="C88" s="39">
        <v>-2193283</v>
      </c>
      <c r="D88" s="39">
        <v>-2560433</v>
      </c>
      <c r="E88" s="48">
        <v>125</v>
      </c>
      <c r="F88" s="44">
        <v>370000</v>
      </c>
      <c r="G88" s="37">
        <v>60</v>
      </c>
      <c r="H88" s="67">
        <f t="shared" si="4"/>
        <v>222000</v>
      </c>
      <c r="I88" s="37">
        <v>1.3</v>
      </c>
      <c r="J88" s="68">
        <f t="shared" si="5"/>
        <v>4810</v>
      </c>
      <c r="K88" s="37">
        <v>0.2</v>
      </c>
      <c r="L88" s="70">
        <f t="shared" si="6"/>
        <v>740</v>
      </c>
      <c r="M88" s="69">
        <f t="shared" si="7"/>
        <v>5550</v>
      </c>
    </row>
    <row r="89" spans="1:13">
      <c r="A89" s="37">
        <v>15</v>
      </c>
      <c r="B89" s="38">
        <v>37041</v>
      </c>
      <c r="C89" s="39">
        <v>-2193283</v>
      </c>
      <c r="D89" s="39">
        <v>-2560433</v>
      </c>
      <c r="E89" s="48">
        <v>220</v>
      </c>
      <c r="F89" s="44">
        <v>220000</v>
      </c>
      <c r="G89" s="37">
        <v>42.2</v>
      </c>
      <c r="H89" s="67">
        <f t="shared" si="4"/>
        <v>92840</v>
      </c>
      <c r="I89" s="37">
        <v>13.2</v>
      </c>
      <c r="J89" s="68">
        <f t="shared" si="5"/>
        <v>29040</v>
      </c>
      <c r="K89" s="37">
        <v>0.4</v>
      </c>
      <c r="L89" s="70">
        <f t="shared" si="6"/>
        <v>880</v>
      </c>
      <c r="M89" s="69">
        <f t="shared" si="7"/>
        <v>29920</v>
      </c>
    </row>
    <row r="90" spans="1:13">
      <c r="A90" s="37">
        <v>15</v>
      </c>
      <c r="B90" s="38">
        <v>37041</v>
      </c>
      <c r="C90" s="39">
        <v>-2193283</v>
      </c>
      <c r="D90" s="39">
        <v>-2560433</v>
      </c>
      <c r="E90" s="48">
        <v>300</v>
      </c>
      <c r="F90" s="44">
        <v>150000</v>
      </c>
      <c r="G90" s="37">
        <v>40.5</v>
      </c>
      <c r="H90" s="67">
        <f t="shared" si="4"/>
        <v>60750</v>
      </c>
      <c r="I90" s="37">
        <v>12.8</v>
      </c>
      <c r="J90" s="68">
        <f t="shared" si="5"/>
        <v>19200</v>
      </c>
      <c r="K90" s="37">
        <v>0</v>
      </c>
      <c r="L90" s="70">
        <f t="shared" si="6"/>
        <v>0</v>
      </c>
      <c r="M90" s="69">
        <f t="shared" si="7"/>
        <v>19200</v>
      </c>
    </row>
    <row r="91" spans="1:13">
      <c r="A91" s="37">
        <v>16</v>
      </c>
      <c r="B91" s="38">
        <v>37041</v>
      </c>
      <c r="C91" s="39">
        <v>-2307817</v>
      </c>
      <c r="D91" s="39">
        <v>-2538400</v>
      </c>
      <c r="E91" s="48">
        <v>16</v>
      </c>
      <c r="F91" s="44">
        <v>850000</v>
      </c>
      <c r="G91" s="37">
        <v>75.3</v>
      </c>
      <c r="H91" s="67">
        <f t="shared" si="4"/>
        <v>640050</v>
      </c>
      <c r="I91" s="37">
        <v>0.1</v>
      </c>
      <c r="J91" s="68">
        <f t="shared" si="5"/>
        <v>850</v>
      </c>
      <c r="K91" s="37">
        <v>0</v>
      </c>
      <c r="L91" s="70">
        <f t="shared" si="6"/>
        <v>0</v>
      </c>
      <c r="M91" s="69">
        <f t="shared" si="7"/>
        <v>850</v>
      </c>
    </row>
    <row r="92" spans="1:13">
      <c r="A92" s="37">
        <v>16</v>
      </c>
      <c r="B92" s="38">
        <v>37041</v>
      </c>
      <c r="C92" s="39">
        <v>-2307817</v>
      </c>
      <c r="D92" s="39">
        <v>-2538400</v>
      </c>
      <c r="E92" s="48">
        <v>100</v>
      </c>
      <c r="F92" s="44">
        <v>670000</v>
      </c>
      <c r="G92" s="37">
        <v>67.099999999999994</v>
      </c>
      <c r="H92" s="67">
        <f t="shared" si="4"/>
        <v>449569.99999999994</v>
      </c>
      <c r="I92" s="37">
        <v>0.3</v>
      </c>
      <c r="J92" s="68">
        <f t="shared" si="5"/>
        <v>2010</v>
      </c>
      <c r="K92" s="37">
        <v>0</v>
      </c>
      <c r="L92" s="70">
        <f t="shared" si="6"/>
        <v>0</v>
      </c>
      <c r="M92" s="69">
        <f t="shared" si="7"/>
        <v>2010</v>
      </c>
    </row>
    <row r="93" spans="1:13">
      <c r="A93" s="37">
        <v>16</v>
      </c>
      <c r="B93" s="38">
        <v>37041</v>
      </c>
      <c r="C93" s="39">
        <v>-2307817</v>
      </c>
      <c r="D93" s="39">
        <v>-2538400</v>
      </c>
      <c r="E93" s="48">
        <v>120</v>
      </c>
      <c r="F93" s="44">
        <v>310000</v>
      </c>
      <c r="G93" s="37">
        <v>57.4</v>
      </c>
      <c r="H93" s="67">
        <f t="shared" si="4"/>
        <v>177940</v>
      </c>
      <c r="I93" s="37">
        <v>0.2</v>
      </c>
      <c r="J93" s="68">
        <f t="shared" si="5"/>
        <v>620</v>
      </c>
      <c r="K93" s="37">
        <v>0</v>
      </c>
      <c r="L93" s="70">
        <f t="shared" si="6"/>
        <v>0</v>
      </c>
      <c r="M93" s="69">
        <f t="shared" si="7"/>
        <v>620</v>
      </c>
    </row>
    <row r="94" spans="1:13">
      <c r="A94" s="37">
        <v>16</v>
      </c>
      <c r="B94" s="38">
        <v>37041</v>
      </c>
      <c r="C94" s="39">
        <v>-2307817</v>
      </c>
      <c r="D94" s="39">
        <v>-2538400</v>
      </c>
      <c r="E94" s="48">
        <v>140</v>
      </c>
      <c r="F94" s="44">
        <v>350000</v>
      </c>
      <c r="G94" s="37">
        <v>47.7</v>
      </c>
      <c r="H94" s="67">
        <f t="shared" si="4"/>
        <v>166950.00000000003</v>
      </c>
      <c r="I94" s="37">
        <v>5.6</v>
      </c>
      <c r="J94" s="68">
        <f t="shared" si="5"/>
        <v>19599.999999999996</v>
      </c>
      <c r="K94" s="37">
        <v>0</v>
      </c>
      <c r="L94" s="70">
        <f t="shared" si="6"/>
        <v>0</v>
      </c>
      <c r="M94" s="69">
        <f t="shared" si="7"/>
        <v>19599.999999999996</v>
      </c>
    </row>
    <row r="95" spans="1:13">
      <c r="A95" s="37">
        <v>16</v>
      </c>
      <c r="B95" s="38">
        <v>37041</v>
      </c>
      <c r="C95" s="39">
        <v>-2307817</v>
      </c>
      <c r="D95" s="39">
        <v>-2538400</v>
      </c>
      <c r="E95" s="48">
        <v>200</v>
      </c>
      <c r="F95" s="44">
        <v>210000</v>
      </c>
      <c r="G95" s="37">
        <v>50.1</v>
      </c>
      <c r="H95" s="67">
        <f t="shared" si="4"/>
        <v>105210</v>
      </c>
      <c r="I95" s="37">
        <v>10.5</v>
      </c>
      <c r="J95" s="68">
        <f t="shared" si="5"/>
        <v>22050</v>
      </c>
      <c r="K95" s="37">
        <v>0</v>
      </c>
      <c r="L95" s="70">
        <f t="shared" si="6"/>
        <v>0</v>
      </c>
      <c r="M95" s="69">
        <f t="shared" si="7"/>
        <v>22050</v>
      </c>
    </row>
    <row r="96" spans="1:13">
      <c r="A96" s="37">
        <v>16</v>
      </c>
      <c r="B96" s="38">
        <v>37041</v>
      </c>
      <c r="C96" s="39">
        <v>-2307817</v>
      </c>
      <c r="D96" s="39">
        <v>-2538400</v>
      </c>
      <c r="E96" s="48">
        <v>300</v>
      </c>
      <c r="F96" s="44">
        <v>140000</v>
      </c>
      <c r="G96" s="37">
        <v>53.7</v>
      </c>
      <c r="H96" s="67">
        <f t="shared" si="4"/>
        <v>75180</v>
      </c>
      <c r="I96" s="37">
        <v>11.4</v>
      </c>
      <c r="J96" s="68">
        <f t="shared" si="5"/>
        <v>15960</v>
      </c>
      <c r="K96" s="37">
        <v>0</v>
      </c>
      <c r="L96" s="70">
        <f t="shared" si="6"/>
        <v>0</v>
      </c>
      <c r="M96" s="69">
        <f t="shared" si="7"/>
        <v>15960</v>
      </c>
    </row>
    <row r="97" spans="1:13">
      <c r="A97" s="37">
        <v>17</v>
      </c>
      <c r="B97" s="38">
        <v>37042</v>
      </c>
      <c r="C97" s="39">
        <v>-2500500</v>
      </c>
      <c r="D97" s="39">
        <v>-2288017</v>
      </c>
      <c r="E97" s="48">
        <v>17</v>
      </c>
      <c r="F97" s="44">
        <v>850000</v>
      </c>
      <c r="G97" s="37">
        <v>75</v>
      </c>
      <c r="H97" s="67">
        <f t="shared" si="4"/>
        <v>637500</v>
      </c>
      <c r="I97" s="37">
        <v>0.7</v>
      </c>
      <c r="J97" s="68">
        <f t="shared" si="5"/>
        <v>5950</v>
      </c>
      <c r="K97" s="37">
        <v>0.3</v>
      </c>
      <c r="L97" s="70">
        <f t="shared" si="6"/>
        <v>2550</v>
      </c>
      <c r="M97" s="69">
        <f t="shared" si="7"/>
        <v>8500</v>
      </c>
    </row>
    <row r="98" spans="1:13">
      <c r="A98" s="37">
        <v>17</v>
      </c>
      <c r="B98" s="38">
        <v>37042</v>
      </c>
      <c r="C98" s="39">
        <v>-2500500</v>
      </c>
      <c r="D98" s="39">
        <v>-2288017</v>
      </c>
      <c r="E98" s="48">
        <v>100</v>
      </c>
      <c r="F98" s="44">
        <v>680000</v>
      </c>
      <c r="G98" s="37">
        <v>53.8</v>
      </c>
      <c r="H98" s="67">
        <f t="shared" si="4"/>
        <v>365840</v>
      </c>
      <c r="I98" s="37">
        <v>0</v>
      </c>
      <c r="J98" s="68">
        <f t="shared" si="5"/>
        <v>0</v>
      </c>
      <c r="K98" s="37">
        <v>0.3</v>
      </c>
      <c r="L98" s="70">
        <f t="shared" si="6"/>
        <v>2040</v>
      </c>
      <c r="M98" s="69">
        <f t="shared" si="7"/>
        <v>2040</v>
      </c>
    </row>
    <row r="99" spans="1:13">
      <c r="A99" s="37">
        <v>17</v>
      </c>
      <c r="B99" s="38">
        <v>37042</v>
      </c>
      <c r="C99" s="39">
        <v>-2500500</v>
      </c>
      <c r="D99" s="39">
        <v>-2288017</v>
      </c>
      <c r="E99" s="48">
        <v>130</v>
      </c>
      <c r="F99" s="44">
        <v>450000</v>
      </c>
      <c r="G99" s="37">
        <v>56.2</v>
      </c>
      <c r="H99" s="67">
        <f t="shared" si="4"/>
        <v>252900</v>
      </c>
      <c r="I99" s="37">
        <v>0.1</v>
      </c>
      <c r="J99" s="68">
        <f t="shared" si="5"/>
        <v>450</v>
      </c>
      <c r="K99" s="37">
        <v>0.1</v>
      </c>
      <c r="L99" s="70">
        <f t="shared" si="6"/>
        <v>450</v>
      </c>
      <c r="M99" s="69">
        <f t="shared" si="7"/>
        <v>900</v>
      </c>
    </row>
    <row r="100" spans="1:13">
      <c r="A100" s="37">
        <v>17</v>
      </c>
      <c r="B100" s="38">
        <v>37042</v>
      </c>
      <c r="C100" s="39">
        <v>-2500500</v>
      </c>
      <c r="D100" s="39">
        <v>-2288017</v>
      </c>
      <c r="E100" s="48">
        <v>150</v>
      </c>
      <c r="F100" s="44">
        <v>350000</v>
      </c>
      <c r="G100" s="37">
        <v>58</v>
      </c>
      <c r="H100" s="67">
        <f t="shared" si="4"/>
        <v>203000</v>
      </c>
      <c r="I100" s="37">
        <v>2.1</v>
      </c>
      <c r="J100" s="68">
        <f t="shared" si="5"/>
        <v>7350</v>
      </c>
      <c r="K100" s="37">
        <v>0.2</v>
      </c>
      <c r="L100" s="70">
        <f t="shared" si="6"/>
        <v>700</v>
      </c>
      <c r="M100" s="69">
        <f t="shared" si="7"/>
        <v>8050</v>
      </c>
    </row>
    <row r="101" spans="1:13">
      <c r="A101" s="37">
        <v>17</v>
      </c>
      <c r="B101" s="38">
        <v>37042</v>
      </c>
      <c r="C101" s="39">
        <v>-2500500</v>
      </c>
      <c r="D101" s="39">
        <v>-2288017</v>
      </c>
      <c r="E101" s="48">
        <v>245</v>
      </c>
      <c r="F101" s="44">
        <v>230000</v>
      </c>
      <c r="G101" s="37">
        <v>42.3</v>
      </c>
      <c r="H101" s="67">
        <f t="shared" si="4"/>
        <v>97290</v>
      </c>
      <c r="I101" s="37">
        <v>9.8000000000000007</v>
      </c>
      <c r="J101" s="68">
        <f t="shared" si="5"/>
        <v>22540</v>
      </c>
      <c r="K101" s="37">
        <v>0.1</v>
      </c>
      <c r="L101" s="70">
        <f t="shared" si="6"/>
        <v>230</v>
      </c>
      <c r="M101" s="69">
        <f t="shared" si="7"/>
        <v>22770</v>
      </c>
    </row>
    <row r="102" spans="1:13">
      <c r="A102" s="37">
        <v>17</v>
      </c>
      <c r="B102" s="38">
        <v>37042</v>
      </c>
      <c r="C102" s="39">
        <v>-2500500</v>
      </c>
      <c r="D102" s="39">
        <v>-2288017</v>
      </c>
      <c r="E102" s="48">
        <v>300</v>
      </c>
      <c r="F102" s="44">
        <v>270000</v>
      </c>
      <c r="G102" s="37">
        <v>43.3</v>
      </c>
      <c r="H102" s="67">
        <f t="shared" si="4"/>
        <v>116910</v>
      </c>
      <c r="I102" s="37">
        <v>9.8000000000000007</v>
      </c>
      <c r="J102" s="68">
        <f t="shared" si="5"/>
        <v>26460</v>
      </c>
      <c r="K102" s="37">
        <v>0.2</v>
      </c>
      <c r="L102" s="70">
        <f t="shared" si="6"/>
        <v>540</v>
      </c>
      <c r="M102" s="69">
        <f t="shared" si="7"/>
        <v>27000</v>
      </c>
    </row>
    <row r="103" spans="1:13">
      <c r="A103" s="37">
        <v>18</v>
      </c>
      <c r="B103" s="38">
        <v>37042</v>
      </c>
      <c r="C103" s="39">
        <v>-2500000</v>
      </c>
      <c r="D103" s="39">
        <v>-2245433</v>
      </c>
      <c r="E103" s="48">
        <v>17</v>
      </c>
      <c r="F103" s="44">
        <v>650000</v>
      </c>
      <c r="G103" s="37">
        <v>71.900000000000006</v>
      </c>
      <c r="H103" s="67">
        <f t="shared" si="4"/>
        <v>467350</v>
      </c>
      <c r="I103" s="37">
        <v>0.3</v>
      </c>
      <c r="J103" s="68">
        <f t="shared" si="5"/>
        <v>1950</v>
      </c>
      <c r="K103" s="37">
        <v>0</v>
      </c>
      <c r="L103" s="70">
        <f t="shared" si="6"/>
        <v>0</v>
      </c>
      <c r="M103" s="69">
        <f t="shared" si="7"/>
        <v>1950</v>
      </c>
    </row>
    <row r="104" spans="1:13">
      <c r="A104" s="37">
        <v>18</v>
      </c>
      <c r="B104" s="38">
        <v>37042</v>
      </c>
      <c r="C104" s="39">
        <v>-2500000</v>
      </c>
      <c r="D104" s="39">
        <v>-2245433</v>
      </c>
      <c r="E104" s="48">
        <v>57</v>
      </c>
      <c r="F104" s="44">
        <v>730000</v>
      </c>
      <c r="G104" s="37">
        <v>74.599999999999994</v>
      </c>
      <c r="H104" s="67">
        <f t="shared" si="4"/>
        <v>544579.99999999988</v>
      </c>
      <c r="I104" s="37">
        <v>0.1</v>
      </c>
      <c r="J104" s="68">
        <f t="shared" si="5"/>
        <v>730</v>
      </c>
      <c r="K104" s="37">
        <v>0</v>
      </c>
      <c r="L104" s="70">
        <f t="shared" si="6"/>
        <v>0</v>
      </c>
      <c r="M104" s="69">
        <f t="shared" si="7"/>
        <v>730</v>
      </c>
    </row>
    <row r="105" spans="1:13">
      <c r="A105" s="37">
        <v>18</v>
      </c>
      <c r="B105" s="38">
        <v>37042</v>
      </c>
      <c r="C105" s="39">
        <v>-2500000</v>
      </c>
      <c r="D105" s="39">
        <v>-2245433</v>
      </c>
      <c r="E105" s="48">
        <v>130</v>
      </c>
      <c r="F105" s="44">
        <v>330000</v>
      </c>
      <c r="G105" s="37">
        <v>55.3</v>
      </c>
      <c r="H105" s="67">
        <f t="shared" si="4"/>
        <v>182490</v>
      </c>
      <c r="I105" s="37">
        <v>0.4</v>
      </c>
      <c r="J105" s="68">
        <f t="shared" si="5"/>
        <v>1320</v>
      </c>
      <c r="K105" s="37">
        <v>0.1</v>
      </c>
      <c r="L105" s="70">
        <f t="shared" si="6"/>
        <v>330</v>
      </c>
      <c r="M105" s="69">
        <f t="shared" si="7"/>
        <v>1650</v>
      </c>
    </row>
    <row r="106" spans="1:13">
      <c r="A106" s="37">
        <v>18</v>
      </c>
      <c r="B106" s="38">
        <v>37042</v>
      </c>
      <c r="C106" s="39">
        <v>-2500000</v>
      </c>
      <c r="D106" s="39">
        <v>-2245433</v>
      </c>
      <c r="E106" s="48">
        <v>150</v>
      </c>
      <c r="F106" s="44">
        <v>330000</v>
      </c>
      <c r="G106" s="37">
        <v>46.1</v>
      </c>
      <c r="H106" s="67">
        <f t="shared" si="4"/>
        <v>152130</v>
      </c>
      <c r="I106" s="37">
        <v>4.5999999999999996</v>
      </c>
      <c r="J106" s="68">
        <f t="shared" si="5"/>
        <v>15179.999999999998</v>
      </c>
      <c r="K106" s="37">
        <v>0</v>
      </c>
      <c r="L106" s="70">
        <f t="shared" si="6"/>
        <v>0</v>
      </c>
      <c r="M106" s="69">
        <f t="shared" si="7"/>
        <v>15179.999999999998</v>
      </c>
    </row>
    <row r="107" spans="1:13">
      <c r="A107" s="37">
        <v>18</v>
      </c>
      <c r="B107" s="38">
        <v>37042</v>
      </c>
      <c r="C107" s="39">
        <v>-2500000</v>
      </c>
      <c r="D107" s="39">
        <v>-2245433</v>
      </c>
      <c r="E107" s="48">
        <v>225</v>
      </c>
      <c r="F107" s="44">
        <v>220000</v>
      </c>
      <c r="G107" s="37">
        <v>45</v>
      </c>
      <c r="H107" s="67">
        <f t="shared" si="4"/>
        <v>99000</v>
      </c>
      <c r="I107" s="37">
        <v>14.5</v>
      </c>
      <c r="J107" s="68">
        <f t="shared" si="5"/>
        <v>31900</v>
      </c>
      <c r="K107" s="37">
        <v>0.1</v>
      </c>
      <c r="L107" s="70">
        <f t="shared" si="6"/>
        <v>220</v>
      </c>
      <c r="M107" s="69">
        <f t="shared" si="7"/>
        <v>32120</v>
      </c>
    </row>
    <row r="108" spans="1:13">
      <c r="A108" s="37">
        <v>18</v>
      </c>
      <c r="B108" s="38">
        <v>37042</v>
      </c>
      <c r="C108" s="39">
        <v>-2500000</v>
      </c>
      <c r="D108" s="39">
        <v>-2245433</v>
      </c>
      <c r="E108" s="48">
        <v>300</v>
      </c>
      <c r="F108" s="44">
        <v>170000</v>
      </c>
      <c r="G108" s="37">
        <v>40.9</v>
      </c>
      <c r="H108" s="67">
        <f t="shared" si="4"/>
        <v>69530</v>
      </c>
      <c r="I108" s="37">
        <v>12.9</v>
      </c>
      <c r="J108" s="68">
        <f t="shared" si="5"/>
        <v>21930</v>
      </c>
      <c r="K108" s="37">
        <v>0</v>
      </c>
      <c r="L108" s="70">
        <f t="shared" si="6"/>
        <v>0</v>
      </c>
      <c r="M108" s="69">
        <f t="shared" si="7"/>
        <v>21930</v>
      </c>
    </row>
    <row r="109" spans="1:13">
      <c r="A109" s="37">
        <v>18</v>
      </c>
      <c r="B109" s="38">
        <v>37042</v>
      </c>
      <c r="C109" s="39">
        <v>-2500000</v>
      </c>
      <c r="D109" s="39">
        <v>-2245433</v>
      </c>
      <c r="E109" s="48">
        <v>500</v>
      </c>
      <c r="F109" s="44">
        <v>88000</v>
      </c>
      <c r="G109" s="37">
        <v>40.9</v>
      </c>
      <c r="H109" s="67">
        <f t="shared" si="4"/>
        <v>35992</v>
      </c>
      <c r="I109" s="37">
        <v>15.4</v>
      </c>
      <c r="J109" s="68">
        <f t="shared" si="5"/>
        <v>13552</v>
      </c>
      <c r="K109" s="37">
        <v>0</v>
      </c>
      <c r="L109" s="70">
        <f t="shared" si="6"/>
        <v>0</v>
      </c>
      <c r="M109" s="69">
        <f t="shared" si="7"/>
        <v>13552</v>
      </c>
    </row>
    <row r="110" spans="1:13">
      <c r="A110" s="37">
        <v>18</v>
      </c>
      <c r="B110" s="38">
        <v>37042</v>
      </c>
      <c r="C110" s="39">
        <v>-2500000</v>
      </c>
      <c r="D110" s="39">
        <v>-2245433</v>
      </c>
      <c r="E110" s="48">
        <v>1000</v>
      </c>
      <c r="F110" s="44">
        <v>33000</v>
      </c>
      <c r="G110" s="37">
        <v>51.8</v>
      </c>
      <c r="H110" s="67">
        <f t="shared" si="4"/>
        <v>17094</v>
      </c>
      <c r="I110" s="37">
        <v>11.3</v>
      </c>
      <c r="J110" s="68">
        <f t="shared" si="5"/>
        <v>3729</v>
      </c>
      <c r="K110" s="37">
        <v>0</v>
      </c>
      <c r="L110" s="70">
        <f t="shared" si="6"/>
        <v>0</v>
      </c>
      <c r="M110" s="69">
        <f t="shared" si="7"/>
        <v>3729</v>
      </c>
    </row>
    <row r="111" spans="1:13">
      <c r="A111" s="37">
        <v>19</v>
      </c>
      <c r="B111" s="38">
        <v>37043</v>
      </c>
      <c r="C111" s="39">
        <v>-2499733</v>
      </c>
      <c r="D111" s="39">
        <v>-2019933</v>
      </c>
      <c r="E111" s="48">
        <v>20</v>
      </c>
      <c r="F111" s="44">
        <v>660000</v>
      </c>
      <c r="G111" s="37">
        <v>67.900000000000006</v>
      </c>
      <c r="H111" s="67">
        <f t="shared" si="4"/>
        <v>448140.00000000006</v>
      </c>
      <c r="I111" s="37">
        <v>0.2</v>
      </c>
      <c r="J111" s="68">
        <f t="shared" si="5"/>
        <v>1320</v>
      </c>
      <c r="K111" s="37">
        <v>0</v>
      </c>
      <c r="L111" s="70">
        <f t="shared" si="6"/>
        <v>0</v>
      </c>
      <c r="M111" s="69">
        <f t="shared" si="7"/>
        <v>1320</v>
      </c>
    </row>
    <row r="112" spans="1:13">
      <c r="A112" s="37">
        <v>19</v>
      </c>
      <c r="B112" s="38">
        <v>37043</v>
      </c>
      <c r="C112" s="39">
        <v>-2499733</v>
      </c>
      <c r="D112" s="39">
        <v>-2019933</v>
      </c>
      <c r="E112" s="48">
        <v>125</v>
      </c>
      <c r="F112" s="44">
        <v>550000</v>
      </c>
      <c r="G112" s="37">
        <v>68.3</v>
      </c>
      <c r="H112" s="67">
        <f t="shared" si="4"/>
        <v>375650</v>
      </c>
      <c r="I112" s="37">
        <v>1.1000000000000001</v>
      </c>
      <c r="J112" s="68">
        <f t="shared" si="5"/>
        <v>6050</v>
      </c>
      <c r="K112" s="37">
        <v>0.1</v>
      </c>
      <c r="L112" s="70">
        <f t="shared" si="6"/>
        <v>550</v>
      </c>
      <c r="M112" s="69">
        <f t="shared" si="7"/>
        <v>6600</v>
      </c>
    </row>
    <row r="113" spans="1:13">
      <c r="A113" s="37">
        <v>19</v>
      </c>
      <c r="B113" s="38">
        <v>37043</v>
      </c>
      <c r="C113" s="39">
        <v>-2499733</v>
      </c>
      <c r="D113" s="39">
        <v>-2019933</v>
      </c>
      <c r="E113" s="48">
        <v>150</v>
      </c>
      <c r="F113" s="44">
        <v>400000</v>
      </c>
      <c r="G113" s="37">
        <v>57.9</v>
      </c>
      <c r="H113" s="67">
        <f t="shared" si="4"/>
        <v>231600</v>
      </c>
      <c r="I113" s="37">
        <v>2.2000000000000002</v>
      </c>
      <c r="J113" s="68">
        <f t="shared" si="5"/>
        <v>8800.0000000000018</v>
      </c>
      <c r="K113" s="37">
        <v>0.1</v>
      </c>
      <c r="L113" s="70">
        <f t="shared" si="6"/>
        <v>400</v>
      </c>
      <c r="M113" s="69">
        <f t="shared" si="7"/>
        <v>9200.0000000000018</v>
      </c>
    </row>
    <row r="114" spans="1:13">
      <c r="A114" s="37">
        <v>19</v>
      </c>
      <c r="B114" s="38">
        <v>37043</v>
      </c>
      <c r="C114" s="39">
        <v>-2499733</v>
      </c>
      <c r="D114" s="39">
        <v>-2019933</v>
      </c>
      <c r="E114" s="48">
        <v>225</v>
      </c>
      <c r="F114" s="44">
        <v>170000</v>
      </c>
      <c r="G114" s="37">
        <v>50</v>
      </c>
      <c r="H114" s="67">
        <f t="shared" si="4"/>
        <v>85000</v>
      </c>
      <c r="I114" s="37">
        <v>9.9</v>
      </c>
      <c r="J114" s="68">
        <f t="shared" si="5"/>
        <v>16830</v>
      </c>
      <c r="K114" s="37">
        <v>0.8</v>
      </c>
      <c r="L114" s="70">
        <f t="shared" si="6"/>
        <v>1360</v>
      </c>
      <c r="M114" s="69">
        <f t="shared" si="7"/>
        <v>18190</v>
      </c>
    </row>
    <row r="115" spans="1:13">
      <c r="A115" s="37">
        <v>19</v>
      </c>
      <c r="B115" s="38">
        <v>37043</v>
      </c>
      <c r="C115" s="39">
        <v>-2499733</v>
      </c>
      <c r="D115" s="39">
        <v>-2019933</v>
      </c>
      <c r="E115" s="48">
        <v>275</v>
      </c>
      <c r="F115" s="44">
        <v>500000</v>
      </c>
      <c r="G115" s="37">
        <v>62.4</v>
      </c>
      <c r="H115" s="67">
        <f t="shared" si="4"/>
        <v>312000</v>
      </c>
      <c r="I115" s="37">
        <v>2.1</v>
      </c>
      <c r="J115" s="68">
        <f t="shared" si="5"/>
        <v>10500</v>
      </c>
      <c r="K115" s="37">
        <v>0.1</v>
      </c>
      <c r="L115" s="70">
        <f t="shared" si="6"/>
        <v>500</v>
      </c>
      <c r="M115" s="69">
        <f t="shared" si="7"/>
        <v>11000</v>
      </c>
    </row>
    <row r="116" spans="1:13">
      <c r="A116" s="37">
        <v>19</v>
      </c>
      <c r="B116" s="38">
        <v>37043</v>
      </c>
      <c r="C116" s="39">
        <v>-2499733</v>
      </c>
      <c r="D116" s="39">
        <v>-2019933</v>
      </c>
      <c r="E116" s="48">
        <v>500</v>
      </c>
      <c r="F116" s="44">
        <v>430000</v>
      </c>
      <c r="G116" s="37">
        <v>62.3</v>
      </c>
      <c r="H116" s="67">
        <f t="shared" si="4"/>
        <v>267890</v>
      </c>
      <c r="I116" s="37">
        <v>1.9</v>
      </c>
      <c r="J116" s="68">
        <f t="shared" si="5"/>
        <v>8170</v>
      </c>
      <c r="K116" s="37">
        <v>0.2</v>
      </c>
      <c r="L116" s="70">
        <f t="shared" si="6"/>
        <v>860</v>
      </c>
      <c r="M116" s="69">
        <f t="shared" si="7"/>
        <v>9030</v>
      </c>
    </row>
    <row r="117" spans="1:13">
      <c r="A117" s="37">
        <v>20</v>
      </c>
      <c r="B117" s="38">
        <v>37043</v>
      </c>
      <c r="C117" s="39">
        <v>-2500050</v>
      </c>
      <c r="D117" s="39">
        <v>-1923717</v>
      </c>
      <c r="E117" s="48">
        <v>18</v>
      </c>
      <c r="F117" s="44">
        <v>700000</v>
      </c>
      <c r="G117" s="37">
        <v>71.099999999999994</v>
      </c>
      <c r="H117" s="67">
        <f t="shared" si="4"/>
        <v>497699.99999999994</v>
      </c>
      <c r="I117" s="37">
        <v>0.1</v>
      </c>
      <c r="J117" s="68">
        <f t="shared" si="5"/>
        <v>700</v>
      </c>
      <c r="K117" s="37">
        <v>0</v>
      </c>
      <c r="L117" s="70">
        <f t="shared" si="6"/>
        <v>0</v>
      </c>
      <c r="M117" s="69">
        <f t="shared" si="7"/>
        <v>700</v>
      </c>
    </row>
    <row r="118" spans="1:13">
      <c r="A118" s="37">
        <v>20</v>
      </c>
      <c r="B118" s="38">
        <v>37043</v>
      </c>
      <c r="C118" s="39">
        <v>-2500050</v>
      </c>
      <c r="D118" s="39">
        <v>-1923717</v>
      </c>
      <c r="E118" s="48">
        <v>130</v>
      </c>
      <c r="F118" s="44">
        <v>540000</v>
      </c>
      <c r="G118" s="37">
        <v>56.5</v>
      </c>
      <c r="H118" s="67">
        <f t="shared" si="4"/>
        <v>305100</v>
      </c>
      <c r="I118" s="37">
        <v>0.7</v>
      </c>
      <c r="J118" s="68">
        <f t="shared" si="5"/>
        <v>3780</v>
      </c>
      <c r="K118" s="37">
        <v>0</v>
      </c>
      <c r="L118" s="70">
        <f t="shared" si="6"/>
        <v>0</v>
      </c>
      <c r="M118" s="69">
        <f t="shared" si="7"/>
        <v>3780</v>
      </c>
    </row>
    <row r="119" spans="1:13">
      <c r="A119" s="37">
        <v>20</v>
      </c>
      <c r="B119" s="38">
        <v>37043</v>
      </c>
      <c r="C119" s="39">
        <v>-2500050</v>
      </c>
      <c r="D119" s="39">
        <v>-1923717</v>
      </c>
      <c r="E119" s="48">
        <v>140</v>
      </c>
      <c r="F119" s="44">
        <v>430000</v>
      </c>
      <c r="G119" s="37">
        <v>49.7</v>
      </c>
      <c r="H119" s="67">
        <f t="shared" si="4"/>
        <v>213710</v>
      </c>
      <c r="I119" s="37">
        <v>0.3</v>
      </c>
      <c r="J119" s="68">
        <f t="shared" si="5"/>
        <v>1290</v>
      </c>
      <c r="K119" s="37">
        <v>0</v>
      </c>
      <c r="L119" s="70">
        <f t="shared" si="6"/>
        <v>0</v>
      </c>
      <c r="M119" s="69">
        <f t="shared" si="7"/>
        <v>1290</v>
      </c>
    </row>
    <row r="120" spans="1:13">
      <c r="A120" s="37">
        <v>20</v>
      </c>
      <c r="B120" s="38">
        <v>37043</v>
      </c>
      <c r="C120" s="39">
        <v>-2500050</v>
      </c>
      <c r="D120" s="39">
        <v>-1923717</v>
      </c>
      <c r="E120" s="48">
        <v>150</v>
      </c>
      <c r="F120" s="44">
        <v>350000</v>
      </c>
      <c r="G120" s="37">
        <v>52.8</v>
      </c>
      <c r="H120" s="67">
        <f t="shared" si="4"/>
        <v>184800</v>
      </c>
      <c r="I120" s="37">
        <v>1.6</v>
      </c>
      <c r="J120" s="68">
        <f t="shared" si="5"/>
        <v>5600</v>
      </c>
      <c r="K120" s="37">
        <v>0</v>
      </c>
      <c r="L120" s="70">
        <f t="shared" si="6"/>
        <v>0</v>
      </c>
      <c r="M120" s="69">
        <f t="shared" si="7"/>
        <v>5600</v>
      </c>
    </row>
    <row r="121" spans="1:13">
      <c r="A121" s="37">
        <v>20</v>
      </c>
      <c r="B121" s="38">
        <v>37043</v>
      </c>
      <c r="C121" s="39">
        <v>-2500050</v>
      </c>
      <c r="D121" s="39">
        <v>-1923717</v>
      </c>
      <c r="E121" s="48">
        <v>225</v>
      </c>
      <c r="F121" s="44">
        <v>300000</v>
      </c>
      <c r="G121" s="37">
        <v>45.7</v>
      </c>
      <c r="H121" s="67">
        <f t="shared" si="4"/>
        <v>137100</v>
      </c>
      <c r="I121" s="37">
        <v>12.6</v>
      </c>
      <c r="J121" s="68">
        <f t="shared" si="5"/>
        <v>37800</v>
      </c>
      <c r="K121" s="37">
        <v>0</v>
      </c>
      <c r="L121" s="70">
        <f t="shared" si="6"/>
        <v>0</v>
      </c>
      <c r="M121" s="69">
        <f t="shared" si="7"/>
        <v>37800</v>
      </c>
    </row>
    <row r="122" spans="1:13">
      <c r="A122" s="37">
        <v>20</v>
      </c>
      <c r="B122" s="38">
        <v>37043</v>
      </c>
      <c r="C122" s="39">
        <v>-2500050</v>
      </c>
      <c r="D122" s="39">
        <v>-1923717</v>
      </c>
      <c r="E122" s="48">
        <v>300</v>
      </c>
      <c r="F122" s="44">
        <v>160000</v>
      </c>
      <c r="G122" s="37">
        <v>43.2</v>
      </c>
      <c r="H122" s="67">
        <f t="shared" si="4"/>
        <v>69120</v>
      </c>
      <c r="I122" s="37">
        <v>12</v>
      </c>
      <c r="J122" s="68">
        <f t="shared" si="5"/>
        <v>19200</v>
      </c>
      <c r="K122" s="37">
        <v>0</v>
      </c>
      <c r="L122" s="70">
        <f t="shared" si="6"/>
        <v>0</v>
      </c>
      <c r="M122" s="69">
        <f t="shared" si="7"/>
        <v>19200</v>
      </c>
    </row>
    <row r="123" spans="1:13">
      <c r="A123" s="37">
        <v>21</v>
      </c>
      <c r="B123" s="38">
        <v>37044</v>
      </c>
      <c r="C123" s="39">
        <v>-2499933</v>
      </c>
      <c r="D123" s="39">
        <v>-1627900</v>
      </c>
      <c r="E123" s="48">
        <v>20</v>
      </c>
      <c r="F123" s="44">
        <v>670000</v>
      </c>
      <c r="G123" s="37">
        <v>71.7</v>
      </c>
      <c r="H123" s="67">
        <f t="shared" si="4"/>
        <v>480390</v>
      </c>
      <c r="I123" s="37">
        <v>0.1</v>
      </c>
      <c r="J123" s="68">
        <f t="shared" si="5"/>
        <v>670</v>
      </c>
      <c r="K123" s="37">
        <v>0.7</v>
      </c>
      <c r="L123" s="70">
        <f t="shared" si="6"/>
        <v>4689.9999999999991</v>
      </c>
      <c r="M123" s="69">
        <f t="shared" si="7"/>
        <v>5359.9999999999991</v>
      </c>
    </row>
    <row r="124" spans="1:13">
      <c r="A124" s="37">
        <v>21</v>
      </c>
      <c r="B124" s="38">
        <v>37044</v>
      </c>
      <c r="C124" s="39">
        <v>-2499933</v>
      </c>
      <c r="D124" s="39">
        <v>-1627900</v>
      </c>
      <c r="E124" s="48">
        <v>125</v>
      </c>
      <c r="F124" s="44">
        <v>550000</v>
      </c>
      <c r="G124" s="37">
        <v>63.4</v>
      </c>
      <c r="H124" s="67">
        <f t="shared" si="4"/>
        <v>348700</v>
      </c>
      <c r="I124" s="37">
        <v>1.5</v>
      </c>
      <c r="J124" s="68">
        <f t="shared" si="5"/>
        <v>8250</v>
      </c>
      <c r="K124" s="37">
        <v>0.3</v>
      </c>
      <c r="L124" s="70">
        <f t="shared" si="6"/>
        <v>1650</v>
      </c>
      <c r="M124" s="69">
        <f t="shared" si="7"/>
        <v>9900</v>
      </c>
    </row>
    <row r="125" spans="1:13">
      <c r="A125" s="37">
        <v>21</v>
      </c>
      <c r="B125" s="38">
        <v>37044</v>
      </c>
      <c r="C125" s="39">
        <v>-2499933</v>
      </c>
      <c r="D125" s="39">
        <v>-1627900</v>
      </c>
      <c r="E125" s="48">
        <v>150</v>
      </c>
      <c r="F125" s="44">
        <v>400000</v>
      </c>
      <c r="G125" s="37">
        <v>56.8</v>
      </c>
      <c r="H125" s="67">
        <f t="shared" si="4"/>
        <v>227200</v>
      </c>
      <c r="I125" s="37">
        <v>1</v>
      </c>
      <c r="J125" s="68">
        <f t="shared" si="5"/>
        <v>4000</v>
      </c>
      <c r="K125" s="37">
        <v>0.3</v>
      </c>
      <c r="L125" s="70">
        <f t="shared" si="6"/>
        <v>1200</v>
      </c>
      <c r="M125" s="69">
        <f t="shared" si="7"/>
        <v>5200</v>
      </c>
    </row>
    <row r="126" spans="1:13">
      <c r="A126" s="37">
        <v>21</v>
      </c>
      <c r="B126" s="38">
        <v>37044</v>
      </c>
      <c r="C126" s="39">
        <v>-2499933</v>
      </c>
      <c r="D126" s="39">
        <v>-1627900</v>
      </c>
      <c r="E126" s="48">
        <v>165</v>
      </c>
      <c r="F126" s="44">
        <v>340000</v>
      </c>
      <c r="G126" s="37">
        <v>55.7</v>
      </c>
      <c r="H126" s="67">
        <f t="shared" si="4"/>
        <v>189380</v>
      </c>
      <c r="I126" s="37">
        <v>5.2</v>
      </c>
      <c r="J126" s="68">
        <f t="shared" si="5"/>
        <v>17680</v>
      </c>
      <c r="K126" s="37">
        <v>0.2</v>
      </c>
      <c r="L126" s="70">
        <f t="shared" si="6"/>
        <v>680</v>
      </c>
      <c r="M126" s="69">
        <f t="shared" si="7"/>
        <v>18360</v>
      </c>
    </row>
    <row r="127" spans="1:13">
      <c r="A127" s="37">
        <v>21</v>
      </c>
      <c r="B127" s="38">
        <v>37044</v>
      </c>
      <c r="C127" s="39">
        <v>-2499933</v>
      </c>
      <c r="D127" s="39">
        <v>-1627900</v>
      </c>
      <c r="E127" s="48">
        <v>225</v>
      </c>
      <c r="F127" s="44">
        <v>210000</v>
      </c>
      <c r="G127" s="37">
        <v>43.9</v>
      </c>
      <c r="H127" s="67">
        <f t="shared" si="4"/>
        <v>92190</v>
      </c>
      <c r="I127" s="37">
        <v>13.5</v>
      </c>
      <c r="J127" s="68">
        <f t="shared" si="5"/>
        <v>28350</v>
      </c>
      <c r="K127" s="37">
        <v>0.3</v>
      </c>
      <c r="L127" s="70">
        <f t="shared" si="6"/>
        <v>630</v>
      </c>
      <c r="M127" s="69">
        <f t="shared" si="7"/>
        <v>28980</v>
      </c>
    </row>
    <row r="128" spans="1:13">
      <c r="A128" s="37">
        <v>21</v>
      </c>
      <c r="B128" s="38">
        <v>37044</v>
      </c>
      <c r="C128" s="39">
        <v>-2499933</v>
      </c>
      <c r="D128" s="39">
        <v>-1627900</v>
      </c>
      <c r="E128" s="48">
        <v>300</v>
      </c>
      <c r="F128" s="44">
        <v>140000</v>
      </c>
      <c r="G128" s="37">
        <v>40.9</v>
      </c>
      <c r="H128" s="67">
        <f t="shared" si="4"/>
        <v>57260</v>
      </c>
      <c r="I128" s="37">
        <v>18.399999999999999</v>
      </c>
      <c r="J128" s="68">
        <f t="shared" si="5"/>
        <v>25760</v>
      </c>
      <c r="K128" s="37">
        <v>0</v>
      </c>
      <c r="L128" s="70">
        <f t="shared" si="6"/>
        <v>0</v>
      </c>
      <c r="M128" s="69">
        <f t="shared" si="7"/>
        <v>25760</v>
      </c>
    </row>
    <row r="129" spans="1:13">
      <c r="A129" s="37">
        <v>22</v>
      </c>
      <c r="B129" s="38">
        <v>37044</v>
      </c>
      <c r="C129" s="39">
        <v>-2500100</v>
      </c>
      <c r="D129" s="39">
        <v>-1540833</v>
      </c>
      <c r="E129" s="48">
        <v>18</v>
      </c>
      <c r="F129" s="44">
        <v>770000</v>
      </c>
      <c r="G129" s="37">
        <v>72.900000000000006</v>
      </c>
      <c r="H129" s="67">
        <f t="shared" si="4"/>
        <v>561330.00000000012</v>
      </c>
      <c r="I129" s="37">
        <v>0</v>
      </c>
      <c r="J129" s="68">
        <f t="shared" si="5"/>
        <v>0</v>
      </c>
      <c r="K129" s="37"/>
      <c r="L129" s="70">
        <f t="shared" si="6"/>
        <v>0</v>
      </c>
      <c r="M129" s="69">
        <f t="shared" si="7"/>
        <v>0</v>
      </c>
    </row>
    <row r="130" spans="1:13">
      <c r="A130" s="37">
        <v>22</v>
      </c>
      <c r="B130" s="38">
        <v>37044</v>
      </c>
      <c r="C130" s="39">
        <v>-2500100</v>
      </c>
      <c r="D130" s="39">
        <v>-1540833</v>
      </c>
      <c r="E130" s="48">
        <v>130</v>
      </c>
      <c r="F130" s="44">
        <v>460000</v>
      </c>
      <c r="G130" s="37">
        <v>57</v>
      </c>
      <c r="H130" s="67">
        <f t="shared" si="4"/>
        <v>262200</v>
      </c>
      <c r="I130" s="37">
        <v>0.4</v>
      </c>
      <c r="J130" s="68">
        <f t="shared" si="5"/>
        <v>1840</v>
      </c>
      <c r="K130" s="37"/>
      <c r="L130" s="70">
        <f t="shared" si="6"/>
        <v>0</v>
      </c>
      <c r="M130" s="69">
        <f t="shared" si="7"/>
        <v>1840</v>
      </c>
    </row>
    <row r="131" spans="1:13">
      <c r="A131" s="37">
        <v>22</v>
      </c>
      <c r="B131" s="38">
        <v>37044</v>
      </c>
      <c r="C131" s="39">
        <v>-2500100</v>
      </c>
      <c r="D131" s="39">
        <v>-1540833</v>
      </c>
      <c r="E131" s="48">
        <v>140</v>
      </c>
      <c r="F131" s="44">
        <v>410000</v>
      </c>
      <c r="G131" s="37">
        <v>61.6</v>
      </c>
      <c r="H131" s="67">
        <f t="shared" si="4"/>
        <v>252560</v>
      </c>
      <c r="I131" s="37">
        <v>0.6</v>
      </c>
      <c r="J131" s="68">
        <f t="shared" si="5"/>
        <v>2460</v>
      </c>
      <c r="K131" s="37"/>
      <c r="L131" s="70">
        <f t="shared" si="6"/>
        <v>0</v>
      </c>
      <c r="M131" s="69">
        <f t="shared" si="7"/>
        <v>2460</v>
      </c>
    </row>
    <row r="132" spans="1:13">
      <c r="A132" s="37">
        <v>22</v>
      </c>
      <c r="B132" s="38">
        <v>37044</v>
      </c>
      <c r="C132" s="39">
        <v>-2500100</v>
      </c>
      <c r="D132" s="39">
        <v>-1540833</v>
      </c>
      <c r="E132" s="48">
        <v>150</v>
      </c>
      <c r="F132" s="44">
        <v>360000</v>
      </c>
      <c r="G132" s="37">
        <v>56.5</v>
      </c>
      <c r="H132" s="67">
        <f t="shared" si="4"/>
        <v>203400</v>
      </c>
      <c r="I132" s="37">
        <v>2.6</v>
      </c>
      <c r="J132" s="68">
        <f t="shared" si="5"/>
        <v>9360</v>
      </c>
      <c r="K132" s="37"/>
      <c r="L132" s="70">
        <f t="shared" si="6"/>
        <v>0</v>
      </c>
      <c r="M132" s="69">
        <f t="shared" si="7"/>
        <v>9360</v>
      </c>
    </row>
    <row r="133" spans="1:13">
      <c r="A133" s="37">
        <v>22</v>
      </c>
      <c r="B133" s="38">
        <v>37044</v>
      </c>
      <c r="C133" s="39">
        <v>-2500100</v>
      </c>
      <c r="D133" s="39">
        <v>-1540833</v>
      </c>
      <c r="E133" s="48">
        <v>225</v>
      </c>
      <c r="F133" s="44">
        <v>170000</v>
      </c>
      <c r="G133" s="37">
        <v>46</v>
      </c>
      <c r="H133" s="67">
        <f t="shared" si="4"/>
        <v>78200</v>
      </c>
      <c r="I133" s="37">
        <v>15.6</v>
      </c>
      <c r="J133" s="68">
        <f t="shared" si="5"/>
        <v>26520</v>
      </c>
      <c r="K133" s="37"/>
      <c r="L133" s="70">
        <f t="shared" si="6"/>
        <v>0</v>
      </c>
      <c r="M133" s="69">
        <f t="shared" si="7"/>
        <v>26520</v>
      </c>
    </row>
    <row r="134" spans="1:13">
      <c r="A134" s="37">
        <v>22</v>
      </c>
      <c r="B134" s="38">
        <v>37044</v>
      </c>
      <c r="C134" s="39">
        <v>-2500100</v>
      </c>
      <c r="D134" s="39">
        <v>-1540833</v>
      </c>
      <c r="E134" s="48">
        <v>300</v>
      </c>
      <c r="F134" s="44">
        <v>140000</v>
      </c>
      <c r="G134" s="37">
        <v>42.7</v>
      </c>
      <c r="H134" s="67">
        <f t="shared" si="4"/>
        <v>59780</v>
      </c>
      <c r="I134" s="37">
        <v>20.9</v>
      </c>
      <c r="J134" s="68">
        <f t="shared" si="5"/>
        <v>29260</v>
      </c>
      <c r="K134" s="37"/>
      <c r="L134" s="70">
        <f t="shared" si="6"/>
        <v>0</v>
      </c>
      <c r="M134" s="69">
        <f t="shared" si="7"/>
        <v>29260</v>
      </c>
    </row>
    <row r="135" spans="1:13">
      <c r="A135" s="37">
        <v>23</v>
      </c>
      <c r="B135" s="38">
        <v>37045</v>
      </c>
      <c r="C135" s="39">
        <v>-2499650</v>
      </c>
      <c r="D135" s="39">
        <v>-1241317</v>
      </c>
      <c r="E135" s="48">
        <v>17</v>
      </c>
      <c r="F135" s="44">
        <v>890000</v>
      </c>
      <c r="G135" s="37">
        <v>72.8</v>
      </c>
      <c r="H135" s="67">
        <f t="shared" ref="H135:H198" si="8">(G135*F135)/100</f>
        <v>647920</v>
      </c>
      <c r="I135" s="37">
        <v>0.1</v>
      </c>
      <c r="J135" s="68">
        <f t="shared" ref="J135:J198" si="9">(I135*F135)/100</f>
        <v>890</v>
      </c>
      <c r="K135" s="37">
        <v>0.1</v>
      </c>
      <c r="L135" s="70">
        <f t="shared" ref="L135:L198" si="10">(K135*F135)/100</f>
        <v>890</v>
      </c>
      <c r="M135" s="69">
        <f t="shared" ref="M135:M198" si="11">J135+L135</f>
        <v>1780</v>
      </c>
    </row>
    <row r="136" spans="1:13">
      <c r="A136" s="37">
        <v>23</v>
      </c>
      <c r="B136" s="38">
        <v>37045</v>
      </c>
      <c r="C136" s="39">
        <v>-2499650</v>
      </c>
      <c r="D136" s="39">
        <v>-1241317</v>
      </c>
      <c r="E136" s="48">
        <v>115</v>
      </c>
      <c r="F136" s="44">
        <v>660000</v>
      </c>
      <c r="G136" s="37">
        <v>67.5</v>
      </c>
      <c r="H136" s="67">
        <f t="shared" si="8"/>
        <v>445500</v>
      </c>
      <c r="I136" s="37">
        <v>0.2</v>
      </c>
      <c r="J136" s="68">
        <f t="shared" si="9"/>
        <v>1320</v>
      </c>
      <c r="K136" s="37">
        <v>0.3</v>
      </c>
      <c r="L136" s="70">
        <f t="shared" si="10"/>
        <v>1980</v>
      </c>
      <c r="M136" s="69">
        <f t="shared" si="11"/>
        <v>3300</v>
      </c>
    </row>
    <row r="137" spans="1:13">
      <c r="A137" s="37">
        <v>23</v>
      </c>
      <c r="B137" s="38">
        <v>37045</v>
      </c>
      <c r="C137" s="39">
        <v>-2499650</v>
      </c>
      <c r="D137" s="39">
        <v>-1241317</v>
      </c>
      <c r="E137" s="48">
        <v>132</v>
      </c>
      <c r="F137" s="44">
        <v>540000</v>
      </c>
      <c r="G137" s="37">
        <v>60.6</v>
      </c>
      <c r="H137" s="67">
        <f t="shared" si="8"/>
        <v>327240</v>
      </c>
      <c r="I137" s="37">
        <v>0.3</v>
      </c>
      <c r="J137" s="68">
        <f t="shared" si="9"/>
        <v>1620</v>
      </c>
      <c r="K137" s="37">
        <v>0.5</v>
      </c>
      <c r="L137" s="70">
        <f t="shared" si="10"/>
        <v>2700</v>
      </c>
      <c r="M137" s="69">
        <f t="shared" si="11"/>
        <v>4320</v>
      </c>
    </row>
    <row r="138" spans="1:13">
      <c r="A138" s="37">
        <v>23</v>
      </c>
      <c r="B138" s="38">
        <v>37045</v>
      </c>
      <c r="C138" s="39">
        <v>-2499650</v>
      </c>
      <c r="D138" s="39">
        <v>-1241317</v>
      </c>
      <c r="E138" s="48">
        <v>145</v>
      </c>
      <c r="F138" s="44">
        <v>460000</v>
      </c>
      <c r="G138" s="37">
        <v>50.7</v>
      </c>
      <c r="H138" s="67">
        <f t="shared" si="8"/>
        <v>233220</v>
      </c>
      <c r="I138" s="37">
        <v>3.4</v>
      </c>
      <c r="J138" s="68">
        <f t="shared" si="9"/>
        <v>15640</v>
      </c>
      <c r="K138" s="37">
        <v>0.5</v>
      </c>
      <c r="L138" s="70">
        <f t="shared" si="10"/>
        <v>2300</v>
      </c>
      <c r="M138" s="69">
        <f t="shared" si="11"/>
        <v>17940</v>
      </c>
    </row>
    <row r="139" spans="1:13">
      <c r="A139" s="37">
        <v>23</v>
      </c>
      <c r="B139" s="38">
        <v>37045</v>
      </c>
      <c r="C139" s="39">
        <v>-2499650</v>
      </c>
      <c r="D139" s="39">
        <v>-1241317</v>
      </c>
      <c r="E139" s="48">
        <v>200</v>
      </c>
      <c r="F139" s="44">
        <v>190000</v>
      </c>
      <c r="G139" s="37">
        <v>46.6</v>
      </c>
      <c r="H139" s="67">
        <f t="shared" si="8"/>
        <v>88540</v>
      </c>
      <c r="I139" s="37">
        <v>12.8</v>
      </c>
      <c r="J139" s="68">
        <f t="shared" si="9"/>
        <v>24320</v>
      </c>
      <c r="K139" s="37">
        <v>0.1</v>
      </c>
      <c r="L139" s="70">
        <f t="shared" si="10"/>
        <v>190</v>
      </c>
      <c r="M139" s="69">
        <f t="shared" si="11"/>
        <v>24510</v>
      </c>
    </row>
    <row r="140" spans="1:13">
      <c r="A140" s="37">
        <v>23</v>
      </c>
      <c r="B140" s="38">
        <v>37045</v>
      </c>
      <c r="C140" s="39">
        <v>-2499650</v>
      </c>
      <c r="D140" s="39">
        <v>-1241317</v>
      </c>
      <c r="E140" s="48">
        <v>300</v>
      </c>
      <c r="F140" s="44">
        <v>130000</v>
      </c>
      <c r="G140" s="37">
        <v>46.7</v>
      </c>
      <c r="H140" s="67">
        <f t="shared" si="8"/>
        <v>60710</v>
      </c>
      <c r="I140" s="37">
        <v>21.5</v>
      </c>
      <c r="J140" s="68">
        <f t="shared" si="9"/>
        <v>27950</v>
      </c>
      <c r="K140" s="37">
        <v>0</v>
      </c>
      <c r="L140" s="70">
        <f t="shared" si="10"/>
        <v>0</v>
      </c>
      <c r="M140" s="69">
        <f t="shared" si="11"/>
        <v>27950</v>
      </c>
    </row>
    <row r="141" spans="1:13">
      <c r="A141" s="37">
        <v>24</v>
      </c>
      <c r="B141" s="38">
        <v>37045</v>
      </c>
      <c r="C141" s="39">
        <v>-2500850</v>
      </c>
      <c r="D141" s="39">
        <v>-1194967</v>
      </c>
      <c r="E141" s="48">
        <v>16</v>
      </c>
      <c r="F141" s="44">
        <v>1000000</v>
      </c>
      <c r="G141" s="37">
        <v>75.599999999999994</v>
      </c>
      <c r="H141" s="67">
        <f t="shared" si="8"/>
        <v>756000</v>
      </c>
      <c r="I141" s="37">
        <v>0</v>
      </c>
      <c r="J141" s="68">
        <f t="shared" si="9"/>
        <v>0</v>
      </c>
      <c r="K141" s="37">
        <v>0</v>
      </c>
      <c r="L141" s="70">
        <f t="shared" si="10"/>
        <v>0</v>
      </c>
      <c r="M141" s="69">
        <f t="shared" si="11"/>
        <v>0</v>
      </c>
    </row>
    <row r="142" spans="1:13">
      <c r="A142" s="37">
        <v>24</v>
      </c>
      <c r="B142" s="38">
        <v>37045</v>
      </c>
      <c r="C142" s="39">
        <v>-2500850</v>
      </c>
      <c r="D142" s="39">
        <v>-1194967</v>
      </c>
      <c r="E142" s="48">
        <v>110</v>
      </c>
      <c r="F142" s="44">
        <v>700000</v>
      </c>
      <c r="G142" s="37">
        <v>42.4</v>
      </c>
      <c r="H142" s="67">
        <f t="shared" si="8"/>
        <v>296800</v>
      </c>
      <c r="I142" s="37">
        <v>0.3</v>
      </c>
      <c r="J142" s="68">
        <f t="shared" si="9"/>
        <v>2100</v>
      </c>
      <c r="K142" s="37">
        <v>0.2</v>
      </c>
      <c r="L142" s="70">
        <f t="shared" si="10"/>
        <v>1400</v>
      </c>
      <c r="M142" s="69">
        <f t="shared" si="11"/>
        <v>3500</v>
      </c>
    </row>
    <row r="143" spans="1:13">
      <c r="A143" s="37">
        <v>24</v>
      </c>
      <c r="B143" s="38">
        <v>37045</v>
      </c>
      <c r="C143" s="39">
        <v>-2500850</v>
      </c>
      <c r="D143" s="39">
        <v>-1194967</v>
      </c>
      <c r="E143" s="48">
        <v>120</v>
      </c>
      <c r="F143" s="44">
        <v>600000</v>
      </c>
      <c r="G143" s="37">
        <v>60.6</v>
      </c>
      <c r="H143" s="67">
        <f t="shared" si="8"/>
        <v>363600</v>
      </c>
      <c r="I143" s="37">
        <v>0.1</v>
      </c>
      <c r="J143" s="68">
        <f t="shared" si="9"/>
        <v>600</v>
      </c>
      <c r="K143" s="37">
        <v>0.3</v>
      </c>
      <c r="L143" s="70">
        <f t="shared" si="10"/>
        <v>1800</v>
      </c>
      <c r="M143" s="69">
        <f t="shared" si="11"/>
        <v>2400</v>
      </c>
    </row>
    <row r="144" spans="1:13">
      <c r="A144" s="37">
        <v>24</v>
      </c>
      <c r="B144" s="38">
        <v>37045</v>
      </c>
      <c r="C144" s="39">
        <v>-2500850</v>
      </c>
      <c r="D144" s="39">
        <v>-1194967</v>
      </c>
      <c r="E144" s="48">
        <v>130</v>
      </c>
      <c r="F144" s="44">
        <v>490000</v>
      </c>
      <c r="G144" s="37">
        <v>56.4</v>
      </c>
      <c r="H144" s="67">
        <f t="shared" si="8"/>
        <v>276360</v>
      </c>
      <c r="I144" s="37">
        <v>3.1</v>
      </c>
      <c r="J144" s="68">
        <f t="shared" si="9"/>
        <v>15190</v>
      </c>
      <c r="K144" s="37">
        <v>0.1</v>
      </c>
      <c r="L144" s="70">
        <f t="shared" si="10"/>
        <v>490</v>
      </c>
      <c r="M144" s="69">
        <f t="shared" si="11"/>
        <v>15680</v>
      </c>
    </row>
    <row r="145" spans="1:13">
      <c r="A145" s="37">
        <v>24</v>
      </c>
      <c r="B145" s="38">
        <v>37045</v>
      </c>
      <c r="C145" s="39">
        <v>-2500850</v>
      </c>
      <c r="D145" s="39">
        <v>-1194967</v>
      </c>
      <c r="E145" s="48">
        <v>225</v>
      </c>
      <c r="F145" s="44">
        <v>210000</v>
      </c>
      <c r="G145" s="37">
        <v>53.3</v>
      </c>
      <c r="H145" s="67">
        <f t="shared" si="8"/>
        <v>111930</v>
      </c>
      <c r="I145" s="37">
        <v>14.3</v>
      </c>
      <c r="J145" s="68">
        <f t="shared" si="9"/>
        <v>30030</v>
      </c>
      <c r="K145" s="37">
        <v>0</v>
      </c>
      <c r="L145" s="70">
        <f t="shared" si="10"/>
        <v>0</v>
      </c>
      <c r="M145" s="69">
        <f t="shared" si="11"/>
        <v>30030</v>
      </c>
    </row>
    <row r="146" spans="1:13">
      <c r="A146" s="37">
        <v>24</v>
      </c>
      <c r="B146" s="38">
        <v>37045</v>
      </c>
      <c r="C146" s="39">
        <v>-2500850</v>
      </c>
      <c r="D146" s="39">
        <v>-1194967</v>
      </c>
      <c r="E146" s="48">
        <v>300</v>
      </c>
      <c r="F146" s="44">
        <v>130000</v>
      </c>
      <c r="G146" s="37">
        <v>45.9</v>
      </c>
      <c r="H146" s="67">
        <f t="shared" si="8"/>
        <v>59670</v>
      </c>
      <c r="I146" s="37">
        <v>12.9</v>
      </c>
      <c r="J146" s="68">
        <f t="shared" si="9"/>
        <v>16770</v>
      </c>
      <c r="K146" s="37">
        <v>0</v>
      </c>
      <c r="L146" s="70">
        <f t="shared" si="10"/>
        <v>0</v>
      </c>
      <c r="M146" s="69">
        <f t="shared" si="11"/>
        <v>16770</v>
      </c>
    </row>
    <row r="147" spans="1:13">
      <c r="A147" s="37">
        <v>25</v>
      </c>
      <c r="B147" s="38">
        <v>37046</v>
      </c>
      <c r="C147" s="39">
        <v>-2499683</v>
      </c>
      <c r="D147" s="39">
        <v>-908033</v>
      </c>
      <c r="E147" s="48">
        <v>14</v>
      </c>
      <c r="F147" s="44">
        <v>880000</v>
      </c>
      <c r="G147" s="37">
        <v>79.3</v>
      </c>
      <c r="H147" s="67">
        <f t="shared" si="8"/>
        <v>697840</v>
      </c>
      <c r="I147" s="37">
        <v>0.1</v>
      </c>
      <c r="J147" s="68">
        <f t="shared" si="9"/>
        <v>880</v>
      </c>
      <c r="K147" s="37">
        <v>0.7</v>
      </c>
      <c r="L147" s="70">
        <f t="shared" si="10"/>
        <v>6160</v>
      </c>
      <c r="M147" s="69">
        <f t="shared" si="11"/>
        <v>7040</v>
      </c>
    </row>
    <row r="148" spans="1:13">
      <c r="A148" s="37">
        <v>25</v>
      </c>
      <c r="B148" s="38">
        <v>37046</v>
      </c>
      <c r="C148" s="39">
        <v>-2499683</v>
      </c>
      <c r="D148" s="39">
        <v>-908033</v>
      </c>
      <c r="E148" s="48">
        <v>95</v>
      </c>
      <c r="F148" s="44">
        <v>990000</v>
      </c>
      <c r="G148" s="37">
        <v>70</v>
      </c>
      <c r="H148" s="67">
        <f t="shared" si="8"/>
        <v>693000</v>
      </c>
      <c r="I148" s="37">
        <v>0.1</v>
      </c>
      <c r="J148" s="68">
        <f t="shared" si="9"/>
        <v>990</v>
      </c>
      <c r="K148" s="37">
        <v>0.1</v>
      </c>
      <c r="L148" s="70">
        <f t="shared" si="10"/>
        <v>990</v>
      </c>
      <c r="M148" s="69">
        <f t="shared" si="11"/>
        <v>1980</v>
      </c>
    </row>
    <row r="149" spans="1:13">
      <c r="A149" s="37">
        <v>25</v>
      </c>
      <c r="B149" s="38">
        <v>37046</v>
      </c>
      <c r="C149" s="39">
        <v>-2499683</v>
      </c>
      <c r="D149" s="39">
        <v>-908033</v>
      </c>
      <c r="E149" s="48">
        <v>105</v>
      </c>
      <c r="F149" s="44">
        <v>830000</v>
      </c>
      <c r="G149" s="37">
        <v>53.9</v>
      </c>
      <c r="H149" s="67">
        <f t="shared" si="8"/>
        <v>447370</v>
      </c>
      <c r="I149" s="37">
        <v>0.4</v>
      </c>
      <c r="J149" s="68">
        <f t="shared" si="9"/>
        <v>3320</v>
      </c>
      <c r="K149" s="37">
        <v>0.2</v>
      </c>
      <c r="L149" s="70">
        <f t="shared" si="10"/>
        <v>1660</v>
      </c>
      <c r="M149" s="69">
        <f t="shared" si="11"/>
        <v>4980</v>
      </c>
    </row>
    <row r="150" spans="1:13">
      <c r="A150" s="37">
        <v>25</v>
      </c>
      <c r="B150" s="38">
        <v>37046</v>
      </c>
      <c r="C150" s="39">
        <v>-2499683</v>
      </c>
      <c r="D150" s="39">
        <v>-908033</v>
      </c>
      <c r="E150" s="48">
        <v>120</v>
      </c>
      <c r="F150" s="44">
        <v>680000</v>
      </c>
      <c r="G150" s="37">
        <v>48.8</v>
      </c>
      <c r="H150" s="67">
        <f t="shared" si="8"/>
        <v>331839.99999999994</v>
      </c>
      <c r="I150" s="37">
        <v>0.3</v>
      </c>
      <c r="J150" s="68">
        <f t="shared" si="9"/>
        <v>2040</v>
      </c>
      <c r="K150" s="37">
        <v>1.5</v>
      </c>
      <c r="L150" s="70">
        <f t="shared" si="10"/>
        <v>10200</v>
      </c>
      <c r="M150" s="69">
        <f t="shared" si="11"/>
        <v>12240</v>
      </c>
    </row>
    <row r="151" spans="1:13">
      <c r="A151" s="37">
        <v>25</v>
      </c>
      <c r="B151" s="38">
        <v>37046</v>
      </c>
      <c r="C151" s="39">
        <v>-2499683</v>
      </c>
      <c r="D151" s="39">
        <v>-908033</v>
      </c>
      <c r="E151" s="48">
        <v>200</v>
      </c>
      <c r="F151" s="44">
        <v>210000</v>
      </c>
      <c r="G151" s="37">
        <v>44.4</v>
      </c>
      <c r="H151" s="67">
        <f t="shared" si="8"/>
        <v>93240</v>
      </c>
      <c r="I151" s="37">
        <v>16.5</v>
      </c>
      <c r="J151" s="68">
        <f t="shared" si="9"/>
        <v>34650</v>
      </c>
      <c r="K151" s="37">
        <v>0</v>
      </c>
      <c r="L151" s="70">
        <f t="shared" si="10"/>
        <v>0</v>
      </c>
      <c r="M151" s="69">
        <f t="shared" si="11"/>
        <v>34650</v>
      </c>
    </row>
    <row r="152" spans="1:13">
      <c r="A152" s="37">
        <v>25</v>
      </c>
      <c r="B152" s="38">
        <v>37046</v>
      </c>
      <c r="C152" s="39">
        <v>-2499683</v>
      </c>
      <c r="D152" s="39">
        <v>-908033</v>
      </c>
      <c r="E152" s="48">
        <v>300</v>
      </c>
      <c r="F152" s="44">
        <v>140000</v>
      </c>
      <c r="G152" s="37">
        <v>41.6</v>
      </c>
      <c r="H152" s="67">
        <f t="shared" si="8"/>
        <v>58240</v>
      </c>
      <c r="I152" s="37">
        <v>11.2</v>
      </c>
      <c r="J152" s="68">
        <f t="shared" si="9"/>
        <v>15680</v>
      </c>
      <c r="K152" s="37">
        <v>0.1</v>
      </c>
      <c r="L152" s="70">
        <f t="shared" si="10"/>
        <v>140</v>
      </c>
      <c r="M152" s="69">
        <f t="shared" si="11"/>
        <v>15820</v>
      </c>
    </row>
    <row r="153" spans="1:13">
      <c r="A153" s="37">
        <v>25</v>
      </c>
      <c r="B153" s="38">
        <v>37046</v>
      </c>
      <c r="C153" s="39">
        <v>-2499683</v>
      </c>
      <c r="D153" s="39">
        <v>-908033</v>
      </c>
      <c r="E153" s="48">
        <v>500</v>
      </c>
      <c r="F153" s="44">
        <v>100000</v>
      </c>
      <c r="G153" s="37">
        <v>44.6</v>
      </c>
      <c r="H153" s="67">
        <f t="shared" si="8"/>
        <v>44600</v>
      </c>
      <c r="I153" s="37">
        <v>19.7</v>
      </c>
      <c r="J153" s="68">
        <f t="shared" si="9"/>
        <v>19700</v>
      </c>
      <c r="K153" s="37">
        <v>0</v>
      </c>
      <c r="L153" s="70">
        <f t="shared" si="10"/>
        <v>0</v>
      </c>
      <c r="M153" s="69">
        <f t="shared" si="11"/>
        <v>19700</v>
      </c>
    </row>
    <row r="154" spans="1:13">
      <c r="A154" s="37">
        <v>25</v>
      </c>
      <c r="B154" s="38">
        <v>37046</v>
      </c>
      <c r="C154" s="39">
        <v>-2499683</v>
      </c>
      <c r="D154" s="39">
        <v>-908033</v>
      </c>
      <c r="E154" s="48">
        <v>1000</v>
      </c>
      <c r="F154" s="44">
        <v>59000</v>
      </c>
      <c r="G154" s="37">
        <v>49.2</v>
      </c>
      <c r="H154" s="67">
        <f t="shared" si="8"/>
        <v>29028</v>
      </c>
      <c r="I154" s="37">
        <v>12.2</v>
      </c>
      <c r="J154" s="68">
        <f t="shared" si="9"/>
        <v>7198</v>
      </c>
      <c r="K154" s="37">
        <v>0.1</v>
      </c>
      <c r="L154" s="70">
        <f t="shared" si="10"/>
        <v>59</v>
      </c>
      <c r="M154" s="69">
        <f t="shared" si="11"/>
        <v>7257</v>
      </c>
    </row>
    <row r="155" spans="1:13">
      <c r="A155" s="37">
        <v>26</v>
      </c>
      <c r="B155" s="38">
        <v>37047</v>
      </c>
      <c r="C155" s="39">
        <v>-2500233</v>
      </c>
      <c r="D155" s="39">
        <v>-516417</v>
      </c>
      <c r="E155" s="48">
        <v>12</v>
      </c>
      <c r="F155" s="44">
        <v>1300000</v>
      </c>
      <c r="G155" s="37">
        <v>67.900000000000006</v>
      </c>
      <c r="H155" s="67">
        <f t="shared" si="8"/>
        <v>882700</v>
      </c>
      <c r="I155" s="37">
        <v>0.4</v>
      </c>
      <c r="J155" s="68">
        <f t="shared" si="9"/>
        <v>5200</v>
      </c>
      <c r="K155" s="37">
        <v>0.1</v>
      </c>
      <c r="L155" s="70">
        <f t="shared" si="10"/>
        <v>1300</v>
      </c>
      <c r="M155" s="69">
        <f t="shared" si="11"/>
        <v>6500</v>
      </c>
    </row>
    <row r="156" spans="1:13">
      <c r="A156" s="37">
        <v>26</v>
      </c>
      <c r="B156" s="38">
        <v>37047</v>
      </c>
      <c r="C156" s="39">
        <v>-2500233</v>
      </c>
      <c r="D156" s="39">
        <v>-516417</v>
      </c>
      <c r="E156" s="48">
        <v>78</v>
      </c>
      <c r="F156" s="44">
        <v>1100000</v>
      </c>
      <c r="G156" s="37">
        <v>69.2</v>
      </c>
      <c r="H156" s="67">
        <f t="shared" si="8"/>
        <v>761200</v>
      </c>
      <c r="I156" s="37">
        <v>0.2</v>
      </c>
      <c r="J156" s="68">
        <f t="shared" si="9"/>
        <v>2200</v>
      </c>
      <c r="K156" s="37">
        <v>0.1</v>
      </c>
      <c r="L156" s="70">
        <f t="shared" si="10"/>
        <v>1100</v>
      </c>
      <c r="M156" s="69">
        <f t="shared" si="11"/>
        <v>3300</v>
      </c>
    </row>
    <row r="157" spans="1:13">
      <c r="A157" s="37">
        <v>26</v>
      </c>
      <c r="B157" s="38">
        <v>37047</v>
      </c>
      <c r="C157" s="39">
        <v>-2500233</v>
      </c>
      <c r="D157" s="39">
        <v>-516417</v>
      </c>
      <c r="E157" s="48">
        <v>88</v>
      </c>
      <c r="F157" s="44">
        <v>730000</v>
      </c>
      <c r="G157" s="37">
        <v>65.7</v>
      </c>
      <c r="H157" s="67">
        <f t="shared" si="8"/>
        <v>479610</v>
      </c>
      <c r="I157" s="37">
        <v>1</v>
      </c>
      <c r="J157" s="68">
        <f t="shared" si="9"/>
        <v>7300</v>
      </c>
      <c r="K157" s="37">
        <v>0</v>
      </c>
      <c r="L157" s="70">
        <f t="shared" si="10"/>
        <v>0</v>
      </c>
      <c r="M157" s="69">
        <f t="shared" si="11"/>
        <v>7300</v>
      </c>
    </row>
    <row r="158" spans="1:13">
      <c r="A158" s="37">
        <v>26</v>
      </c>
      <c r="B158" s="38">
        <v>37047</v>
      </c>
      <c r="C158" s="39">
        <v>-2500233</v>
      </c>
      <c r="D158" s="39">
        <v>-516417</v>
      </c>
      <c r="E158" s="48">
        <v>95</v>
      </c>
      <c r="F158" s="44">
        <v>740000</v>
      </c>
      <c r="G158" s="37">
        <v>60.1</v>
      </c>
      <c r="H158" s="67">
        <f t="shared" si="8"/>
        <v>444740</v>
      </c>
      <c r="I158" s="37">
        <v>8.1</v>
      </c>
      <c r="J158" s="68">
        <f t="shared" si="9"/>
        <v>59940</v>
      </c>
      <c r="K158" s="37">
        <v>0</v>
      </c>
      <c r="L158" s="70">
        <f t="shared" si="10"/>
        <v>0</v>
      </c>
      <c r="M158" s="69">
        <f t="shared" si="11"/>
        <v>59940</v>
      </c>
    </row>
    <row r="159" spans="1:13">
      <c r="A159" s="37">
        <v>26</v>
      </c>
      <c r="B159" s="38">
        <v>37047</v>
      </c>
      <c r="C159" s="39">
        <v>-2500233</v>
      </c>
      <c r="D159" s="39">
        <v>-516417</v>
      </c>
      <c r="E159" s="48">
        <v>180</v>
      </c>
      <c r="F159" s="44">
        <v>230000</v>
      </c>
      <c r="G159" s="37">
        <v>56.3</v>
      </c>
      <c r="H159" s="67">
        <f t="shared" si="8"/>
        <v>129490</v>
      </c>
      <c r="I159" s="37">
        <v>18.600000000000001</v>
      </c>
      <c r="J159" s="68">
        <f t="shared" si="9"/>
        <v>42780</v>
      </c>
      <c r="K159" s="37">
        <v>0.5</v>
      </c>
      <c r="L159" s="70">
        <f t="shared" si="10"/>
        <v>1150</v>
      </c>
      <c r="M159" s="69">
        <f t="shared" si="11"/>
        <v>43930</v>
      </c>
    </row>
    <row r="160" spans="1:13">
      <c r="A160" s="37">
        <v>26</v>
      </c>
      <c r="B160" s="38">
        <v>37047</v>
      </c>
      <c r="C160" s="39">
        <v>-2500233</v>
      </c>
      <c r="D160" s="39">
        <v>-516417</v>
      </c>
      <c r="E160" s="48">
        <v>300</v>
      </c>
      <c r="F160" s="44">
        <v>170000</v>
      </c>
      <c r="G160" s="37">
        <v>45.2</v>
      </c>
      <c r="H160" s="67">
        <f t="shared" si="8"/>
        <v>76840.000000000015</v>
      </c>
      <c r="I160" s="37">
        <v>24.3</v>
      </c>
      <c r="J160" s="68">
        <f t="shared" si="9"/>
        <v>41310</v>
      </c>
      <c r="K160" s="37">
        <v>0.1</v>
      </c>
      <c r="L160" s="70">
        <f t="shared" si="10"/>
        <v>170</v>
      </c>
      <c r="M160" s="69">
        <f t="shared" si="11"/>
        <v>41480</v>
      </c>
    </row>
    <row r="161" spans="1:13">
      <c r="A161" s="37">
        <v>27</v>
      </c>
      <c r="B161" s="38">
        <v>37047</v>
      </c>
      <c r="C161" s="39">
        <v>-2499783</v>
      </c>
      <c r="D161" s="39">
        <v>-425117</v>
      </c>
      <c r="E161" s="48">
        <v>10</v>
      </c>
      <c r="F161" s="44">
        <v>1100000</v>
      </c>
      <c r="G161" s="37">
        <v>71.400000000000006</v>
      </c>
      <c r="H161" s="67">
        <f t="shared" si="8"/>
        <v>785400</v>
      </c>
      <c r="I161" s="37">
        <v>0.1</v>
      </c>
      <c r="J161" s="68">
        <f t="shared" si="9"/>
        <v>1100</v>
      </c>
      <c r="K161" s="37">
        <v>0.3</v>
      </c>
      <c r="L161" s="70">
        <f t="shared" si="10"/>
        <v>3300</v>
      </c>
      <c r="M161" s="69">
        <f t="shared" si="11"/>
        <v>4400</v>
      </c>
    </row>
    <row r="162" spans="1:13">
      <c r="A162" s="37">
        <v>27</v>
      </c>
      <c r="B162" s="38">
        <v>37047</v>
      </c>
      <c r="C162" s="39">
        <v>-2499783</v>
      </c>
      <c r="D162" s="39">
        <v>-425117</v>
      </c>
      <c r="E162" s="48">
        <v>50</v>
      </c>
      <c r="F162" s="44">
        <v>980000</v>
      </c>
      <c r="G162" s="37">
        <v>75.2</v>
      </c>
      <c r="H162" s="67">
        <f t="shared" si="8"/>
        <v>736960</v>
      </c>
      <c r="I162" s="37">
        <v>0</v>
      </c>
      <c r="J162" s="68">
        <f t="shared" si="9"/>
        <v>0</v>
      </c>
      <c r="K162" s="37">
        <v>0.4</v>
      </c>
      <c r="L162" s="70">
        <f t="shared" si="10"/>
        <v>3920</v>
      </c>
      <c r="M162" s="69">
        <f t="shared" si="11"/>
        <v>3920</v>
      </c>
    </row>
    <row r="163" spans="1:13">
      <c r="A163" s="37">
        <v>27</v>
      </c>
      <c r="B163" s="38">
        <v>37047</v>
      </c>
      <c r="C163" s="39">
        <v>-2499783</v>
      </c>
      <c r="D163" s="39">
        <v>-425117</v>
      </c>
      <c r="E163" s="48">
        <v>75</v>
      </c>
      <c r="F163" s="44">
        <v>920000</v>
      </c>
      <c r="G163" s="37">
        <v>71.2</v>
      </c>
      <c r="H163" s="67">
        <f t="shared" si="8"/>
        <v>655040</v>
      </c>
      <c r="I163" s="37">
        <v>4.9000000000000004</v>
      </c>
      <c r="J163" s="68">
        <f t="shared" si="9"/>
        <v>45080</v>
      </c>
      <c r="K163" s="37">
        <v>0.4</v>
      </c>
      <c r="L163" s="70">
        <f t="shared" si="10"/>
        <v>3680</v>
      </c>
      <c r="M163" s="69">
        <f t="shared" si="11"/>
        <v>48760</v>
      </c>
    </row>
    <row r="164" spans="1:13">
      <c r="A164" s="37">
        <v>27</v>
      </c>
      <c r="B164" s="38">
        <v>37047</v>
      </c>
      <c r="C164" s="39">
        <v>-2499783</v>
      </c>
      <c r="D164" s="39">
        <v>-425117</v>
      </c>
      <c r="E164" s="48">
        <v>80</v>
      </c>
      <c r="F164" s="44">
        <v>780000</v>
      </c>
      <c r="G164" s="37">
        <v>69.900000000000006</v>
      </c>
      <c r="H164" s="67">
        <f t="shared" si="8"/>
        <v>545220.00000000012</v>
      </c>
      <c r="I164" s="37">
        <v>1.6</v>
      </c>
      <c r="J164" s="68">
        <f t="shared" si="9"/>
        <v>12480</v>
      </c>
      <c r="K164" s="37">
        <v>0.4</v>
      </c>
      <c r="L164" s="70">
        <f t="shared" si="10"/>
        <v>3120</v>
      </c>
      <c r="M164" s="69">
        <f t="shared" si="11"/>
        <v>15600</v>
      </c>
    </row>
    <row r="165" spans="1:13">
      <c r="A165" s="37">
        <v>27</v>
      </c>
      <c r="B165" s="38">
        <v>37047</v>
      </c>
      <c r="C165" s="39">
        <v>-2499783</v>
      </c>
      <c r="D165" s="39">
        <v>-425117</v>
      </c>
      <c r="E165" s="48">
        <v>225</v>
      </c>
      <c r="F165" s="44">
        <v>210000</v>
      </c>
      <c r="G165" s="37">
        <v>49.6</v>
      </c>
      <c r="H165" s="67">
        <f t="shared" si="8"/>
        <v>104160</v>
      </c>
      <c r="I165" s="37">
        <v>21.7</v>
      </c>
      <c r="J165" s="68">
        <f t="shared" si="9"/>
        <v>45570</v>
      </c>
      <c r="K165" s="37">
        <v>0</v>
      </c>
      <c r="L165" s="70">
        <f t="shared" si="10"/>
        <v>0</v>
      </c>
      <c r="M165" s="69">
        <f t="shared" si="11"/>
        <v>45570</v>
      </c>
    </row>
    <row r="166" spans="1:13">
      <c r="A166" s="37">
        <v>27</v>
      </c>
      <c r="B166" s="38">
        <v>37047</v>
      </c>
      <c r="C166" s="39">
        <v>-2499783</v>
      </c>
      <c r="D166" s="39">
        <v>-425117</v>
      </c>
      <c r="E166" s="48">
        <v>300</v>
      </c>
      <c r="F166" s="44">
        <v>190000</v>
      </c>
      <c r="G166" s="37">
        <v>50.8</v>
      </c>
      <c r="H166" s="67">
        <f t="shared" si="8"/>
        <v>96520</v>
      </c>
      <c r="I166" s="37">
        <v>22.9</v>
      </c>
      <c r="J166" s="68">
        <f t="shared" si="9"/>
        <v>43510</v>
      </c>
      <c r="K166" s="37">
        <v>0</v>
      </c>
      <c r="L166" s="70">
        <f t="shared" si="10"/>
        <v>0</v>
      </c>
      <c r="M166" s="69">
        <f t="shared" si="11"/>
        <v>43510</v>
      </c>
    </row>
    <row r="167" spans="1:13">
      <c r="A167" s="37">
        <v>28</v>
      </c>
      <c r="B167" s="38">
        <v>37048</v>
      </c>
      <c r="C167" s="39">
        <v>-2499433</v>
      </c>
      <c r="D167" s="39">
        <v>-162700</v>
      </c>
      <c r="E167" s="48">
        <v>10</v>
      </c>
      <c r="F167" s="44">
        <v>1600000</v>
      </c>
      <c r="G167" s="37">
        <v>78</v>
      </c>
      <c r="H167" s="67">
        <f t="shared" si="8"/>
        <v>1248000</v>
      </c>
      <c r="I167" s="37">
        <v>0</v>
      </c>
      <c r="J167" s="68">
        <f t="shared" si="9"/>
        <v>0</v>
      </c>
      <c r="K167" s="37">
        <v>0.1</v>
      </c>
      <c r="L167" s="70">
        <f t="shared" si="10"/>
        <v>1600</v>
      </c>
      <c r="M167" s="69">
        <f t="shared" si="11"/>
        <v>1600</v>
      </c>
    </row>
    <row r="168" spans="1:13">
      <c r="A168" s="37">
        <v>28</v>
      </c>
      <c r="B168" s="38">
        <v>37048</v>
      </c>
      <c r="C168" s="39">
        <v>-2499433</v>
      </c>
      <c r="D168" s="39">
        <v>-162700</v>
      </c>
      <c r="E168" s="48">
        <v>55</v>
      </c>
      <c r="F168" s="44">
        <v>1600000</v>
      </c>
      <c r="G168" s="37">
        <v>70.099999999999994</v>
      </c>
      <c r="H168" s="67">
        <f t="shared" si="8"/>
        <v>1121599.9999999998</v>
      </c>
      <c r="I168" s="37">
        <v>0.9</v>
      </c>
      <c r="J168" s="68">
        <f t="shared" si="9"/>
        <v>14400</v>
      </c>
      <c r="K168" s="37">
        <v>0</v>
      </c>
      <c r="L168" s="70">
        <f t="shared" si="10"/>
        <v>0</v>
      </c>
      <c r="M168" s="69">
        <f t="shared" si="11"/>
        <v>14400</v>
      </c>
    </row>
    <row r="169" spans="1:13">
      <c r="A169" s="37">
        <v>28</v>
      </c>
      <c r="B169" s="38">
        <v>37048</v>
      </c>
      <c r="C169" s="39">
        <v>-2499433</v>
      </c>
      <c r="D169" s="39">
        <v>-162700</v>
      </c>
      <c r="E169" s="48">
        <v>68</v>
      </c>
      <c r="F169" s="44">
        <v>1700000</v>
      </c>
      <c r="G169" s="37">
        <v>68.599999999999994</v>
      </c>
      <c r="H169" s="67">
        <f t="shared" si="8"/>
        <v>1166199.9999999998</v>
      </c>
      <c r="I169" s="37">
        <v>0.2</v>
      </c>
      <c r="J169" s="68">
        <f t="shared" si="9"/>
        <v>3400</v>
      </c>
      <c r="K169" s="37">
        <v>0</v>
      </c>
      <c r="L169" s="70">
        <f t="shared" si="10"/>
        <v>0</v>
      </c>
      <c r="M169" s="69">
        <f t="shared" si="11"/>
        <v>3400</v>
      </c>
    </row>
    <row r="170" spans="1:13">
      <c r="A170" s="37">
        <v>28</v>
      </c>
      <c r="B170" s="38">
        <v>37048</v>
      </c>
      <c r="C170" s="39">
        <v>-2499433</v>
      </c>
      <c r="D170" s="39">
        <v>-162700</v>
      </c>
      <c r="E170" s="48">
        <v>85</v>
      </c>
      <c r="F170" s="44">
        <v>680000</v>
      </c>
      <c r="G170" s="37">
        <v>76.2</v>
      </c>
      <c r="H170" s="67">
        <f t="shared" si="8"/>
        <v>518160</v>
      </c>
      <c r="I170" s="37">
        <v>6.1</v>
      </c>
      <c r="J170" s="68">
        <f t="shared" si="9"/>
        <v>41479.999999999993</v>
      </c>
      <c r="K170" s="37">
        <v>0.1</v>
      </c>
      <c r="L170" s="70">
        <f t="shared" si="10"/>
        <v>680</v>
      </c>
      <c r="M170" s="69">
        <f t="shared" si="11"/>
        <v>42159.999999999993</v>
      </c>
    </row>
    <row r="171" spans="1:13">
      <c r="A171" s="37">
        <v>28</v>
      </c>
      <c r="B171" s="38">
        <v>37048</v>
      </c>
      <c r="C171" s="39">
        <v>-2499433</v>
      </c>
      <c r="D171" s="39">
        <v>-162700</v>
      </c>
      <c r="E171" s="48">
        <v>200</v>
      </c>
      <c r="F171" s="44">
        <v>330000</v>
      </c>
      <c r="G171" s="37">
        <v>51.4</v>
      </c>
      <c r="H171" s="67">
        <f t="shared" si="8"/>
        <v>169620</v>
      </c>
      <c r="I171" s="37">
        <v>22</v>
      </c>
      <c r="J171" s="68">
        <f t="shared" si="9"/>
        <v>72600</v>
      </c>
      <c r="K171" s="37">
        <v>0.1</v>
      </c>
      <c r="L171" s="70">
        <f t="shared" si="10"/>
        <v>330</v>
      </c>
      <c r="M171" s="69">
        <f t="shared" si="11"/>
        <v>72930</v>
      </c>
    </row>
    <row r="172" spans="1:13">
      <c r="A172" s="37">
        <v>28</v>
      </c>
      <c r="B172" s="38">
        <v>37048</v>
      </c>
      <c r="C172" s="39">
        <v>-2499433</v>
      </c>
      <c r="D172" s="39">
        <v>-162700</v>
      </c>
      <c r="E172" s="48">
        <v>300</v>
      </c>
      <c r="F172" s="44">
        <v>280000</v>
      </c>
      <c r="G172" s="37">
        <v>45.6</v>
      </c>
      <c r="H172" s="67">
        <f t="shared" si="8"/>
        <v>127680</v>
      </c>
      <c r="I172" s="37">
        <v>22.4</v>
      </c>
      <c r="J172" s="68">
        <f t="shared" si="9"/>
        <v>62720</v>
      </c>
      <c r="K172" s="37">
        <v>0.1</v>
      </c>
      <c r="L172" s="70">
        <f t="shared" si="10"/>
        <v>280</v>
      </c>
      <c r="M172" s="69">
        <f t="shared" si="11"/>
        <v>63000</v>
      </c>
    </row>
    <row r="173" spans="1:13">
      <c r="A173" s="41">
        <v>29</v>
      </c>
      <c r="B173" s="42">
        <v>37049</v>
      </c>
      <c r="C173" s="43">
        <v>-2556217</v>
      </c>
      <c r="D173" s="43">
        <v>117167</v>
      </c>
      <c r="E173" s="49">
        <v>6</v>
      </c>
      <c r="F173" s="45">
        <v>1200000</v>
      </c>
      <c r="G173" s="41">
        <v>71.400000000000006</v>
      </c>
      <c r="H173" s="67">
        <f t="shared" si="8"/>
        <v>856800</v>
      </c>
      <c r="I173" s="41">
        <v>0.1</v>
      </c>
      <c r="J173" s="68">
        <f t="shared" si="9"/>
        <v>1200</v>
      </c>
      <c r="K173" s="41">
        <v>0</v>
      </c>
      <c r="L173" s="70">
        <f t="shared" si="10"/>
        <v>0</v>
      </c>
      <c r="M173" s="69">
        <f t="shared" si="11"/>
        <v>1200</v>
      </c>
    </row>
    <row r="174" spans="1:13">
      <c r="A174" s="41">
        <v>29</v>
      </c>
      <c r="B174" s="42">
        <v>37049</v>
      </c>
      <c r="C174" s="43">
        <v>-2556217</v>
      </c>
      <c r="D174" s="43">
        <v>117167</v>
      </c>
      <c r="E174" s="49">
        <v>40</v>
      </c>
      <c r="F174" s="45">
        <v>1100000</v>
      </c>
      <c r="G174" s="41">
        <v>72.2</v>
      </c>
      <c r="H174" s="67">
        <f t="shared" si="8"/>
        <v>794200</v>
      </c>
      <c r="I174" s="41">
        <v>0.4</v>
      </c>
      <c r="J174" s="68">
        <f t="shared" si="9"/>
        <v>4400</v>
      </c>
      <c r="K174" s="41">
        <v>0</v>
      </c>
      <c r="L174" s="70">
        <f t="shared" si="10"/>
        <v>0</v>
      </c>
      <c r="M174" s="69">
        <f t="shared" si="11"/>
        <v>4400</v>
      </c>
    </row>
    <row r="175" spans="1:13">
      <c r="A175" s="41">
        <v>29</v>
      </c>
      <c r="B175" s="42">
        <v>37049</v>
      </c>
      <c r="C175" s="43">
        <v>-2556217</v>
      </c>
      <c r="D175" s="43">
        <v>117167</v>
      </c>
      <c r="E175" s="49">
        <v>48</v>
      </c>
      <c r="F175" s="45">
        <v>1200000</v>
      </c>
      <c r="G175" s="41">
        <v>63.7</v>
      </c>
      <c r="H175" s="67">
        <f t="shared" si="8"/>
        <v>764400</v>
      </c>
      <c r="I175" s="41">
        <v>0.6</v>
      </c>
      <c r="J175" s="68">
        <f t="shared" si="9"/>
        <v>7200</v>
      </c>
      <c r="K175" s="41">
        <v>0.2</v>
      </c>
      <c r="L175" s="70">
        <f t="shared" si="10"/>
        <v>2400</v>
      </c>
      <c r="M175" s="69">
        <f t="shared" si="11"/>
        <v>9600</v>
      </c>
    </row>
    <row r="176" spans="1:13">
      <c r="A176" s="41">
        <v>29</v>
      </c>
      <c r="B176" s="42">
        <v>37049</v>
      </c>
      <c r="C176" s="43">
        <v>-2556217</v>
      </c>
      <c r="D176" s="43">
        <v>117167</v>
      </c>
      <c r="E176" s="49">
        <v>65</v>
      </c>
      <c r="F176" s="45">
        <v>960000</v>
      </c>
      <c r="G176" s="41">
        <v>62.3</v>
      </c>
      <c r="H176" s="67">
        <f t="shared" si="8"/>
        <v>598080</v>
      </c>
      <c r="I176" s="41">
        <v>2.1</v>
      </c>
      <c r="J176" s="68">
        <f t="shared" si="9"/>
        <v>20160</v>
      </c>
      <c r="K176" s="41">
        <v>0.4</v>
      </c>
      <c r="L176" s="70">
        <f t="shared" si="10"/>
        <v>3840</v>
      </c>
      <c r="M176" s="69">
        <f t="shared" si="11"/>
        <v>24000</v>
      </c>
    </row>
    <row r="177" spans="1:13">
      <c r="A177" s="41">
        <v>29</v>
      </c>
      <c r="B177" s="42">
        <v>37049</v>
      </c>
      <c r="C177" s="43">
        <v>-2556217</v>
      </c>
      <c r="D177" s="43">
        <v>117167</v>
      </c>
      <c r="E177" s="49">
        <v>150</v>
      </c>
      <c r="F177" s="45">
        <v>310000</v>
      </c>
      <c r="G177" s="41">
        <v>56</v>
      </c>
      <c r="H177" s="67">
        <f t="shared" si="8"/>
        <v>173600</v>
      </c>
      <c r="I177" s="41">
        <v>21.3</v>
      </c>
      <c r="J177" s="68">
        <f t="shared" si="9"/>
        <v>66030</v>
      </c>
      <c r="K177" s="41">
        <v>0.2</v>
      </c>
      <c r="L177" s="70">
        <f t="shared" si="10"/>
        <v>620</v>
      </c>
      <c r="M177" s="69">
        <f t="shared" si="11"/>
        <v>66650</v>
      </c>
    </row>
    <row r="178" spans="1:13">
      <c r="A178" s="41">
        <v>29</v>
      </c>
      <c r="B178" s="42">
        <v>37049</v>
      </c>
      <c r="C178" s="43">
        <v>-2556217</v>
      </c>
      <c r="D178" s="43">
        <v>117167</v>
      </c>
      <c r="E178" s="49">
        <v>300</v>
      </c>
      <c r="F178" s="45">
        <v>180000</v>
      </c>
      <c r="G178" s="41">
        <v>50.7</v>
      </c>
      <c r="H178" s="67">
        <f t="shared" si="8"/>
        <v>91260</v>
      </c>
      <c r="I178" s="41">
        <v>22.5</v>
      </c>
      <c r="J178" s="68">
        <f t="shared" si="9"/>
        <v>40500</v>
      </c>
      <c r="K178" s="41">
        <v>0.1</v>
      </c>
      <c r="L178" s="70">
        <f t="shared" si="10"/>
        <v>180</v>
      </c>
      <c r="M178" s="69">
        <f t="shared" si="11"/>
        <v>40680</v>
      </c>
    </row>
    <row r="179" spans="1:13">
      <c r="A179" s="41">
        <v>29</v>
      </c>
      <c r="B179" s="42">
        <v>37049</v>
      </c>
      <c r="C179" s="43">
        <v>-2556217</v>
      </c>
      <c r="D179" s="43">
        <v>117167</v>
      </c>
      <c r="E179" s="49">
        <v>500</v>
      </c>
      <c r="F179" s="45">
        <v>150000</v>
      </c>
      <c r="G179" s="41">
        <v>44</v>
      </c>
      <c r="H179" s="67">
        <f t="shared" si="8"/>
        <v>66000</v>
      </c>
      <c r="I179" s="41">
        <v>30.2</v>
      </c>
      <c r="J179" s="68">
        <f t="shared" si="9"/>
        <v>45300</v>
      </c>
      <c r="K179" s="41">
        <v>0</v>
      </c>
      <c r="L179" s="70">
        <f t="shared" si="10"/>
        <v>0</v>
      </c>
      <c r="M179" s="69">
        <f t="shared" si="11"/>
        <v>45300</v>
      </c>
    </row>
    <row r="180" spans="1:13">
      <c r="A180" s="41">
        <v>29</v>
      </c>
      <c r="B180" s="42">
        <v>37049</v>
      </c>
      <c r="C180" s="43">
        <v>-2556217</v>
      </c>
      <c r="D180" s="43">
        <v>117167</v>
      </c>
      <c r="E180" s="49">
        <v>1000</v>
      </c>
      <c r="F180" s="45">
        <v>75000</v>
      </c>
      <c r="G180" s="41">
        <v>50</v>
      </c>
      <c r="H180" s="67">
        <f t="shared" si="8"/>
        <v>37500</v>
      </c>
      <c r="I180" s="41">
        <v>20.399999999999999</v>
      </c>
      <c r="J180" s="68">
        <f t="shared" si="9"/>
        <v>15300</v>
      </c>
      <c r="K180" s="41">
        <v>0</v>
      </c>
      <c r="L180" s="70">
        <f t="shared" si="10"/>
        <v>0</v>
      </c>
      <c r="M180" s="69">
        <f t="shared" si="11"/>
        <v>15300</v>
      </c>
    </row>
    <row r="181" spans="1:13">
      <c r="A181" s="41">
        <v>30</v>
      </c>
      <c r="B181" s="42">
        <v>37049</v>
      </c>
      <c r="C181" s="43">
        <v>-2598133</v>
      </c>
      <c r="D181" s="43">
        <v>205850</v>
      </c>
      <c r="E181" s="49">
        <v>9</v>
      </c>
      <c r="F181" s="45">
        <v>1000000</v>
      </c>
      <c r="G181" s="41">
        <v>72.099999999999994</v>
      </c>
      <c r="H181" s="67">
        <f t="shared" si="8"/>
        <v>721000</v>
      </c>
      <c r="I181" s="41">
        <v>0.2</v>
      </c>
      <c r="J181" s="68">
        <f t="shared" si="9"/>
        <v>2000</v>
      </c>
      <c r="K181" s="41">
        <v>0</v>
      </c>
      <c r="L181" s="70">
        <f t="shared" si="10"/>
        <v>0</v>
      </c>
      <c r="M181" s="69">
        <f t="shared" si="11"/>
        <v>2000</v>
      </c>
    </row>
    <row r="182" spans="1:13">
      <c r="A182" s="41">
        <v>30</v>
      </c>
      <c r="B182" s="42">
        <v>37049</v>
      </c>
      <c r="C182" s="43">
        <v>-2598133</v>
      </c>
      <c r="D182" s="43">
        <v>205850</v>
      </c>
      <c r="E182" s="49">
        <v>45</v>
      </c>
      <c r="F182" s="45">
        <v>1300000</v>
      </c>
      <c r="G182" s="41">
        <v>68.099999999999994</v>
      </c>
      <c r="H182" s="67">
        <f t="shared" si="8"/>
        <v>885300</v>
      </c>
      <c r="I182" s="41">
        <v>0.3</v>
      </c>
      <c r="J182" s="68">
        <f t="shared" si="9"/>
        <v>3900</v>
      </c>
      <c r="K182" s="41">
        <v>0</v>
      </c>
      <c r="L182" s="70">
        <f t="shared" si="10"/>
        <v>0</v>
      </c>
      <c r="M182" s="69">
        <f t="shared" si="11"/>
        <v>3900</v>
      </c>
    </row>
    <row r="183" spans="1:13">
      <c r="A183" s="41">
        <v>30</v>
      </c>
      <c r="B183" s="42">
        <v>37049</v>
      </c>
      <c r="C183" s="43">
        <v>-2598133</v>
      </c>
      <c r="D183" s="43">
        <v>205850</v>
      </c>
      <c r="E183" s="49">
        <v>65</v>
      </c>
      <c r="F183" s="45">
        <v>1200000</v>
      </c>
      <c r="G183" s="41">
        <v>71.7</v>
      </c>
      <c r="H183" s="67">
        <f t="shared" si="8"/>
        <v>860400</v>
      </c>
      <c r="I183" s="41">
        <v>0.3</v>
      </c>
      <c r="J183" s="68">
        <f t="shared" si="9"/>
        <v>3600</v>
      </c>
      <c r="K183" s="41">
        <v>0.4</v>
      </c>
      <c r="L183" s="70">
        <f t="shared" si="10"/>
        <v>4800</v>
      </c>
      <c r="M183" s="69">
        <f t="shared" si="11"/>
        <v>8400</v>
      </c>
    </row>
    <row r="184" spans="1:13">
      <c r="A184" s="41">
        <v>30</v>
      </c>
      <c r="B184" s="42">
        <v>37049</v>
      </c>
      <c r="C184" s="43">
        <v>-2598133</v>
      </c>
      <c r="D184" s="43">
        <v>205850</v>
      </c>
      <c r="E184" s="49">
        <v>90</v>
      </c>
      <c r="F184" s="45">
        <v>940000</v>
      </c>
      <c r="G184" s="41">
        <v>68.7</v>
      </c>
      <c r="H184" s="67">
        <f t="shared" si="8"/>
        <v>645780</v>
      </c>
      <c r="I184" s="41">
        <v>3.8</v>
      </c>
      <c r="J184" s="68">
        <f t="shared" si="9"/>
        <v>35720</v>
      </c>
      <c r="K184" s="41"/>
      <c r="L184" s="70">
        <f t="shared" si="10"/>
        <v>0</v>
      </c>
      <c r="M184" s="69">
        <f t="shared" si="11"/>
        <v>35720</v>
      </c>
    </row>
    <row r="185" spans="1:13">
      <c r="A185" s="41">
        <v>30</v>
      </c>
      <c r="B185" s="42">
        <v>37049</v>
      </c>
      <c r="C185" s="43">
        <v>-2598133</v>
      </c>
      <c r="D185" s="43">
        <v>205850</v>
      </c>
      <c r="E185" s="49">
        <v>225</v>
      </c>
      <c r="F185" s="45">
        <v>270000</v>
      </c>
      <c r="G185" s="41">
        <v>51.3</v>
      </c>
      <c r="H185" s="67">
        <f t="shared" si="8"/>
        <v>138510</v>
      </c>
      <c r="I185" s="41">
        <v>24.3</v>
      </c>
      <c r="J185" s="68">
        <f t="shared" si="9"/>
        <v>65610</v>
      </c>
      <c r="K185" s="41">
        <v>0.1</v>
      </c>
      <c r="L185" s="70">
        <f t="shared" si="10"/>
        <v>270</v>
      </c>
      <c r="M185" s="69">
        <f t="shared" si="11"/>
        <v>65880</v>
      </c>
    </row>
    <row r="186" spans="1:13">
      <c r="A186" s="41">
        <v>30</v>
      </c>
      <c r="B186" s="42">
        <v>37049</v>
      </c>
      <c r="C186" s="43">
        <v>-2598133</v>
      </c>
      <c r="D186" s="43">
        <v>205850</v>
      </c>
      <c r="E186" s="49">
        <v>300</v>
      </c>
      <c r="F186" s="45">
        <v>240000</v>
      </c>
      <c r="G186" s="41">
        <v>46.2</v>
      </c>
      <c r="H186" s="67">
        <f t="shared" si="8"/>
        <v>110880</v>
      </c>
      <c r="I186" s="41">
        <v>23.8</v>
      </c>
      <c r="J186" s="68">
        <f t="shared" si="9"/>
        <v>57120</v>
      </c>
      <c r="K186" s="41">
        <v>0</v>
      </c>
      <c r="L186" s="70">
        <f t="shared" si="10"/>
        <v>0</v>
      </c>
      <c r="M186" s="69">
        <f t="shared" si="11"/>
        <v>57120</v>
      </c>
    </row>
    <row r="187" spans="1:13">
      <c r="A187" s="41">
        <v>31</v>
      </c>
      <c r="B187" s="42">
        <v>37050</v>
      </c>
      <c r="C187" s="43">
        <v>-2702800</v>
      </c>
      <c r="D187" s="43">
        <v>426967</v>
      </c>
      <c r="E187" s="49">
        <v>10</v>
      </c>
      <c r="F187" s="45">
        <v>1200000</v>
      </c>
      <c r="G187" s="41">
        <v>76.2</v>
      </c>
      <c r="H187" s="67">
        <f t="shared" si="8"/>
        <v>914400</v>
      </c>
      <c r="I187" s="41">
        <v>0</v>
      </c>
      <c r="J187" s="68">
        <f t="shared" si="9"/>
        <v>0</v>
      </c>
      <c r="K187" s="41">
        <v>0.4</v>
      </c>
      <c r="L187" s="70">
        <f t="shared" si="10"/>
        <v>4800</v>
      </c>
      <c r="M187" s="69">
        <f t="shared" si="11"/>
        <v>4800</v>
      </c>
    </row>
    <row r="188" spans="1:13">
      <c r="A188" s="41">
        <v>31</v>
      </c>
      <c r="B188" s="42">
        <v>37050</v>
      </c>
      <c r="C188" s="43">
        <v>-2702800</v>
      </c>
      <c r="D188" s="43">
        <v>426967</v>
      </c>
      <c r="E188" s="49">
        <v>65</v>
      </c>
      <c r="F188" s="45">
        <v>1700000</v>
      </c>
      <c r="G188" s="41">
        <v>73.599999999999994</v>
      </c>
      <c r="H188" s="67">
        <f t="shared" si="8"/>
        <v>1251199.9999999998</v>
      </c>
      <c r="I188" s="41">
        <v>0.3</v>
      </c>
      <c r="J188" s="68">
        <f t="shared" si="9"/>
        <v>5100</v>
      </c>
      <c r="K188" s="41">
        <v>0.9</v>
      </c>
      <c r="L188" s="70">
        <f t="shared" si="10"/>
        <v>15300</v>
      </c>
      <c r="M188" s="69">
        <f t="shared" si="11"/>
        <v>20400</v>
      </c>
    </row>
    <row r="189" spans="1:13">
      <c r="A189" s="41">
        <v>31</v>
      </c>
      <c r="B189" s="42">
        <v>37050</v>
      </c>
      <c r="C189" s="43">
        <v>-2702800</v>
      </c>
      <c r="D189" s="43">
        <v>426967</v>
      </c>
      <c r="E189" s="49">
        <v>80</v>
      </c>
      <c r="F189" s="45">
        <v>580000</v>
      </c>
      <c r="G189" s="41">
        <v>69.5</v>
      </c>
      <c r="H189" s="67">
        <f t="shared" si="8"/>
        <v>403100</v>
      </c>
      <c r="I189" s="41">
        <v>1.4</v>
      </c>
      <c r="J189" s="68">
        <f t="shared" si="9"/>
        <v>8120</v>
      </c>
      <c r="K189" s="41">
        <v>0.1</v>
      </c>
      <c r="L189" s="70">
        <f t="shared" si="10"/>
        <v>580</v>
      </c>
      <c r="M189" s="69">
        <f t="shared" si="11"/>
        <v>8700</v>
      </c>
    </row>
    <row r="190" spans="1:13">
      <c r="A190" s="41">
        <v>31</v>
      </c>
      <c r="B190" s="42">
        <v>37050</v>
      </c>
      <c r="C190" s="43">
        <v>-2702800</v>
      </c>
      <c r="D190" s="43">
        <v>426967</v>
      </c>
      <c r="E190" s="49">
        <v>100</v>
      </c>
      <c r="F190" s="45">
        <v>600000</v>
      </c>
      <c r="G190" s="41">
        <v>64.7</v>
      </c>
      <c r="H190" s="67">
        <f t="shared" si="8"/>
        <v>388200</v>
      </c>
      <c r="I190" s="41">
        <v>8.4</v>
      </c>
      <c r="J190" s="68">
        <f t="shared" si="9"/>
        <v>50400</v>
      </c>
      <c r="K190" s="41">
        <v>0.5</v>
      </c>
      <c r="L190" s="70">
        <f t="shared" si="10"/>
        <v>3000</v>
      </c>
      <c r="M190" s="69">
        <f t="shared" si="11"/>
        <v>53400</v>
      </c>
    </row>
    <row r="191" spans="1:13">
      <c r="A191" s="41">
        <v>31</v>
      </c>
      <c r="B191" s="42">
        <v>37050</v>
      </c>
      <c r="C191" s="43">
        <v>-2702800</v>
      </c>
      <c r="D191" s="43">
        <v>426967</v>
      </c>
      <c r="E191" s="49">
        <v>150</v>
      </c>
      <c r="F191" s="45">
        <v>310000</v>
      </c>
      <c r="G191" s="41">
        <v>56.6</v>
      </c>
      <c r="H191" s="67">
        <f t="shared" si="8"/>
        <v>175460</v>
      </c>
      <c r="I191" s="41">
        <v>16.100000000000001</v>
      </c>
      <c r="J191" s="68">
        <f t="shared" si="9"/>
        <v>49910</v>
      </c>
      <c r="K191" s="41">
        <v>0.8</v>
      </c>
      <c r="L191" s="70">
        <f t="shared" si="10"/>
        <v>2480</v>
      </c>
      <c r="M191" s="69">
        <f t="shared" si="11"/>
        <v>52390</v>
      </c>
    </row>
    <row r="192" spans="1:13">
      <c r="A192" s="41">
        <v>31</v>
      </c>
      <c r="B192" s="42">
        <v>37050</v>
      </c>
      <c r="C192" s="43">
        <v>-2702800</v>
      </c>
      <c r="D192" s="43">
        <v>426967</v>
      </c>
      <c r="E192" s="49">
        <v>300</v>
      </c>
      <c r="F192" s="45">
        <v>180000</v>
      </c>
      <c r="G192" s="41">
        <v>48.9</v>
      </c>
      <c r="H192" s="67">
        <f t="shared" si="8"/>
        <v>88020</v>
      </c>
      <c r="I192" s="41">
        <v>18.5</v>
      </c>
      <c r="J192" s="68">
        <f t="shared" si="9"/>
        <v>33300</v>
      </c>
      <c r="K192" s="41">
        <v>0.9</v>
      </c>
      <c r="L192" s="70">
        <f t="shared" si="10"/>
        <v>1620</v>
      </c>
      <c r="M192" s="69">
        <f t="shared" si="11"/>
        <v>34920</v>
      </c>
    </row>
    <row r="193" spans="1:13">
      <c r="A193" s="41">
        <v>32</v>
      </c>
      <c r="B193" s="42">
        <v>37050</v>
      </c>
      <c r="C193" s="43">
        <v>-2745167</v>
      </c>
      <c r="D193" s="43">
        <v>515217</v>
      </c>
      <c r="E193" s="49">
        <v>10</v>
      </c>
      <c r="F193" s="45">
        <v>980000</v>
      </c>
      <c r="G193" s="41">
        <v>80.3</v>
      </c>
      <c r="H193" s="67">
        <f t="shared" si="8"/>
        <v>786940</v>
      </c>
      <c r="I193" s="41">
        <v>0.2</v>
      </c>
      <c r="J193" s="68">
        <f t="shared" si="9"/>
        <v>1960</v>
      </c>
      <c r="K193" s="41">
        <v>0.2</v>
      </c>
      <c r="L193" s="70">
        <f t="shared" si="10"/>
        <v>1960</v>
      </c>
      <c r="M193" s="69">
        <f t="shared" si="11"/>
        <v>3920</v>
      </c>
    </row>
    <row r="194" spans="1:13">
      <c r="A194" s="41">
        <v>32</v>
      </c>
      <c r="B194" s="42">
        <v>37050</v>
      </c>
      <c r="C194" s="43">
        <v>-2745167</v>
      </c>
      <c r="D194" s="43">
        <v>515217</v>
      </c>
      <c r="E194" s="49">
        <v>65</v>
      </c>
      <c r="F194" s="45">
        <v>910000</v>
      </c>
      <c r="G194" s="41">
        <v>67.900000000000006</v>
      </c>
      <c r="H194" s="67">
        <f t="shared" si="8"/>
        <v>617890.00000000012</v>
      </c>
      <c r="I194" s="41">
        <v>0.2</v>
      </c>
      <c r="J194" s="68">
        <f t="shared" si="9"/>
        <v>1820</v>
      </c>
      <c r="K194" s="41"/>
      <c r="L194" s="70">
        <f t="shared" si="10"/>
        <v>0</v>
      </c>
      <c r="M194" s="69">
        <f t="shared" si="11"/>
        <v>1820</v>
      </c>
    </row>
    <row r="195" spans="1:13">
      <c r="A195" s="41">
        <v>32</v>
      </c>
      <c r="B195" s="42">
        <v>37050</v>
      </c>
      <c r="C195" s="43">
        <v>-2745167</v>
      </c>
      <c r="D195" s="43">
        <v>515217</v>
      </c>
      <c r="E195" s="49">
        <v>80</v>
      </c>
      <c r="F195" s="45">
        <v>520000</v>
      </c>
      <c r="G195" s="41">
        <v>64.900000000000006</v>
      </c>
      <c r="H195" s="67">
        <f t="shared" si="8"/>
        <v>337480</v>
      </c>
      <c r="I195" s="41">
        <v>1.2</v>
      </c>
      <c r="J195" s="68">
        <f t="shared" si="9"/>
        <v>6240</v>
      </c>
      <c r="K195" s="41">
        <v>0.5</v>
      </c>
      <c r="L195" s="70">
        <f t="shared" si="10"/>
        <v>2600</v>
      </c>
      <c r="M195" s="69">
        <f t="shared" si="11"/>
        <v>8840</v>
      </c>
    </row>
    <row r="196" spans="1:13">
      <c r="A196" s="41">
        <v>32</v>
      </c>
      <c r="B196" s="42">
        <v>37050</v>
      </c>
      <c r="C196" s="43">
        <v>-2745167</v>
      </c>
      <c r="D196" s="43">
        <v>515217</v>
      </c>
      <c r="E196" s="49">
        <v>120</v>
      </c>
      <c r="F196" s="45">
        <v>310000</v>
      </c>
      <c r="G196" s="41">
        <v>54.6</v>
      </c>
      <c r="H196" s="67">
        <f t="shared" si="8"/>
        <v>169260</v>
      </c>
      <c r="I196" s="41">
        <v>17.5</v>
      </c>
      <c r="J196" s="68">
        <f t="shared" si="9"/>
        <v>54250</v>
      </c>
      <c r="K196" s="41">
        <v>0</v>
      </c>
      <c r="L196" s="70">
        <f t="shared" si="10"/>
        <v>0</v>
      </c>
      <c r="M196" s="69">
        <f t="shared" si="11"/>
        <v>54250</v>
      </c>
    </row>
    <row r="197" spans="1:13">
      <c r="A197" s="41">
        <v>32</v>
      </c>
      <c r="B197" s="42">
        <v>37050</v>
      </c>
      <c r="C197" s="43">
        <v>-2745167</v>
      </c>
      <c r="D197" s="43">
        <v>515217</v>
      </c>
      <c r="E197" s="49">
        <v>200</v>
      </c>
      <c r="F197" s="45">
        <v>270000</v>
      </c>
      <c r="G197" s="41">
        <v>51.7</v>
      </c>
      <c r="H197" s="67">
        <f t="shared" si="8"/>
        <v>139590</v>
      </c>
      <c r="I197" s="41">
        <v>14.6</v>
      </c>
      <c r="J197" s="68">
        <f t="shared" si="9"/>
        <v>39420</v>
      </c>
      <c r="K197" s="41">
        <v>0</v>
      </c>
      <c r="L197" s="70">
        <f t="shared" si="10"/>
        <v>0</v>
      </c>
      <c r="M197" s="69">
        <f t="shared" si="11"/>
        <v>39420</v>
      </c>
    </row>
    <row r="198" spans="1:13">
      <c r="A198" s="41">
        <v>32</v>
      </c>
      <c r="B198" s="42">
        <v>37050</v>
      </c>
      <c r="C198" s="43">
        <v>-2745167</v>
      </c>
      <c r="D198" s="43">
        <v>515217</v>
      </c>
      <c r="E198" s="49">
        <v>300</v>
      </c>
      <c r="F198" s="45">
        <v>200000</v>
      </c>
      <c r="G198" s="41">
        <v>49.5</v>
      </c>
      <c r="H198" s="67">
        <f t="shared" si="8"/>
        <v>99000</v>
      </c>
      <c r="I198" s="41">
        <v>19.8</v>
      </c>
      <c r="J198" s="68">
        <f t="shared" si="9"/>
        <v>39600</v>
      </c>
      <c r="K198" s="41">
        <v>0</v>
      </c>
      <c r="L198" s="70">
        <f t="shared" si="10"/>
        <v>0</v>
      </c>
      <c r="M198" s="69">
        <f t="shared" si="11"/>
        <v>39600</v>
      </c>
    </row>
    <row r="199" spans="1:13">
      <c r="A199" s="41">
        <v>32</v>
      </c>
      <c r="B199" s="42">
        <v>37050</v>
      </c>
      <c r="C199" s="43">
        <v>-2745167</v>
      </c>
      <c r="D199" s="43">
        <v>515217</v>
      </c>
      <c r="E199" s="49">
        <v>500</v>
      </c>
      <c r="F199" s="45">
        <v>160000</v>
      </c>
      <c r="G199" s="41">
        <v>49.4</v>
      </c>
      <c r="H199" s="67">
        <f t="shared" ref="H199:H262" si="12">(G199*F199)/100</f>
        <v>79040</v>
      </c>
      <c r="I199" s="41">
        <v>25</v>
      </c>
      <c r="J199" s="68">
        <f t="shared" ref="J199:J262" si="13">(I199*F199)/100</f>
        <v>40000</v>
      </c>
      <c r="K199" s="41">
        <v>0.1</v>
      </c>
      <c r="L199" s="70">
        <f t="shared" ref="L199:L262" si="14">(K199*F199)/100</f>
        <v>160</v>
      </c>
      <c r="M199" s="69">
        <f t="shared" ref="M199:M262" si="15">J199+L199</f>
        <v>40160</v>
      </c>
    </row>
    <row r="200" spans="1:13">
      <c r="A200" s="41">
        <v>32</v>
      </c>
      <c r="B200" s="42">
        <v>37050</v>
      </c>
      <c r="C200" s="43">
        <v>-2745167</v>
      </c>
      <c r="D200" s="43">
        <v>515217</v>
      </c>
      <c r="E200" s="49">
        <v>850</v>
      </c>
      <c r="F200" s="45">
        <v>78000</v>
      </c>
      <c r="G200" s="41">
        <v>55.5</v>
      </c>
      <c r="H200" s="67">
        <f t="shared" si="12"/>
        <v>43290</v>
      </c>
      <c r="I200" s="41">
        <v>20.399999999999999</v>
      </c>
      <c r="J200" s="68">
        <f t="shared" si="13"/>
        <v>15912</v>
      </c>
      <c r="K200" s="41">
        <v>0.1</v>
      </c>
      <c r="L200" s="70">
        <f t="shared" si="14"/>
        <v>78</v>
      </c>
      <c r="M200" s="69">
        <f t="shared" si="15"/>
        <v>15990</v>
      </c>
    </row>
    <row r="201" spans="1:13">
      <c r="A201" s="41">
        <v>33</v>
      </c>
      <c r="B201" s="42">
        <v>37051</v>
      </c>
      <c r="C201" s="43">
        <v>-2845433</v>
      </c>
      <c r="D201" s="43">
        <v>724900</v>
      </c>
      <c r="E201" s="49">
        <v>7</v>
      </c>
      <c r="F201" s="45">
        <v>1400000</v>
      </c>
      <c r="G201" s="41">
        <v>77.8</v>
      </c>
      <c r="H201" s="67">
        <f t="shared" si="12"/>
        <v>1089200</v>
      </c>
      <c r="I201" s="41">
        <v>0.1</v>
      </c>
      <c r="J201" s="68">
        <f t="shared" si="13"/>
        <v>1400</v>
      </c>
      <c r="K201" s="41">
        <v>0.1</v>
      </c>
      <c r="L201" s="70">
        <f t="shared" si="14"/>
        <v>1400</v>
      </c>
      <c r="M201" s="69">
        <f t="shared" si="15"/>
        <v>2800</v>
      </c>
    </row>
    <row r="202" spans="1:13">
      <c r="A202" s="41">
        <v>33</v>
      </c>
      <c r="B202" s="42">
        <v>37051</v>
      </c>
      <c r="C202" s="43">
        <v>-2845433</v>
      </c>
      <c r="D202" s="43">
        <v>724900</v>
      </c>
      <c r="E202" s="49">
        <v>45</v>
      </c>
      <c r="F202" s="45">
        <v>1200000</v>
      </c>
      <c r="G202" s="41">
        <v>79.900000000000006</v>
      </c>
      <c r="H202" s="67">
        <f t="shared" si="12"/>
        <v>958800</v>
      </c>
      <c r="I202" s="41">
        <v>0</v>
      </c>
      <c r="J202" s="68">
        <f t="shared" si="13"/>
        <v>0</v>
      </c>
      <c r="K202" s="41">
        <v>0.4</v>
      </c>
      <c r="L202" s="70">
        <f t="shared" si="14"/>
        <v>4800</v>
      </c>
      <c r="M202" s="69">
        <f t="shared" si="15"/>
        <v>4800</v>
      </c>
    </row>
    <row r="203" spans="1:13">
      <c r="A203" s="41">
        <v>33</v>
      </c>
      <c r="B203" s="42">
        <v>37051</v>
      </c>
      <c r="C203" s="43">
        <v>-2845433</v>
      </c>
      <c r="D203" s="43">
        <v>724900</v>
      </c>
      <c r="E203" s="49">
        <v>51</v>
      </c>
      <c r="F203" s="45">
        <v>1200000</v>
      </c>
      <c r="G203" s="41">
        <v>79.599999999999994</v>
      </c>
      <c r="H203" s="67">
        <f t="shared" si="12"/>
        <v>955200</v>
      </c>
      <c r="I203" s="41">
        <v>1</v>
      </c>
      <c r="J203" s="68">
        <f t="shared" si="13"/>
        <v>12000</v>
      </c>
      <c r="K203" s="41">
        <v>0.2</v>
      </c>
      <c r="L203" s="70">
        <f t="shared" si="14"/>
        <v>2400</v>
      </c>
      <c r="M203" s="69">
        <f t="shared" si="15"/>
        <v>14400</v>
      </c>
    </row>
    <row r="204" spans="1:13">
      <c r="A204" s="41">
        <v>33</v>
      </c>
      <c r="B204" s="42">
        <v>37051</v>
      </c>
      <c r="C204" s="43">
        <v>-2845433</v>
      </c>
      <c r="D204" s="43">
        <v>724900</v>
      </c>
      <c r="E204" s="49">
        <v>70</v>
      </c>
      <c r="F204" s="45">
        <v>550000</v>
      </c>
      <c r="G204" s="41">
        <v>67.7</v>
      </c>
      <c r="H204" s="67">
        <f t="shared" si="12"/>
        <v>372350</v>
      </c>
      <c r="I204" s="41">
        <v>10.3</v>
      </c>
      <c r="J204" s="68">
        <f t="shared" si="13"/>
        <v>56650</v>
      </c>
      <c r="K204" s="41">
        <v>0.6</v>
      </c>
      <c r="L204" s="70">
        <f t="shared" si="14"/>
        <v>3300</v>
      </c>
      <c r="M204" s="69">
        <f t="shared" si="15"/>
        <v>59950</v>
      </c>
    </row>
    <row r="205" spans="1:13">
      <c r="A205" s="41">
        <v>33</v>
      </c>
      <c r="B205" s="42">
        <v>37051</v>
      </c>
      <c r="C205" s="43">
        <v>-2845433</v>
      </c>
      <c r="D205" s="43">
        <v>724900</v>
      </c>
      <c r="E205" s="49">
        <v>180</v>
      </c>
      <c r="F205" s="45">
        <v>250000</v>
      </c>
      <c r="G205" s="41">
        <v>51.7</v>
      </c>
      <c r="H205" s="67">
        <f t="shared" si="12"/>
        <v>129250</v>
      </c>
      <c r="I205" s="41">
        <v>11.9</v>
      </c>
      <c r="J205" s="68">
        <f t="shared" si="13"/>
        <v>29750</v>
      </c>
      <c r="K205" s="41">
        <v>0</v>
      </c>
      <c r="L205" s="70">
        <f t="shared" si="14"/>
        <v>0</v>
      </c>
      <c r="M205" s="69">
        <f t="shared" si="15"/>
        <v>29750</v>
      </c>
    </row>
    <row r="206" spans="1:13">
      <c r="A206" s="41">
        <v>33</v>
      </c>
      <c r="B206" s="42">
        <v>37051</v>
      </c>
      <c r="C206" s="43">
        <v>-2845433</v>
      </c>
      <c r="D206" s="43">
        <v>724900</v>
      </c>
      <c r="E206" s="49">
        <v>300</v>
      </c>
      <c r="F206" s="45">
        <v>210000</v>
      </c>
      <c r="G206" s="41">
        <v>46.8</v>
      </c>
      <c r="H206" s="67">
        <f t="shared" si="12"/>
        <v>98280</v>
      </c>
      <c r="I206" s="41">
        <v>25.1</v>
      </c>
      <c r="J206" s="68">
        <f t="shared" si="13"/>
        <v>52710</v>
      </c>
      <c r="K206" s="41">
        <v>0.1</v>
      </c>
      <c r="L206" s="70">
        <f t="shared" si="14"/>
        <v>210</v>
      </c>
      <c r="M206" s="69">
        <f t="shared" si="15"/>
        <v>52920</v>
      </c>
    </row>
    <row r="207" spans="1:13">
      <c r="A207" s="41">
        <v>34</v>
      </c>
      <c r="B207" s="42">
        <v>37051</v>
      </c>
      <c r="C207" s="43">
        <v>-2867900</v>
      </c>
      <c r="D207" s="43">
        <v>769467</v>
      </c>
      <c r="E207" s="49">
        <v>7</v>
      </c>
      <c r="F207" s="45">
        <v>1300000</v>
      </c>
      <c r="G207" s="41">
        <v>80</v>
      </c>
      <c r="H207" s="67">
        <f t="shared" si="12"/>
        <v>1040000</v>
      </c>
      <c r="I207" s="41">
        <v>0.2</v>
      </c>
      <c r="J207" s="68">
        <f t="shared" si="13"/>
        <v>2600</v>
      </c>
      <c r="K207" s="41">
        <v>0.1</v>
      </c>
      <c r="L207" s="70">
        <f t="shared" si="14"/>
        <v>1300</v>
      </c>
      <c r="M207" s="69">
        <f t="shared" si="15"/>
        <v>3900</v>
      </c>
    </row>
    <row r="208" spans="1:13">
      <c r="A208" s="41">
        <v>34</v>
      </c>
      <c r="B208" s="42">
        <v>37051</v>
      </c>
      <c r="C208" s="43">
        <v>-2867900</v>
      </c>
      <c r="D208" s="43">
        <v>769467</v>
      </c>
      <c r="E208" s="49">
        <v>45</v>
      </c>
      <c r="F208" s="45">
        <v>1100000</v>
      </c>
      <c r="G208" s="41">
        <v>72.099999999999994</v>
      </c>
      <c r="H208" s="67">
        <f t="shared" si="12"/>
        <v>793100</v>
      </c>
      <c r="I208" s="41">
        <v>6.4</v>
      </c>
      <c r="J208" s="68">
        <f t="shared" si="13"/>
        <v>70400</v>
      </c>
      <c r="K208" s="41">
        <v>0.3</v>
      </c>
      <c r="L208" s="70">
        <f t="shared" si="14"/>
        <v>3300</v>
      </c>
      <c r="M208" s="69">
        <f t="shared" si="15"/>
        <v>73700</v>
      </c>
    </row>
    <row r="209" spans="1:13">
      <c r="A209" s="41">
        <v>34</v>
      </c>
      <c r="B209" s="42">
        <v>37051</v>
      </c>
      <c r="C209" s="43">
        <v>-2867900</v>
      </c>
      <c r="D209" s="43">
        <v>769467</v>
      </c>
      <c r="E209" s="49">
        <v>50</v>
      </c>
      <c r="F209" s="45">
        <v>1300000</v>
      </c>
      <c r="G209" s="41">
        <v>71.400000000000006</v>
      </c>
      <c r="H209" s="67">
        <f t="shared" si="12"/>
        <v>928200</v>
      </c>
      <c r="I209" s="41">
        <v>1.9</v>
      </c>
      <c r="J209" s="68">
        <f t="shared" si="13"/>
        <v>24700</v>
      </c>
      <c r="K209" s="41">
        <v>0.2</v>
      </c>
      <c r="L209" s="70">
        <f t="shared" si="14"/>
        <v>2600</v>
      </c>
      <c r="M209" s="69">
        <f t="shared" si="15"/>
        <v>27300</v>
      </c>
    </row>
    <row r="210" spans="1:13">
      <c r="A210" s="41">
        <v>34</v>
      </c>
      <c r="B210" s="42">
        <v>37051</v>
      </c>
      <c r="C210" s="43">
        <v>-2867900</v>
      </c>
      <c r="D210" s="43">
        <v>769467</v>
      </c>
      <c r="E210" s="49">
        <v>55</v>
      </c>
      <c r="F210" s="45">
        <v>930000</v>
      </c>
      <c r="G210" s="41">
        <v>69.5</v>
      </c>
      <c r="H210" s="67">
        <f t="shared" si="12"/>
        <v>646350</v>
      </c>
      <c r="I210" s="41">
        <v>6.3</v>
      </c>
      <c r="J210" s="68">
        <f t="shared" si="13"/>
        <v>58590</v>
      </c>
      <c r="K210" s="41"/>
      <c r="L210" s="70">
        <f t="shared" si="14"/>
        <v>0</v>
      </c>
      <c r="M210" s="69">
        <f t="shared" si="15"/>
        <v>58590</v>
      </c>
    </row>
    <row r="211" spans="1:13">
      <c r="A211" s="41">
        <v>34</v>
      </c>
      <c r="B211" s="42">
        <v>37051</v>
      </c>
      <c r="C211" s="43">
        <v>-2867900</v>
      </c>
      <c r="D211" s="43">
        <v>769467</v>
      </c>
      <c r="E211" s="49">
        <v>225</v>
      </c>
      <c r="F211" s="45">
        <v>270000</v>
      </c>
      <c r="G211" s="41">
        <v>50.4</v>
      </c>
      <c r="H211" s="67">
        <f t="shared" si="12"/>
        <v>136080</v>
      </c>
      <c r="I211" s="41">
        <v>26.4</v>
      </c>
      <c r="J211" s="68">
        <f t="shared" si="13"/>
        <v>71280</v>
      </c>
      <c r="K211" s="41">
        <v>0.3</v>
      </c>
      <c r="L211" s="70">
        <f t="shared" si="14"/>
        <v>810</v>
      </c>
      <c r="M211" s="69">
        <f t="shared" si="15"/>
        <v>72090</v>
      </c>
    </row>
    <row r="212" spans="1:13">
      <c r="A212" s="41">
        <v>34</v>
      </c>
      <c r="B212" s="42">
        <v>37051</v>
      </c>
      <c r="C212" s="43">
        <v>-2867900</v>
      </c>
      <c r="D212" s="43">
        <v>769467</v>
      </c>
      <c r="E212" s="49">
        <v>300</v>
      </c>
      <c r="F212" s="45">
        <v>220000</v>
      </c>
      <c r="G212" s="41">
        <v>52.6</v>
      </c>
      <c r="H212" s="67">
        <f t="shared" si="12"/>
        <v>115720</v>
      </c>
      <c r="I212" s="41">
        <v>26.9</v>
      </c>
      <c r="J212" s="68">
        <f t="shared" si="13"/>
        <v>59180</v>
      </c>
      <c r="K212" s="41">
        <v>0.1</v>
      </c>
      <c r="L212" s="70">
        <f t="shared" si="14"/>
        <v>220</v>
      </c>
      <c r="M212" s="69">
        <f t="shared" si="15"/>
        <v>59400</v>
      </c>
    </row>
    <row r="213" spans="1:13">
      <c r="A213" s="37">
        <v>35</v>
      </c>
      <c r="B213" s="38">
        <v>37052</v>
      </c>
      <c r="C213" s="39">
        <v>-2979333</v>
      </c>
      <c r="D213" s="39">
        <v>1000667</v>
      </c>
      <c r="E213" s="48">
        <v>9</v>
      </c>
      <c r="F213" s="44">
        <v>930000</v>
      </c>
      <c r="G213" s="37">
        <v>82.4</v>
      </c>
      <c r="H213" s="67">
        <f t="shared" si="12"/>
        <v>766320</v>
      </c>
      <c r="I213" s="37">
        <v>0.3</v>
      </c>
      <c r="J213" s="68">
        <f t="shared" si="13"/>
        <v>2790</v>
      </c>
      <c r="K213" s="37">
        <v>0.1</v>
      </c>
      <c r="L213" s="70">
        <f t="shared" si="14"/>
        <v>930</v>
      </c>
      <c r="M213" s="69">
        <f t="shared" si="15"/>
        <v>3720</v>
      </c>
    </row>
    <row r="214" spans="1:13">
      <c r="A214" s="37">
        <v>35</v>
      </c>
      <c r="B214" s="38">
        <v>37052</v>
      </c>
      <c r="C214" s="39">
        <v>-2979333</v>
      </c>
      <c r="D214" s="39">
        <v>1000667</v>
      </c>
      <c r="E214" s="48">
        <v>55</v>
      </c>
      <c r="F214" s="44">
        <v>890000</v>
      </c>
      <c r="G214" s="37">
        <v>82.6</v>
      </c>
      <c r="H214" s="67">
        <f t="shared" si="12"/>
        <v>735140</v>
      </c>
      <c r="I214" s="37">
        <v>0.2</v>
      </c>
      <c r="J214" s="68">
        <f t="shared" si="13"/>
        <v>1780</v>
      </c>
      <c r="K214" s="37">
        <v>0.1</v>
      </c>
      <c r="L214" s="70">
        <f t="shared" si="14"/>
        <v>890</v>
      </c>
      <c r="M214" s="69">
        <f t="shared" si="15"/>
        <v>2670</v>
      </c>
    </row>
    <row r="215" spans="1:13">
      <c r="A215" s="37">
        <v>35</v>
      </c>
      <c r="B215" s="38">
        <v>37052</v>
      </c>
      <c r="C215" s="39">
        <v>-2979333</v>
      </c>
      <c r="D215" s="39">
        <v>1000667</v>
      </c>
      <c r="E215" s="48">
        <v>68</v>
      </c>
      <c r="F215" s="44">
        <v>860000</v>
      </c>
      <c r="G215" s="37">
        <v>71</v>
      </c>
      <c r="H215" s="67">
        <f t="shared" si="12"/>
        <v>610600</v>
      </c>
      <c r="I215" s="37">
        <v>9.1999999999999993</v>
      </c>
      <c r="J215" s="68">
        <f t="shared" si="13"/>
        <v>79119.999999999985</v>
      </c>
      <c r="K215" s="37">
        <v>0.1</v>
      </c>
      <c r="L215" s="70">
        <f t="shared" si="14"/>
        <v>860</v>
      </c>
      <c r="M215" s="69">
        <f t="shared" si="15"/>
        <v>79979.999999999985</v>
      </c>
    </row>
    <row r="216" spans="1:13">
      <c r="A216" s="37">
        <v>35</v>
      </c>
      <c r="B216" s="38">
        <v>37052</v>
      </c>
      <c r="C216" s="39">
        <v>-2979333</v>
      </c>
      <c r="D216" s="39">
        <v>1000667</v>
      </c>
      <c r="E216" s="48">
        <v>95</v>
      </c>
      <c r="F216" s="44">
        <v>430000</v>
      </c>
      <c r="G216" s="37">
        <v>71.3</v>
      </c>
      <c r="H216" s="67">
        <f t="shared" si="12"/>
        <v>306590</v>
      </c>
      <c r="I216" s="37">
        <v>7.7</v>
      </c>
      <c r="J216" s="68">
        <f t="shared" si="13"/>
        <v>33110</v>
      </c>
      <c r="K216" s="37">
        <v>0</v>
      </c>
      <c r="L216" s="70">
        <f t="shared" si="14"/>
        <v>0</v>
      </c>
      <c r="M216" s="69">
        <f t="shared" si="15"/>
        <v>33110</v>
      </c>
    </row>
    <row r="217" spans="1:13">
      <c r="A217" s="37">
        <v>35</v>
      </c>
      <c r="B217" s="38">
        <v>37052</v>
      </c>
      <c r="C217" s="39">
        <v>-2979333</v>
      </c>
      <c r="D217" s="39">
        <v>1000667</v>
      </c>
      <c r="E217" s="48">
        <v>200</v>
      </c>
      <c r="F217" s="44">
        <v>240000</v>
      </c>
      <c r="G217" s="37">
        <v>56.8</v>
      </c>
      <c r="H217" s="67">
        <f t="shared" si="12"/>
        <v>136320</v>
      </c>
      <c r="I217" s="37">
        <v>26.3</v>
      </c>
      <c r="J217" s="68">
        <f t="shared" si="13"/>
        <v>63120</v>
      </c>
      <c r="K217" s="37">
        <v>0.1</v>
      </c>
      <c r="L217" s="70">
        <f t="shared" si="14"/>
        <v>240</v>
      </c>
      <c r="M217" s="69">
        <f t="shared" si="15"/>
        <v>63360</v>
      </c>
    </row>
    <row r="218" spans="1:13">
      <c r="A218" s="37">
        <v>35</v>
      </c>
      <c r="B218" s="38">
        <v>37052</v>
      </c>
      <c r="C218" s="39">
        <v>-2979333</v>
      </c>
      <c r="D218" s="39">
        <v>1000667</v>
      </c>
      <c r="E218" s="48">
        <v>350</v>
      </c>
      <c r="F218" s="44">
        <v>170000</v>
      </c>
      <c r="G218" s="37">
        <v>50.1</v>
      </c>
      <c r="H218" s="67">
        <f t="shared" si="12"/>
        <v>85170</v>
      </c>
      <c r="I218" s="37">
        <v>22.7</v>
      </c>
      <c r="J218" s="68">
        <f t="shared" si="13"/>
        <v>38590</v>
      </c>
      <c r="K218" s="37">
        <v>0.1</v>
      </c>
      <c r="L218" s="70">
        <f t="shared" si="14"/>
        <v>170</v>
      </c>
      <c r="M218" s="69">
        <f t="shared" si="15"/>
        <v>38760</v>
      </c>
    </row>
    <row r="219" spans="1:13">
      <c r="A219" s="37">
        <v>35</v>
      </c>
      <c r="B219" s="38">
        <v>37052</v>
      </c>
      <c r="C219" s="39">
        <v>-2979333</v>
      </c>
      <c r="D219" s="39">
        <v>1000667</v>
      </c>
      <c r="E219" s="48">
        <v>500</v>
      </c>
      <c r="F219" s="40"/>
      <c r="G219" s="37">
        <v>85.8</v>
      </c>
      <c r="H219" s="67">
        <f t="shared" si="12"/>
        <v>0</v>
      </c>
      <c r="I219" s="37">
        <v>10</v>
      </c>
      <c r="J219" s="68">
        <f t="shared" si="13"/>
        <v>0</v>
      </c>
      <c r="K219" s="37">
        <v>0</v>
      </c>
      <c r="L219" s="70">
        <f t="shared" si="14"/>
        <v>0</v>
      </c>
      <c r="M219" s="69">
        <f t="shared" si="15"/>
        <v>0</v>
      </c>
    </row>
    <row r="220" spans="1:13">
      <c r="A220" s="37">
        <v>37</v>
      </c>
      <c r="B220" s="38">
        <v>37053</v>
      </c>
      <c r="C220" s="39">
        <v>-3134283</v>
      </c>
      <c r="D220" s="39">
        <v>1319433</v>
      </c>
      <c r="E220" s="48">
        <v>11</v>
      </c>
      <c r="F220" s="44">
        <v>670000</v>
      </c>
      <c r="G220" s="37">
        <v>83.7</v>
      </c>
      <c r="H220" s="67">
        <f t="shared" si="12"/>
        <v>560790</v>
      </c>
      <c r="I220" s="37">
        <v>0.7</v>
      </c>
      <c r="J220" s="68">
        <f t="shared" si="13"/>
        <v>4689.9999999999991</v>
      </c>
      <c r="K220" s="37">
        <v>0.5</v>
      </c>
      <c r="L220" s="70">
        <f t="shared" si="14"/>
        <v>3350</v>
      </c>
      <c r="M220" s="69">
        <f t="shared" si="15"/>
        <v>8039.9999999999991</v>
      </c>
    </row>
    <row r="221" spans="1:13">
      <c r="A221" s="37">
        <v>37</v>
      </c>
      <c r="B221" s="38">
        <v>37053</v>
      </c>
      <c r="C221" s="39">
        <v>-3134283</v>
      </c>
      <c r="D221" s="39">
        <v>1319433</v>
      </c>
      <c r="E221" s="48">
        <v>75</v>
      </c>
      <c r="F221" s="44">
        <v>910000</v>
      </c>
      <c r="G221" s="37">
        <v>77.599999999999994</v>
      </c>
      <c r="H221" s="67">
        <f t="shared" si="12"/>
        <v>706160</v>
      </c>
      <c r="I221" s="37">
        <v>4.7</v>
      </c>
      <c r="J221" s="68">
        <f t="shared" si="13"/>
        <v>42770</v>
      </c>
      <c r="K221" s="37">
        <v>0.3</v>
      </c>
      <c r="L221" s="70">
        <f t="shared" si="14"/>
        <v>2730</v>
      </c>
      <c r="M221" s="69">
        <f t="shared" si="15"/>
        <v>45500</v>
      </c>
    </row>
    <row r="222" spans="1:13">
      <c r="A222" s="37">
        <v>37</v>
      </c>
      <c r="B222" s="38">
        <v>37053</v>
      </c>
      <c r="C222" s="39">
        <v>-3134283</v>
      </c>
      <c r="D222" s="39">
        <v>1319433</v>
      </c>
      <c r="E222" s="48">
        <v>82</v>
      </c>
      <c r="F222" s="44">
        <v>540000</v>
      </c>
      <c r="G222" s="37">
        <v>72.900000000000006</v>
      </c>
      <c r="H222" s="67">
        <f t="shared" si="12"/>
        <v>393660</v>
      </c>
      <c r="I222" s="37">
        <v>7.5</v>
      </c>
      <c r="J222" s="68">
        <f t="shared" si="13"/>
        <v>40500</v>
      </c>
      <c r="K222" s="37">
        <v>0.2</v>
      </c>
      <c r="L222" s="70">
        <f t="shared" si="14"/>
        <v>1080</v>
      </c>
      <c r="M222" s="69">
        <f t="shared" si="15"/>
        <v>41580</v>
      </c>
    </row>
    <row r="223" spans="1:13">
      <c r="A223" s="37">
        <v>37</v>
      </c>
      <c r="B223" s="38">
        <v>37053</v>
      </c>
      <c r="C223" s="39">
        <v>-3134283</v>
      </c>
      <c r="D223" s="39">
        <v>1319433</v>
      </c>
      <c r="E223" s="48">
        <v>87</v>
      </c>
      <c r="F223" s="44">
        <v>360000</v>
      </c>
      <c r="G223" s="37">
        <v>73.5</v>
      </c>
      <c r="H223" s="67">
        <f t="shared" si="12"/>
        <v>264600</v>
      </c>
      <c r="I223" s="37">
        <v>8</v>
      </c>
      <c r="J223" s="68">
        <f t="shared" si="13"/>
        <v>28800</v>
      </c>
      <c r="K223" s="37">
        <v>6</v>
      </c>
      <c r="L223" s="70">
        <f t="shared" si="14"/>
        <v>21600</v>
      </c>
      <c r="M223" s="69">
        <f t="shared" si="15"/>
        <v>50400</v>
      </c>
    </row>
    <row r="224" spans="1:13">
      <c r="A224" s="37">
        <v>37</v>
      </c>
      <c r="B224" s="38">
        <v>37053</v>
      </c>
      <c r="C224" s="39">
        <v>-3134283</v>
      </c>
      <c r="D224" s="39">
        <v>1319433</v>
      </c>
      <c r="E224" s="48">
        <v>225</v>
      </c>
      <c r="F224" s="44">
        <v>250000</v>
      </c>
      <c r="G224" s="37">
        <v>48.4</v>
      </c>
      <c r="H224" s="67">
        <f t="shared" si="12"/>
        <v>121000</v>
      </c>
      <c r="I224" s="37">
        <v>26.9</v>
      </c>
      <c r="J224" s="68">
        <f t="shared" si="13"/>
        <v>67250</v>
      </c>
      <c r="K224" s="37">
        <v>0.2</v>
      </c>
      <c r="L224" s="70">
        <f t="shared" si="14"/>
        <v>500</v>
      </c>
      <c r="M224" s="69">
        <f t="shared" si="15"/>
        <v>67750</v>
      </c>
    </row>
    <row r="225" spans="1:13">
      <c r="A225" s="37">
        <v>37</v>
      </c>
      <c r="B225" s="38">
        <v>37053</v>
      </c>
      <c r="C225" s="39">
        <v>-3134283</v>
      </c>
      <c r="D225" s="39">
        <v>1319433</v>
      </c>
      <c r="E225" s="48">
        <v>300</v>
      </c>
      <c r="F225" s="44">
        <v>220000</v>
      </c>
      <c r="G225" s="37">
        <v>51.5</v>
      </c>
      <c r="H225" s="67">
        <f t="shared" si="12"/>
        <v>113300</v>
      </c>
      <c r="I225" s="37">
        <v>25.1</v>
      </c>
      <c r="J225" s="68">
        <f t="shared" si="13"/>
        <v>55220</v>
      </c>
      <c r="K225" s="37">
        <v>0</v>
      </c>
      <c r="L225" s="70">
        <f t="shared" si="14"/>
        <v>0</v>
      </c>
      <c r="M225" s="69">
        <f t="shared" si="15"/>
        <v>55220</v>
      </c>
    </row>
    <row r="226" spans="1:13">
      <c r="A226" s="37">
        <v>38</v>
      </c>
      <c r="B226" s="38">
        <v>37054</v>
      </c>
      <c r="C226" s="39">
        <v>-3260167</v>
      </c>
      <c r="D226" s="39">
        <v>1576250</v>
      </c>
      <c r="E226" s="48">
        <v>13</v>
      </c>
      <c r="F226" s="44">
        <v>810000</v>
      </c>
      <c r="G226" s="37">
        <v>79.8</v>
      </c>
      <c r="H226" s="67">
        <f t="shared" si="12"/>
        <v>646380</v>
      </c>
      <c r="I226" s="37">
        <v>1</v>
      </c>
      <c r="J226" s="68">
        <f t="shared" si="13"/>
        <v>8100</v>
      </c>
      <c r="K226" s="37">
        <v>0</v>
      </c>
      <c r="L226" s="70">
        <f t="shared" si="14"/>
        <v>0</v>
      </c>
      <c r="M226" s="69">
        <f t="shared" si="15"/>
        <v>8100</v>
      </c>
    </row>
    <row r="227" spans="1:13">
      <c r="A227" s="37">
        <v>38</v>
      </c>
      <c r="B227" s="38">
        <v>37054</v>
      </c>
      <c r="C227" s="39">
        <v>-3260167</v>
      </c>
      <c r="D227" s="39">
        <v>1576250</v>
      </c>
      <c r="E227" s="48">
        <v>80</v>
      </c>
      <c r="F227" s="44">
        <v>540000</v>
      </c>
      <c r="G227" s="37">
        <v>81.3</v>
      </c>
      <c r="H227" s="67">
        <f t="shared" si="12"/>
        <v>439020</v>
      </c>
      <c r="I227" s="37">
        <v>2.1</v>
      </c>
      <c r="J227" s="68">
        <f t="shared" si="13"/>
        <v>11340</v>
      </c>
      <c r="K227" s="37">
        <v>0</v>
      </c>
      <c r="L227" s="70">
        <f t="shared" si="14"/>
        <v>0</v>
      </c>
      <c r="M227" s="69">
        <f t="shared" si="15"/>
        <v>11340</v>
      </c>
    </row>
    <row r="228" spans="1:13">
      <c r="A228" s="37">
        <v>38</v>
      </c>
      <c r="B228" s="38">
        <v>37054</v>
      </c>
      <c r="C228" s="39">
        <v>-3260167</v>
      </c>
      <c r="D228" s="39">
        <v>1576250</v>
      </c>
      <c r="E228" s="48">
        <v>100</v>
      </c>
      <c r="F228" s="44">
        <v>770000</v>
      </c>
      <c r="G228" s="37">
        <v>73.900000000000006</v>
      </c>
      <c r="H228" s="67">
        <f t="shared" si="12"/>
        <v>569030.00000000012</v>
      </c>
      <c r="I228" s="37">
        <v>0.5</v>
      </c>
      <c r="J228" s="68">
        <f t="shared" si="13"/>
        <v>3850</v>
      </c>
      <c r="K228" s="37">
        <v>0</v>
      </c>
      <c r="L228" s="70">
        <f t="shared" si="14"/>
        <v>0</v>
      </c>
      <c r="M228" s="69">
        <f t="shared" si="15"/>
        <v>3850</v>
      </c>
    </row>
    <row r="229" spans="1:13">
      <c r="A229" s="37">
        <v>38</v>
      </c>
      <c r="B229" s="38">
        <v>37054</v>
      </c>
      <c r="C229" s="39">
        <v>-3260167</v>
      </c>
      <c r="D229" s="39">
        <v>1576250</v>
      </c>
      <c r="E229" s="48">
        <v>115</v>
      </c>
      <c r="F229" s="44">
        <v>780000</v>
      </c>
      <c r="G229" s="37">
        <v>62.4</v>
      </c>
      <c r="H229" s="67">
        <f t="shared" si="12"/>
        <v>486720</v>
      </c>
      <c r="I229" s="37">
        <v>6.3</v>
      </c>
      <c r="J229" s="68">
        <f t="shared" si="13"/>
        <v>49140</v>
      </c>
      <c r="K229" s="37">
        <v>0</v>
      </c>
      <c r="L229" s="70">
        <f t="shared" si="14"/>
        <v>0</v>
      </c>
      <c r="M229" s="69">
        <f t="shared" si="15"/>
        <v>49140</v>
      </c>
    </row>
    <row r="230" spans="1:13">
      <c r="A230" s="37">
        <v>38</v>
      </c>
      <c r="B230" s="38">
        <v>37054</v>
      </c>
      <c r="C230" s="39">
        <v>-3260167</v>
      </c>
      <c r="D230" s="39">
        <v>1576250</v>
      </c>
      <c r="E230" s="48">
        <v>200</v>
      </c>
      <c r="F230" s="44">
        <v>230000</v>
      </c>
      <c r="G230" s="37">
        <v>48.4</v>
      </c>
      <c r="H230" s="67">
        <f t="shared" si="12"/>
        <v>111320</v>
      </c>
      <c r="I230" s="37">
        <v>18.899999999999999</v>
      </c>
      <c r="J230" s="68">
        <f t="shared" si="13"/>
        <v>43470</v>
      </c>
      <c r="K230" s="37">
        <v>0</v>
      </c>
      <c r="L230" s="70">
        <f t="shared" si="14"/>
        <v>0</v>
      </c>
      <c r="M230" s="69">
        <f t="shared" si="15"/>
        <v>43470</v>
      </c>
    </row>
    <row r="231" spans="1:13">
      <c r="A231" s="37">
        <v>38</v>
      </c>
      <c r="B231" s="38">
        <v>37054</v>
      </c>
      <c r="C231" s="39">
        <v>-3260167</v>
      </c>
      <c r="D231" s="39">
        <v>1576250</v>
      </c>
      <c r="E231" s="48">
        <v>300</v>
      </c>
      <c r="F231" s="44">
        <v>170000</v>
      </c>
      <c r="G231" s="37">
        <v>45.5</v>
      </c>
      <c r="H231" s="67">
        <f t="shared" si="12"/>
        <v>77350</v>
      </c>
      <c r="I231" s="37">
        <v>21.2</v>
      </c>
      <c r="J231" s="68">
        <f t="shared" si="13"/>
        <v>36040</v>
      </c>
      <c r="K231" s="37">
        <v>0.2</v>
      </c>
      <c r="L231" s="70">
        <f t="shared" si="14"/>
        <v>340</v>
      </c>
      <c r="M231" s="69">
        <f t="shared" si="15"/>
        <v>36380</v>
      </c>
    </row>
    <row r="232" spans="1:13">
      <c r="A232" s="37">
        <v>39</v>
      </c>
      <c r="B232" s="38">
        <v>37054</v>
      </c>
      <c r="C232" s="39">
        <v>-3288600</v>
      </c>
      <c r="D232" s="39">
        <v>1632183</v>
      </c>
      <c r="E232" s="48">
        <v>13</v>
      </c>
      <c r="F232" s="44">
        <v>620000</v>
      </c>
      <c r="G232" s="37">
        <v>81.599999999999994</v>
      </c>
      <c r="H232" s="67">
        <f t="shared" si="12"/>
        <v>505920</v>
      </c>
      <c r="I232" s="37">
        <v>0.2</v>
      </c>
      <c r="J232" s="68">
        <f t="shared" si="13"/>
        <v>1240</v>
      </c>
      <c r="K232" s="37">
        <v>1.3</v>
      </c>
      <c r="L232" s="70">
        <f t="shared" si="14"/>
        <v>8060</v>
      </c>
      <c r="M232" s="69">
        <f t="shared" si="15"/>
        <v>9300</v>
      </c>
    </row>
    <row r="233" spans="1:13">
      <c r="A233" s="37">
        <v>39</v>
      </c>
      <c r="B233" s="38">
        <v>37054</v>
      </c>
      <c r="C233" s="39">
        <v>-3288600</v>
      </c>
      <c r="D233" s="39">
        <v>1632183</v>
      </c>
      <c r="E233" s="48">
        <v>90</v>
      </c>
      <c r="F233" s="44">
        <v>450000</v>
      </c>
      <c r="G233" s="37">
        <v>75.2</v>
      </c>
      <c r="H233" s="67">
        <f t="shared" si="12"/>
        <v>338400</v>
      </c>
      <c r="I233" s="37">
        <v>0.4</v>
      </c>
      <c r="J233" s="68">
        <f t="shared" si="13"/>
        <v>1800</v>
      </c>
      <c r="K233" s="37">
        <v>0.4</v>
      </c>
      <c r="L233" s="70">
        <f t="shared" si="14"/>
        <v>1800</v>
      </c>
      <c r="M233" s="69">
        <f t="shared" si="15"/>
        <v>3600</v>
      </c>
    </row>
    <row r="234" spans="1:13">
      <c r="A234" s="37">
        <v>39</v>
      </c>
      <c r="B234" s="38">
        <v>37054</v>
      </c>
      <c r="C234" s="39">
        <v>-3288600</v>
      </c>
      <c r="D234" s="39">
        <v>1632183</v>
      </c>
      <c r="E234" s="48">
        <v>100</v>
      </c>
      <c r="F234" s="44">
        <v>610000</v>
      </c>
      <c r="G234" s="37">
        <v>67.7</v>
      </c>
      <c r="H234" s="67">
        <f t="shared" si="12"/>
        <v>412970</v>
      </c>
      <c r="I234" s="37">
        <v>2.5</v>
      </c>
      <c r="J234" s="68">
        <f t="shared" si="13"/>
        <v>15250</v>
      </c>
      <c r="K234" s="37">
        <v>0.3</v>
      </c>
      <c r="L234" s="70">
        <f t="shared" si="14"/>
        <v>1830</v>
      </c>
      <c r="M234" s="69">
        <f t="shared" si="15"/>
        <v>17080</v>
      </c>
    </row>
    <row r="235" spans="1:13">
      <c r="A235" s="37">
        <v>39</v>
      </c>
      <c r="B235" s="38">
        <v>37054</v>
      </c>
      <c r="C235" s="39">
        <v>-3288600</v>
      </c>
      <c r="D235" s="39">
        <v>1632183</v>
      </c>
      <c r="E235" s="48">
        <v>110</v>
      </c>
      <c r="F235" s="44">
        <v>550000</v>
      </c>
      <c r="G235" s="37">
        <v>61.7</v>
      </c>
      <c r="H235" s="67">
        <f t="shared" si="12"/>
        <v>339350</v>
      </c>
      <c r="I235" s="37">
        <v>6.4</v>
      </c>
      <c r="J235" s="68">
        <f t="shared" si="13"/>
        <v>35200</v>
      </c>
      <c r="K235" s="37">
        <v>0.6</v>
      </c>
      <c r="L235" s="70">
        <f t="shared" si="14"/>
        <v>3300</v>
      </c>
      <c r="M235" s="69">
        <f t="shared" si="15"/>
        <v>38500</v>
      </c>
    </row>
    <row r="236" spans="1:13">
      <c r="A236" s="37">
        <v>39</v>
      </c>
      <c r="B236" s="38">
        <v>37054</v>
      </c>
      <c r="C236" s="39">
        <v>-3288600</v>
      </c>
      <c r="D236" s="39">
        <v>1632183</v>
      </c>
      <c r="E236" s="48">
        <v>225</v>
      </c>
      <c r="F236" s="44">
        <v>190000</v>
      </c>
      <c r="G236" s="37">
        <v>43.3</v>
      </c>
      <c r="H236" s="67">
        <f t="shared" si="12"/>
        <v>82269.999999999985</v>
      </c>
      <c r="I236" s="37">
        <v>12.6</v>
      </c>
      <c r="J236" s="68">
        <f t="shared" si="13"/>
        <v>23940</v>
      </c>
      <c r="K236" s="37">
        <v>0</v>
      </c>
      <c r="L236" s="70">
        <f t="shared" si="14"/>
        <v>0</v>
      </c>
      <c r="M236" s="69">
        <f t="shared" si="15"/>
        <v>23940</v>
      </c>
    </row>
    <row r="237" spans="1:13">
      <c r="A237" s="37">
        <v>39</v>
      </c>
      <c r="B237" s="38">
        <v>37054</v>
      </c>
      <c r="C237" s="39">
        <v>-3288600</v>
      </c>
      <c r="D237" s="39">
        <v>1632183</v>
      </c>
      <c r="E237" s="48">
        <v>300</v>
      </c>
      <c r="F237" s="44">
        <v>150000</v>
      </c>
      <c r="G237" s="37">
        <v>46.4</v>
      </c>
      <c r="H237" s="67">
        <f t="shared" si="12"/>
        <v>69600</v>
      </c>
      <c r="I237" s="37">
        <v>9.1999999999999993</v>
      </c>
      <c r="J237" s="68">
        <f t="shared" si="13"/>
        <v>13800</v>
      </c>
      <c r="K237" s="37">
        <v>0.1</v>
      </c>
      <c r="L237" s="70">
        <f t="shared" si="14"/>
        <v>150</v>
      </c>
      <c r="M237" s="69">
        <f t="shared" si="15"/>
        <v>13950</v>
      </c>
    </row>
    <row r="238" spans="1:13">
      <c r="A238" s="37">
        <v>40</v>
      </c>
      <c r="B238" s="38">
        <v>37055</v>
      </c>
      <c r="C238" s="39">
        <v>-3420667</v>
      </c>
      <c r="D238" s="39">
        <v>1896483</v>
      </c>
      <c r="E238" s="48">
        <v>20</v>
      </c>
      <c r="F238" s="44">
        <v>970000</v>
      </c>
      <c r="G238" s="37">
        <v>75.599999999999994</v>
      </c>
      <c r="H238" s="67">
        <f t="shared" si="12"/>
        <v>733320</v>
      </c>
      <c r="I238" s="37">
        <v>0</v>
      </c>
      <c r="J238" s="68">
        <f t="shared" si="13"/>
        <v>0</v>
      </c>
      <c r="K238" s="37">
        <v>0.1</v>
      </c>
      <c r="L238" s="70">
        <f t="shared" si="14"/>
        <v>970</v>
      </c>
      <c r="M238" s="69">
        <f t="shared" si="15"/>
        <v>970</v>
      </c>
    </row>
    <row r="239" spans="1:13">
      <c r="A239" s="37">
        <v>40</v>
      </c>
      <c r="B239" s="38">
        <v>37055</v>
      </c>
      <c r="C239" s="39">
        <v>-3420667</v>
      </c>
      <c r="D239" s="39">
        <v>1896483</v>
      </c>
      <c r="E239" s="48">
        <v>120</v>
      </c>
      <c r="F239" s="44">
        <v>400000</v>
      </c>
      <c r="G239" s="37">
        <v>61</v>
      </c>
      <c r="H239" s="67">
        <f t="shared" si="12"/>
        <v>244000</v>
      </c>
      <c r="I239" s="37">
        <v>0.3</v>
      </c>
      <c r="J239" s="68">
        <f t="shared" si="13"/>
        <v>1200</v>
      </c>
      <c r="K239" s="37">
        <v>0.2</v>
      </c>
      <c r="L239" s="70">
        <f t="shared" si="14"/>
        <v>800</v>
      </c>
      <c r="M239" s="69">
        <f t="shared" si="15"/>
        <v>2000</v>
      </c>
    </row>
    <row r="240" spans="1:13">
      <c r="A240" s="37">
        <v>40</v>
      </c>
      <c r="B240" s="38">
        <v>37055</v>
      </c>
      <c r="C240" s="39">
        <v>-3420667</v>
      </c>
      <c r="D240" s="39">
        <v>1896483</v>
      </c>
      <c r="E240" s="48">
        <v>140</v>
      </c>
      <c r="F240" s="44">
        <v>490000</v>
      </c>
      <c r="G240" s="37">
        <v>59.4</v>
      </c>
      <c r="H240" s="67">
        <f t="shared" si="12"/>
        <v>291060</v>
      </c>
      <c r="I240" s="37">
        <v>4.4000000000000004</v>
      </c>
      <c r="J240" s="68">
        <f t="shared" si="13"/>
        <v>21560</v>
      </c>
      <c r="K240" s="37">
        <v>0</v>
      </c>
      <c r="L240" s="70">
        <f t="shared" si="14"/>
        <v>0</v>
      </c>
      <c r="M240" s="69">
        <f t="shared" si="15"/>
        <v>21560</v>
      </c>
    </row>
    <row r="241" spans="1:13">
      <c r="A241" s="37">
        <v>40</v>
      </c>
      <c r="B241" s="38">
        <v>37055</v>
      </c>
      <c r="C241" s="39">
        <v>-3420667</v>
      </c>
      <c r="D241" s="39">
        <v>1896483</v>
      </c>
      <c r="E241" s="48">
        <v>160</v>
      </c>
      <c r="F241" s="44">
        <v>300000</v>
      </c>
      <c r="G241" s="37">
        <v>59.5</v>
      </c>
      <c r="H241" s="67">
        <f t="shared" si="12"/>
        <v>178500</v>
      </c>
      <c r="I241" s="37">
        <v>7.9</v>
      </c>
      <c r="J241" s="68">
        <f t="shared" si="13"/>
        <v>23700</v>
      </c>
      <c r="K241" s="37">
        <v>0</v>
      </c>
      <c r="L241" s="70">
        <f t="shared" si="14"/>
        <v>0</v>
      </c>
      <c r="M241" s="69">
        <f t="shared" si="15"/>
        <v>23700</v>
      </c>
    </row>
    <row r="242" spans="1:13">
      <c r="A242" s="37">
        <v>40</v>
      </c>
      <c r="B242" s="38">
        <v>37055</v>
      </c>
      <c r="C242" s="39">
        <v>-3420667</v>
      </c>
      <c r="D242" s="39">
        <v>1896483</v>
      </c>
      <c r="E242" s="48">
        <v>225</v>
      </c>
      <c r="F242" s="44">
        <v>160000</v>
      </c>
      <c r="G242" s="37">
        <v>39.700000000000003</v>
      </c>
      <c r="H242" s="67">
        <f t="shared" si="12"/>
        <v>63520</v>
      </c>
      <c r="I242" s="37">
        <v>17.100000000000001</v>
      </c>
      <c r="J242" s="68">
        <f t="shared" si="13"/>
        <v>27360</v>
      </c>
      <c r="K242" s="37">
        <v>0</v>
      </c>
      <c r="L242" s="70">
        <f t="shared" si="14"/>
        <v>0</v>
      </c>
      <c r="M242" s="69">
        <f t="shared" si="15"/>
        <v>27360</v>
      </c>
    </row>
    <row r="243" spans="1:13">
      <c r="A243" s="37">
        <v>40</v>
      </c>
      <c r="B243" s="38">
        <v>37055</v>
      </c>
      <c r="C243" s="39">
        <v>-3420667</v>
      </c>
      <c r="D243" s="39">
        <v>1896483</v>
      </c>
      <c r="E243" s="48">
        <v>300</v>
      </c>
      <c r="F243" s="44">
        <v>170000</v>
      </c>
      <c r="G243" s="37">
        <v>44.4</v>
      </c>
      <c r="H243" s="67">
        <f t="shared" si="12"/>
        <v>75480</v>
      </c>
      <c r="I243" s="37">
        <v>12.7</v>
      </c>
      <c r="J243" s="68">
        <f t="shared" si="13"/>
        <v>21590</v>
      </c>
      <c r="K243" s="37">
        <v>0</v>
      </c>
      <c r="L243" s="70">
        <f t="shared" si="14"/>
        <v>0</v>
      </c>
      <c r="M243" s="69">
        <f t="shared" si="15"/>
        <v>21590</v>
      </c>
    </row>
    <row r="244" spans="1:13">
      <c r="A244" s="37">
        <v>40</v>
      </c>
      <c r="B244" s="38">
        <v>37055</v>
      </c>
      <c r="C244" s="39">
        <v>-3420667</v>
      </c>
      <c r="D244" s="39">
        <v>1896483</v>
      </c>
      <c r="E244" s="48">
        <v>600</v>
      </c>
      <c r="F244" s="44">
        <v>90000</v>
      </c>
      <c r="G244" s="37">
        <v>44.5</v>
      </c>
      <c r="H244" s="67">
        <f t="shared" si="12"/>
        <v>40050</v>
      </c>
      <c r="I244" s="37">
        <v>10.9</v>
      </c>
      <c r="J244" s="68">
        <f t="shared" si="13"/>
        <v>9810</v>
      </c>
      <c r="K244" s="37">
        <v>0.3</v>
      </c>
      <c r="L244" s="70">
        <f t="shared" si="14"/>
        <v>270</v>
      </c>
      <c r="M244" s="69">
        <f t="shared" si="15"/>
        <v>10080</v>
      </c>
    </row>
    <row r="245" spans="1:13">
      <c r="A245" s="37">
        <v>40</v>
      </c>
      <c r="B245" s="38">
        <v>37055</v>
      </c>
      <c r="C245" s="39">
        <v>-3420667</v>
      </c>
      <c r="D245" s="39">
        <v>1896483</v>
      </c>
      <c r="E245" s="48">
        <v>1000</v>
      </c>
      <c r="F245" s="44">
        <v>54000</v>
      </c>
      <c r="G245" s="37">
        <v>56.6</v>
      </c>
      <c r="H245" s="67">
        <f t="shared" si="12"/>
        <v>30564</v>
      </c>
      <c r="I245" s="37">
        <v>12.4</v>
      </c>
      <c r="J245" s="68">
        <f t="shared" si="13"/>
        <v>6696</v>
      </c>
      <c r="K245" s="37">
        <v>0</v>
      </c>
      <c r="L245" s="70">
        <f t="shared" si="14"/>
        <v>0</v>
      </c>
      <c r="M245" s="69">
        <f t="shared" si="15"/>
        <v>6696</v>
      </c>
    </row>
    <row r="246" spans="1:13">
      <c r="A246" s="37">
        <v>41</v>
      </c>
      <c r="B246" s="38">
        <v>37055</v>
      </c>
      <c r="C246" s="39">
        <v>-3477283</v>
      </c>
      <c r="D246" s="39">
        <v>2008283</v>
      </c>
      <c r="E246" s="48">
        <v>16</v>
      </c>
      <c r="F246" s="44">
        <v>580000</v>
      </c>
      <c r="G246" s="37">
        <v>81.5</v>
      </c>
      <c r="H246" s="67">
        <f t="shared" si="12"/>
        <v>472700</v>
      </c>
      <c r="I246" s="37">
        <v>0</v>
      </c>
      <c r="J246" s="68">
        <f t="shared" si="13"/>
        <v>0</v>
      </c>
      <c r="K246" s="37">
        <v>0.6</v>
      </c>
      <c r="L246" s="70">
        <f t="shared" si="14"/>
        <v>3480</v>
      </c>
      <c r="M246" s="69">
        <f t="shared" si="15"/>
        <v>3480</v>
      </c>
    </row>
    <row r="247" spans="1:13">
      <c r="A247" s="37">
        <v>41</v>
      </c>
      <c r="B247" s="38">
        <v>37055</v>
      </c>
      <c r="C247" s="39">
        <v>-3477283</v>
      </c>
      <c r="D247" s="39">
        <v>2008283</v>
      </c>
      <c r="E247" s="48">
        <v>100</v>
      </c>
      <c r="F247" s="44">
        <v>790000</v>
      </c>
      <c r="G247" s="37">
        <v>79.599999999999994</v>
      </c>
      <c r="H247" s="67">
        <f t="shared" si="12"/>
        <v>628839.99999999988</v>
      </c>
      <c r="I247" s="37">
        <v>0.3</v>
      </c>
      <c r="J247" s="68">
        <f t="shared" si="13"/>
        <v>2370</v>
      </c>
      <c r="K247" s="37">
        <v>0</v>
      </c>
      <c r="L247" s="70">
        <f t="shared" si="14"/>
        <v>0</v>
      </c>
      <c r="M247" s="69">
        <f t="shared" si="15"/>
        <v>2370</v>
      </c>
    </row>
    <row r="248" spans="1:13">
      <c r="A248" s="37">
        <v>41</v>
      </c>
      <c r="B248" s="38">
        <v>37055</v>
      </c>
      <c r="C248" s="39">
        <v>-3477283</v>
      </c>
      <c r="D248" s="39">
        <v>2008283</v>
      </c>
      <c r="E248" s="48">
        <v>120</v>
      </c>
      <c r="F248" s="44">
        <v>630000</v>
      </c>
      <c r="G248" s="37">
        <v>73.900000000000006</v>
      </c>
      <c r="H248" s="67">
        <f t="shared" si="12"/>
        <v>465570</v>
      </c>
      <c r="I248" s="37">
        <v>0.5</v>
      </c>
      <c r="J248" s="68">
        <f t="shared" si="13"/>
        <v>3150</v>
      </c>
      <c r="K248" s="37">
        <v>0.2</v>
      </c>
      <c r="L248" s="70">
        <f t="shared" si="14"/>
        <v>1260</v>
      </c>
      <c r="M248" s="69">
        <f t="shared" si="15"/>
        <v>4410</v>
      </c>
    </row>
    <row r="249" spans="1:13">
      <c r="A249" s="37">
        <v>41</v>
      </c>
      <c r="B249" s="38">
        <v>37055</v>
      </c>
      <c r="C249" s="39">
        <v>-3477283</v>
      </c>
      <c r="D249" s="39">
        <v>2008283</v>
      </c>
      <c r="E249" s="48">
        <v>135</v>
      </c>
      <c r="F249" s="44">
        <v>530000</v>
      </c>
      <c r="G249" s="37">
        <v>58.5</v>
      </c>
      <c r="H249" s="67">
        <f t="shared" si="12"/>
        <v>310050</v>
      </c>
      <c r="I249" s="37">
        <v>2.5</v>
      </c>
      <c r="J249" s="68">
        <f t="shared" si="13"/>
        <v>13250</v>
      </c>
      <c r="K249" s="37">
        <v>0.7</v>
      </c>
      <c r="L249" s="70">
        <f t="shared" si="14"/>
        <v>3710</v>
      </c>
      <c r="M249" s="69">
        <f t="shared" si="15"/>
        <v>16960</v>
      </c>
    </row>
    <row r="250" spans="1:13">
      <c r="A250" s="37">
        <v>41</v>
      </c>
      <c r="B250" s="38">
        <v>37055</v>
      </c>
      <c r="C250" s="39">
        <v>-3477283</v>
      </c>
      <c r="D250" s="39">
        <v>2008283</v>
      </c>
      <c r="E250" s="48">
        <v>225</v>
      </c>
      <c r="F250" s="44">
        <v>200000</v>
      </c>
      <c r="G250" s="37">
        <v>51.5</v>
      </c>
      <c r="H250" s="67">
        <f t="shared" si="12"/>
        <v>103000</v>
      </c>
      <c r="I250" s="37">
        <v>11.6</v>
      </c>
      <c r="J250" s="68">
        <f t="shared" si="13"/>
        <v>23200</v>
      </c>
      <c r="K250" s="37"/>
      <c r="L250" s="70">
        <f t="shared" si="14"/>
        <v>0</v>
      </c>
      <c r="M250" s="69">
        <f t="shared" si="15"/>
        <v>23200</v>
      </c>
    </row>
    <row r="251" spans="1:13">
      <c r="A251" s="37">
        <v>41</v>
      </c>
      <c r="B251" s="38">
        <v>37055</v>
      </c>
      <c r="C251" s="39">
        <v>-3477283</v>
      </c>
      <c r="D251" s="39">
        <v>2008283</v>
      </c>
      <c r="E251" s="48">
        <v>300</v>
      </c>
      <c r="F251" s="44">
        <v>140000</v>
      </c>
      <c r="G251" s="37">
        <v>49.6</v>
      </c>
      <c r="H251" s="67">
        <f t="shared" si="12"/>
        <v>69440</v>
      </c>
      <c r="I251" s="37">
        <v>17.2</v>
      </c>
      <c r="J251" s="68">
        <f t="shared" si="13"/>
        <v>24080</v>
      </c>
      <c r="K251" s="37">
        <v>0.4</v>
      </c>
      <c r="L251" s="70">
        <f t="shared" si="14"/>
        <v>560</v>
      </c>
      <c r="M251" s="69">
        <f t="shared" si="15"/>
        <v>24640</v>
      </c>
    </row>
    <row r="252" spans="1:13">
      <c r="A252" s="37">
        <v>42</v>
      </c>
      <c r="B252" s="38">
        <v>37056</v>
      </c>
      <c r="C252" s="39">
        <v>-3616417</v>
      </c>
      <c r="D252" s="39">
        <v>2280550</v>
      </c>
      <c r="E252" s="48">
        <v>14</v>
      </c>
      <c r="F252" s="44">
        <v>720000</v>
      </c>
      <c r="G252" s="37">
        <v>86.8</v>
      </c>
      <c r="H252" s="67">
        <f t="shared" si="12"/>
        <v>624960</v>
      </c>
      <c r="I252" s="37">
        <v>0.3</v>
      </c>
      <c r="J252" s="68">
        <f t="shared" si="13"/>
        <v>2160</v>
      </c>
      <c r="K252" s="37">
        <v>0</v>
      </c>
      <c r="L252" s="70">
        <f t="shared" si="14"/>
        <v>0</v>
      </c>
      <c r="M252" s="69">
        <f t="shared" si="15"/>
        <v>2160</v>
      </c>
    </row>
    <row r="253" spans="1:13">
      <c r="A253" s="37">
        <v>42</v>
      </c>
      <c r="B253" s="38">
        <v>37056</v>
      </c>
      <c r="C253" s="39">
        <v>-3616417</v>
      </c>
      <c r="D253" s="39">
        <v>2280550</v>
      </c>
      <c r="E253" s="48">
        <v>80</v>
      </c>
      <c r="F253" s="44">
        <v>620000</v>
      </c>
      <c r="G253" s="37">
        <v>82</v>
      </c>
      <c r="H253" s="67">
        <f t="shared" si="12"/>
        <v>508400</v>
      </c>
      <c r="I253" s="37">
        <v>0.1</v>
      </c>
      <c r="J253" s="68">
        <f t="shared" si="13"/>
        <v>620</v>
      </c>
      <c r="K253" s="37">
        <v>0</v>
      </c>
      <c r="L253" s="70">
        <f t="shared" si="14"/>
        <v>0</v>
      </c>
      <c r="M253" s="69">
        <f t="shared" si="15"/>
        <v>620</v>
      </c>
    </row>
    <row r="254" spans="1:13">
      <c r="A254" s="37">
        <v>42</v>
      </c>
      <c r="B254" s="38">
        <v>37056</v>
      </c>
      <c r="C254" s="39">
        <v>-3616417</v>
      </c>
      <c r="D254" s="39">
        <v>2280550</v>
      </c>
      <c r="E254" s="48">
        <v>100</v>
      </c>
      <c r="F254" s="44">
        <v>750000</v>
      </c>
      <c r="G254" s="37">
        <v>71.900000000000006</v>
      </c>
      <c r="H254" s="67">
        <f t="shared" si="12"/>
        <v>539250.00000000012</v>
      </c>
      <c r="I254" s="37">
        <v>1.5</v>
      </c>
      <c r="J254" s="68">
        <f t="shared" si="13"/>
        <v>11250</v>
      </c>
      <c r="K254" s="37">
        <v>0</v>
      </c>
      <c r="L254" s="70">
        <f t="shared" si="14"/>
        <v>0</v>
      </c>
      <c r="M254" s="69">
        <f t="shared" si="15"/>
        <v>11250</v>
      </c>
    </row>
    <row r="255" spans="1:13">
      <c r="A255" s="37">
        <v>42</v>
      </c>
      <c r="B255" s="38">
        <v>37056</v>
      </c>
      <c r="C255" s="39">
        <v>-3616417</v>
      </c>
      <c r="D255" s="39">
        <v>2280550</v>
      </c>
      <c r="E255" s="48">
        <v>120</v>
      </c>
      <c r="F255" s="44">
        <v>410000</v>
      </c>
      <c r="G255" s="37">
        <v>68.5</v>
      </c>
      <c r="H255" s="67">
        <f t="shared" si="12"/>
        <v>280850</v>
      </c>
      <c r="I255" s="37">
        <v>6.1</v>
      </c>
      <c r="J255" s="68">
        <f t="shared" si="13"/>
        <v>25010</v>
      </c>
      <c r="K255" s="37">
        <v>0.1</v>
      </c>
      <c r="L255" s="70">
        <f t="shared" si="14"/>
        <v>410</v>
      </c>
      <c r="M255" s="69">
        <f t="shared" si="15"/>
        <v>25420</v>
      </c>
    </row>
    <row r="256" spans="1:13">
      <c r="A256" s="37">
        <v>42</v>
      </c>
      <c r="B256" s="38">
        <v>37056</v>
      </c>
      <c r="C256" s="39">
        <v>-3616417</v>
      </c>
      <c r="D256" s="39">
        <v>2280550</v>
      </c>
      <c r="E256" s="48">
        <v>200</v>
      </c>
      <c r="F256" s="44">
        <v>200000</v>
      </c>
      <c r="G256" s="37">
        <v>48.2</v>
      </c>
      <c r="H256" s="67">
        <f t="shared" si="12"/>
        <v>96400</v>
      </c>
      <c r="I256" s="37">
        <v>18.100000000000001</v>
      </c>
      <c r="J256" s="68">
        <f t="shared" si="13"/>
        <v>36200.000000000007</v>
      </c>
      <c r="K256" s="37">
        <v>0.2</v>
      </c>
      <c r="L256" s="70">
        <f t="shared" si="14"/>
        <v>400</v>
      </c>
      <c r="M256" s="69">
        <f t="shared" si="15"/>
        <v>36600.000000000007</v>
      </c>
    </row>
    <row r="257" spans="1:13">
      <c r="A257" s="37">
        <v>42</v>
      </c>
      <c r="B257" s="38">
        <v>37056</v>
      </c>
      <c r="C257" s="39">
        <v>-3616417</v>
      </c>
      <c r="D257" s="39">
        <v>2280550</v>
      </c>
      <c r="E257" s="48">
        <v>300</v>
      </c>
      <c r="F257" s="44">
        <v>150000</v>
      </c>
      <c r="G257" s="37">
        <v>52</v>
      </c>
      <c r="H257" s="67">
        <f t="shared" si="12"/>
        <v>78000</v>
      </c>
      <c r="I257" s="37">
        <v>10.1</v>
      </c>
      <c r="J257" s="68">
        <f t="shared" si="13"/>
        <v>15150</v>
      </c>
      <c r="K257" s="37">
        <v>0.2</v>
      </c>
      <c r="L257" s="70">
        <f t="shared" si="14"/>
        <v>300</v>
      </c>
      <c r="M257" s="69">
        <f t="shared" si="15"/>
        <v>15450</v>
      </c>
    </row>
    <row r="258" spans="1:13">
      <c r="A258" s="37">
        <v>43</v>
      </c>
      <c r="B258" s="38">
        <v>37056</v>
      </c>
      <c r="C258" s="39">
        <v>-3645733</v>
      </c>
      <c r="D258" s="39">
        <v>2336000</v>
      </c>
      <c r="E258" s="48">
        <v>17</v>
      </c>
      <c r="F258" s="44">
        <v>690000</v>
      </c>
      <c r="G258" s="37">
        <v>86.5</v>
      </c>
      <c r="H258" s="67">
        <f t="shared" si="12"/>
        <v>596850</v>
      </c>
      <c r="I258" s="37">
        <v>0.1</v>
      </c>
      <c r="J258" s="68">
        <f t="shared" si="13"/>
        <v>690</v>
      </c>
      <c r="K258" s="37">
        <v>0.7</v>
      </c>
      <c r="L258" s="70">
        <f t="shared" si="14"/>
        <v>4829.9999999999991</v>
      </c>
      <c r="M258" s="69">
        <f t="shared" si="15"/>
        <v>5519.9999999999991</v>
      </c>
    </row>
    <row r="259" spans="1:13">
      <c r="A259" s="37">
        <v>43</v>
      </c>
      <c r="B259" s="38">
        <v>37056</v>
      </c>
      <c r="C259" s="39">
        <v>-3645733</v>
      </c>
      <c r="D259" s="39">
        <v>2336000</v>
      </c>
      <c r="E259" s="48">
        <v>120</v>
      </c>
      <c r="F259" s="44">
        <v>570000</v>
      </c>
      <c r="G259" s="37">
        <v>70.900000000000006</v>
      </c>
      <c r="H259" s="67">
        <f t="shared" si="12"/>
        <v>404130</v>
      </c>
      <c r="I259" s="37">
        <v>1.8</v>
      </c>
      <c r="J259" s="68">
        <f t="shared" si="13"/>
        <v>10260</v>
      </c>
      <c r="K259" s="37">
        <v>0.7</v>
      </c>
      <c r="L259" s="70">
        <f t="shared" si="14"/>
        <v>3990</v>
      </c>
      <c r="M259" s="69">
        <f t="shared" si="15"/>
        <v>14250</v>
      </c>
    </row>
    <row r="260" spans="1:13">
      <c r="A260" s="37">
        <v>43</v>
      </c>
      <c r="B260" s="38">
        <v>37056</v>
      </c>
      <c r="C260" s="39">
        <v>-3645733</v>
      </c>
      <c r="D260" s="39">
        <v>2336000</v>
      </c>
      <c r="E260" s="48">
        <v>130</v>
      </c>
      <c r="F260" s="44">
        <v>470000</v>
      </c>
      <c r="G260" s="37">
        <v>73</v>
      </c>
      <c r="H260" s="67">
        <f t="shared" si="12"/>
        <v>343100</v>
      </c>
      <c r="I260" s="37">
        <v>4.2</v>
      </c>
      <c r="J260" s="68">
        <f t="shared" si="13"/>
        <v>19740</v>
      </c>
      <c r="K260" s="37">
        <v>0.5</v>
      </c>
      <c r="L260" s="70">
        <f t="shared" si="14"/>
        <v>2350</v>
      </c>
      <c r="M260" s="69">
        <f t="shared" si="15"/>
        <v>22090</v>
      </c>
    </row>
    <row r="261" spans="1:13">
      <c r="A261" s="37">
        <v>43</v>
      </c>
      <c r="B261" s="38">
        <v>37056</v>
      </c>
      <c r="C261" s="39">
        <v>-3645733</v>
      </c>
      <c r="D261" s="39">
        <v>2336000</v>
      </c>
      <c r="E261" s="48">
        <v>140</v>
      </c>
      <c r="F261" s="44">
        <v>340000</v>
      </c>
      <c r="G261" s="37">
        <v>69.400000000000006</v>
      </c>
      <c r="H261" s="67">
        <f t="shared" si="12"/>
        <v>235960.00000000003</v>
      </c>
      <c r="I261" s="37">
        <v>6.8</v>
      </c>
      <c r="J261" s="68">
        <f t="shared" si="13"/>
        <v>23120</v>
      </c>
      <c r="K261" s="37">
        <v>0.2</v>
      </c>
      <c r="L261" s="70">
        <f t="shared" si="14"/>
        <v>680</v>
      </c>
      <c r="M261" s="69">
        <f t="shared" si="15"/>
        <v>23800</v>
      </c>
    </row>
    <row r="262" spans="1:13">
      <c r="A262" s="37">
        <v>43</v>
      </c>
      <c r="B262" s="38">
        <v>37056</v>
      </c>
      <c r="C262" s="39">
        <v>-3645733</v>
      </c>
      <c r="D262" s="39">
        <v>2336000</v>
      </c>
      <c r="E262" s="48">
        <v>225</v>
      </c>
      <c r="F262" s="44">
        <v>180000</v>
      </c>
      <c r="G262" s="37">
        <v>43.6</v>
      </c>
      <c r="H262" s="67">
        <f t="shared" si="12"/>
        <v>78480</v>
      </c>
      <c r="I262" s="37">
        <v>15.7</v>
      </c>
      <c r="J262" s="68">
        <f t="shared" si="13"/>
        <v>28260</v>
      </c>
      <c r="K262" s="37">
        <v>0.1</v>
      </c>
      <c r="L262" s="70">
        <f t="shared" si="14"/>
        <v>180</v>
      </c>
      <c r="M262" s="69">
        <f t="shared" si="15"/>
        <v>28440</v>
      </c>
    </row>
    <row r="263" spans="1:13">
      <c r="A263" s="37">
        <v>43</v>
      </c>
      <c r="B263" s="38">
        <v>37056</v>
      </c>
      <c r="C263" s="39">
        <v>-3645733</v>
      </c>
      <c r="D263" s="39">
        <v>2336000</v>
      </c>
      <c r="E263" s="48">
        <v>300</v>
      </c>
      <c r="F263" s="44">
        <v>140000</v>
      </c>
      <c r="G263" s="37">
        <v>47.6</v>
      </c>
      <c r="H263" s="67">
        <f t="shared" ref="H263:H326" si="16">(G263*F263)/100</f>
        <v>66640</v>
      </c>
      <c r="I263" s="37">
        <v>12.4</v>
      </c>
      <c r="J263" s="68">
        <f t="shared" ref="J263:J326" si="17">(I263*F263)/100</f>
        <v>17360</v>
      </c>
      <c r="K263" s="37"/>
      <c r="M263" s="69">
        <f t="shared" ref="M263:M326" si="18">J263+L263</f>
        <v>17360</v>
      </c>
    </row>
    <row r="264" spans="1:13">
      <c r="A264" s="37">
        <v>43</v>
      </c>
      <c r="B264" s="38">
        <v>37056</v>
      </c>
      <c r="C264" s="39">
        <v>-3645733</v>
      </c>
      <c r="D264" s="39">
        <v>2336000</v>
      </c>
      <c r="E264" s="48">
        <v>500</v>
      </c>
      <c r="F264" s="44">
        <v>100000</v>
      </c>
      <c r="G264" s="37">
        <v>43</v>
      </c>
      <c r="H264" s="67">
        <f t="shared" si="16"/>
        <v>43000</v>
      </c>
      <c r="I264" s="37">
        <v>9.9</v>
      </c>
      <c r="J264" s="68">
        <f t="shared" si="17"/>
        <v>9900</v>
      </c>
      <c r="K264" s="37"/>
      <c r="M264" s="69">
        <f t="shared" si="18"/>
        <v>9900</v>
      </c>
    </row>
    <row r="265" spans="1:13">
      <c r="A265" s="37">
        <v>43</v>
      </c>
      <c r="B265" s="38">
        <v>37056</v>
      </c>
      <c r="C265" s="39">
        <v>-3645733</v>
      </c>
      <c r="D265" s="39">
        <v>2336000</v>
      </c>
      <c r="E265" s="48">
        <v>850</v>
      </c>
      <c r="F265" s="44">
        <v>59000</v>
      </c>
      <c r="G265" s="37">
        <v>47.3</v>
      </c>
      <c r="H265" s="67">
        <f t="shared" si="16"/>
        <v>27907</v>
      </c>
      <c r="I265" s="37">
        <v>9.6</v>
      </c>
      <c r="J265" s="68">
        <f t="shared" si="17"/>
        <v>5664</v>
      </c>
      <c r="K265" s="37"/>
      <c r="M265" s="69">
        <f t="shared" si="18"/>
        <v>5664</v>
      </c>
    </row>
    <row r="266" spans="1:13">
      <c r="A266" s="37">
        <v>43</v>
      </c>
      <c r="B266" s="38">
        <v>37056</v>
      </c>
      <c r="C266" s="39">
        <v>-3645733</v>
      </c>
      <c r="D266" s="39">
        <v>2336000</v>
      </c>
      <c r="E266" s="48">
        <v>1500</v>
      </c>
      <c r="F266" s="44">
        <v>38000</v>
      </c>
      <c r="G266" s="37">
        <v>47.4</v>
      </c>
      <c r="H266" s="67">
        <f t="shared" si="16"/>
        <v>18012</v>
      </c>
      <c r="I266" s="37">
        <v>19</v>
      </c>
      <c r="J266" s="68">
        <f t="shared" si="17"/>
        <v>7220</v>
      </c>
      <c r="K266" s="37"/>
      <c r="M266" s="69">
        <f t="shared" si="18"/>
        <v>7220</v>
      </c>
    </row>
    <row r="267" spans="1:13">
      <c r="A267" s="37">
        <v>43</v>
      </c>
      <c r="B267" s="38">
        <v>37056</v>
      </c>
      <c r="C267" s="39">
        <v>-3645733</v>
      </c>
      <c r="D267" s="39">
        <v>2336000</v>
      </c>
      <c r="E267" s="48">
        <v>2250</v>
      </c>
      <c r="F267" s="44">
        <v>23000</v>
      </c>
      <c r="G267" s="37">
        <v>52.5</v>
      </c>
      <c r="H267" s="67">
        <f t="shared" si="16"/>
        <v>12075</v>
      </c>
      <c r="I267" s="37">
        <v>8</v>
      </c>
      <c r="J267" s="68">
        <f t="shared" si="17"/>
        <v>1840</v>
      </c>
      <c r="K267" s="37"/>
      <c r="M267" s="69">
        <f t="shared" si="18"/>
        <v>1840</v>
      </c>
    </row>
    <row r="268" spans="1:13">
      <c r="A268" s="37">
        <v>43</v>
      </c>
      <c r="B268" s="38">
        <v>37056</v>
      </c>
      <c r="C268" s="39">
        <v>-3645733</v>
      </c>
      <c r="D268" s="39">
        <v>2336000</v>
      </c>
      <c r="E268" s="48">
        <v>3500</v>
      </c>
      <c r="F268" s="44">
        <v>22000</v>
      </c>
      <c r="G268" s="37">
        <v>51.1</v>
      </c>
      <c r="H268" s="67">
        <f t="shared" si="16"/>
        <v>11242</v>
      </c>
      <c r="I268" s="37">
        <v>22.2</v>
      </c>
      <c r="J268" s="68">
        <f t="shared" si="17"/>
        <v>4884</v>
      </c>
      <c r="K268" s="37"/>
      <c r="M268" s="69">
        <f t="shared" si="18"/>
        <v>4884</v>
      </c>
    </row>
    <row r="269" spans="1:13">
      <c r="A269" s="37">
        <v>43</v>
      </c>
      <c r="B269" s="38">
        <v>37056</v>
      </c>
      <c r="C269" s="39">
        <v>-3645733</v>
      </c>
      <c r="D269" s="39">
        <v>2336000</v>
      </c>
      <c r="E269" s="48">
        <v>4500</v>
      </c>
      <c r="F269" s="44">
        <v>23000</v>
      </c>
      <c r="G269" s="37">
        <v>62.5</v>
      </c>
      <c r="H269" s="67">
        <f t="shared" si="16"/>
        <v>14375</v>
      </c>
      <c r="I269" s="37">
        <v>18.399999999999999</v>
      </c>
      <c r="J269" s="68">
        <f t="shared" si="17"/>
        <v>4231.9999999999991</v>
      </c>
      <c r="K269" s="37"/>
      <c r="M269" s="69">
        <f t="shared" si="18"/>
        <v>4231.9999999999991</v>
      </c>
    </row>
    <row r="270" spans="1:13">
      <c r="A270" s="37">
        <v>43</v>
      </c>
      <c r="B270" s="38">
        <v>37056</v>
      </c>
      <c r="C270" s="39">
        <v>-3645733</v>
      </c>
      <c r="D270" s="39">
        <v>2336000</v>
      </c>
      <c r="E270" s="48">
        <v>5900</v>
      </c>
      <c r="F270" s="44">
        <v>19000</v>
      </c>
      <c r="G270" s="37">
        <v>55.6</v>
      </c>
      <c r="H270" s="67">
        <f t="shared" si="16"/>
        <v>10564</v>
      </c>
      <c r="I270" s="37">
        <v>16.8</v>
      </c>
      <c r="J270" s="68">
        <f t="shared" si="17"/>
        <v>3192</v>
      </c>
      <c r="K270" s="37"/>
      <c r="M270" s="69">
        <f t="shared" si="18"/>
        <v>3192</v>
      </c>
    </row>
    <row r="271" spans="1:13">
      <c r="A271" s="37">
        <v>45</v>
      </c>
      <c r="B271" s="38">
        <v>37057</v>
      </c>
      <c r="C271" s="39">
        <v>-3829567</v>
      </c>
      <c r="D271" s="39">
        <v>2684083</v>
      </c>
      <c r="E271" s="48">
        <v>19</v>
      </c>
      <c r="F271" s="44">
        <v>580000</v>
      </c>
      <c r="G271" s="37">
        <v>83.3</v>
      </c>
      <c r="H271" s="67">
        <f t="shared" si="16"/>
        <v>483140</v>
      </c>
      <c r="I271" s="37">
        <v>0.2</v>
      </c>
      <c r="J271" s="68">
        <f t="shared" si="17"/>
        <v>1160</v>
      </c>
      <c r="K271" s="37"/>
      <c r="M271" s="69">
        <f t="shared" si="18"/>
        <v>1160</v>
      </c>
    </row>
    <row r="272" spans="1:13">
      <c r="A272" s="37">
        <v>45</v>
      </c>
      <c r="B272" s="38">
        <v>37057</v>
      </c>
      <c r="C272" s="39">
        <v>-3829567</v>
      </c>
      <c r="D272" s="39">
        <v>2684083</v>
      </c>
      <c r="E272" s="48">
        <v>140</v>
      </c>
      <c r="F272" s="44">
        <v>480000</v>
      </c>
      <c r="G272" s="37">
        <v>70</v>
      </c>
      <c r="H272" s="67">
        <f t="shared" si="16"/>
        <v>336000</v>
      </c>
      <c r="I272" s="37">
        <v>2.7</v>
      </c>
      <c r="J272" s="68">
        <f t="shared" si="17"/>
        <v>12960</v>
      </c>
      <c r="K272" s="37"/>
      <c r="M272" s="69">
        <f t="shared" si="18"/>
        <v>12960</v>
      </c>
    </row>
    <row r="273" spans="1:13">
      <c r="A273" s="37">
        <v>45</v>
      </c>
      <c r="B273" s="38">
        <v>37057</v>
      </c>
      <c r="C273" s="39">
        <v>-3829567</v>
      </c>
      <c r="D273" s="39">
        <v>2684083</v>
      </c>
      <c r="E273" s="48">
        <v>145</v>
      </c>
      <c r="F273" s="44">
        <v>510000</v>
      </c>
      <c r="G273" s="37">
        <v>66.2</v>
      </c>
      <c r="H273" s="67">
        <f t="shared" si="16"/>
        <v>337620</v>
      </c>
      <c r="I273" s="37">
        <v>4.0999999999999996</v>
      </c>
      <c r="J273" s="68">
        <f t="shared" si="17"/>
        <v>20909.999999999996</v>
      </c>
      <c r="K273" s="37"/>
      <c r="M273" s="69">
        <f t="shared" si="18"/>
        <v>20909.999999999996</v>
      </c>
    </row>
    <row r="274" spans="1:13">
      <c r="A274" s="37">
        <v>45</v>
      </c>
      <c r="B274" s="38">
        <v>37057</v>
      </c>
      <c r="C274" s="39">
        <v>-3829567</v>
      </c>
      <c r="D274" s="39">
        <v>2684083</v>
      </c>
      <c r="E274" s="48">
        <v>150</v>
      </c>
      <c r="F274" s="44">
        <v>440000</v>
      </c>
      <c r="G274" s="37">
        <v>68.099999999999994</v>
      </c>
      <c r="H274" s="67">
        <f t="shared" si="16"/>
        <v>299639.99999999994</v>
      </c>
      <c r="I274" s="37">
        <v>5.6</v>
      </c>
      <c r="J274" s="68">
        <f t="shared" si="17"/>
        <v>24640</v>
      </c>
      <c r="K274" s="37"/>
      <c r="M274" s="69">
        <f t="shared" si="18"/>
        <v>24640</v>
      </c>
    </row>
    <row r="275" spans="1:13">
      <c r="A275" s="37">
        <v>45</v>
      </c>
      <c r="B275" s="38">
        <v>37057</v>
      </c>
      <c r="C275" s="39">
        <v>-3829567</v>
      </c>
      <c r="D275" s="39">
        <v>2684083</v>
      </c>
      <c r="E275" s="48">
        <v>225</v>
      </c>
      <c r="F275" s="44">
        <v>180000</v>
      </c>
      <c r="G275" s="37">
        <v>45.7</v>
      </c>
      <c r="H275" s="67">
        <f t="shared" si="16"/>
        <v>82260.000000000015</v>
      </c>
      <c r="I275" s="37">
        <v>16</v>
      </c>
      <c r="J275" s="68">
        <f t="shared" si="17"/>
        <v>28800</v>
      </c>
      <c r="K275" s="37"/>
      <c r="M275" s="69">
        <f t="shared" si="18"/>
        <v>28800</v>
      </c>
    </row>
    <row r="276" spans="1:13">
      <c r="A276" s="37">
        <v>45</v>
      </c>
      <c r="B276" s="38">
        <v>37057</v>
      </c>
      <c r="C276" s="39">
        <v>-3829567</v>
      </c>
      <c r="D276" s="39">
        <v>2684083</v>
      </c>
      <c r="E276" s="48">
        <v>300</v>
      </c>
      <c r="F276" s="44">
        <v>150000</v>
      </c>
      <c r="G276" s="37">
        <v>45</v>
      </c>
      <c r="H276" s="67">
        <f t="shared" si="16"/>
        <v>67500</v>
      </c>
      <c r="I276" s="37">
        <v>14.9</v>
      </c>
      <c r="J276" s="68">
        <f t="shared" si="17"/>
        <v>22350</v>
      </c>
      <c r="K276" s="37"/>
      <c r="M276" s="69">
        <f t="shared" si="18"/>
        <v>22350</v>
      </c>
    </row>
    <row r="277" spans="1:13">
      <c r="A277" s="37">
        <v>46</v>
      </c>
      <c r="B277" s="38">
        <v>37058</v>
      </c>
      <c r="C277" s="39">
        <v>-3954217</v>
      </c>
      <c r="D277" s="39">
        <v>2915800</v>
      </c>
      <c r="E277" s="48">
        <v>18</v>
      </c>
      <c r="F277" s="44">
        <v>520000</v>
      </c>
      <c r="G277" s="37">
        <v>82.5</v>
      </c>
      <c r="H277" s="67">
        <f t="shared" si="16"/>
        <v>429000</v>
      </c>
      <c r="I277" s="37">
        <v>0.3</v>
      </c>
      <c r="J277" s="68">
        <f t="shared" si="17"/>
        <v>1560</v>
      </c>
      <c r="K277" s="37"/>
      <c r="M277" s="69">
        <f t="shared" si="18"/>
        <v>1560</v>
      </c>
    </row>
    <row r="278" spans="1:13">
      <c r="A278" s="37">
        <v>46</v>
      </c>
      <c r="B278" s="38">
        <v>37058</v>
      </c>
      <c r="C278" s="39">
        <v>-3954217</v>
      </c>
      <c r="D278" s="39">
        <v>2915800</v>
      </c>
      <c r="E278" s="48">
        <v>110</v>
      </c>
      <c r="F278" s="44">
        <v>540000</v>
      </c>
      <c r="G278" s="37">
        <v>77.8</v>
      </c>
      <c r="H278" s="67">
        <f t="shared" si="16"/>
        <v>420120</v>
      </c>
      <c r="I278" s="37">
        <v>0.4</v>
      </c>
      <c r="J278" s="68">
        <f t="shared" si="17"/>
        <v>2160</v>
      </c>
      <c r="K278" s="37"/>
      <c r="M278" s="69">
        <f t="shared" si="18"/>
        <v>2160</v>
      </c>
    </row>
    <row r="279" spans="1:13">
      <c r="A279" s="37">
        <v>46</v>
      </c>
      <c r="B279" s="38">
        <v>37058</v>
      </c>
      <c r="C279" s="39">
        <v>-3954217</v>
      </c>
      <c r="D279" s="39">
        <v>2915800</v>
      </c>
      <c r="E279" s="48">
        <v>135</v>
      </c>
      <c r="F279" s="44">
        <v>470000</v>
      </c>
      <c r="G279" s="37">
        <v>66.8</v>
      </c>
      <c r="H279" s="67">
        <f t="shared" si="16"/>
        <v>313960</v>
      </c>
      <c r="I279" s="37">
        <v>4.2</v>
      </c>
      <c r="J279" s="68">
        <f t="shared" si="17"/>
        <v>19740</v>
      </c>
      <c r="K279" s="37"/>
      <c r="M279" s="69">
        <f t="shared" si="18"/>
        <v>19740</v>
      </c>
    </row>
    <row r="280" spans="1:13">
      <c r="A280" s="37">
        <v>46</v>
      </c>
      <c r="B280" s="38">
        <v>37058</v>
      </c>
      <c r="C280" s="39">
        <v>-3954217</v>
      </c>
      <c r="D280" s="39">
        <v>2915800</v>
      </c>
      <c r="E280" s="48">
        <v>145</v>
      </c>
      <c r="F280" s="44">
        <v>380000</v>
      </c>
      <c r="G280" s="37">
        <v>60.3</v>
      </c>
      <c r="H280" s="67">
        <f t="shared" si="16"/>
        <v>229140</v>
      </c>
      <c r="I280" s="37">
        <v>9.6999999999999993</v>
      </c>
      <c r="J280" s="68">
        <f t="shared" si="17"/>
        <v>36859.999999999993</v>
      </c>
      <c r="K280" s="37"/>
      <c r="M280" s="69">
        <f t="shared" si="18"/>
        <v>36859.999999999993</v>
      </c>
    </row>
    <row r="281" spans="1:13">
      <c r="A281" s="37">
        <v>46</v>
      </c>
      <c r="B281" s="38">
        <v>37058</v>
      </c>
      <c r="C281" s="39">
        <v>-3954217</v>
      </c>
      <c r="D281" s="39">
        <v>2915800</v>
      </c>
      <c r="E281" s="48">
        <v>202</v>
      </c>
      <c r="F281" s="44">
        <v>230000</v>
      </c>
      <c r="G281" s="37">
        <v>46.2</v>
      </c>
      <c r="H281" s="67">
        <f t="shared" si="16"/>
        <v>106260</v>
      </c>
      <c r="I281" s="37">
        <v>20</v>
      </c>
      <c r="J281" s="68">
        <f t="shared" si="17"/>
        <v>46000</v>
      </c>
      <c r="K281" s="37"/>
      <c r="M281" s="69">
        <f t="shared" si="18"/>
        <v>46000</v>
      </c>
    </row>
    <row r="282" spans="1:13">
      <c r="A282" s="37">
        <v>46</v>
      </c>
      <c r="B282" s="38">
        <v>37058</v>
      </c>
      <c r="C282" s="39">
        <v>-3954217</v>
      </c>
      <c r="D282" s="39">
        <v>2915800</v>
      </c>
      <c r="E282" s="48">
        <v>285</v>
      </c>
      <c r="F282" s="44">
        <v>170000</v>
      </c>
      <c r="G282" s="37">
        <v>45.5</v>
      </c>
      <c r="H282" s="67">
        <f t="shared" si="16"/>
        <v>77350</v>
      </c>
      <c r="I282" s="37">
        <v>13.3</v>
      </c>
      <c r="J282" s="68">
        <f t="shared" si="17"/>
        <v>22610</v>
      </c>
      <c r="K282" s="37"/>
      <c r="M282" s="69">
        <f t="shared" si="18"/>
        <v>22610</v>
      </c>
    </row>
    <row r="283" spans="1:13">
      <c r="A283" s="37">
        <v>46</v>
      </c>
      <c r="B283" s="38">
        <v>37058</v>
      </c>
      <c r="C283" s="39">
        <v>-3954217</v>
      </c>
      <c r="D283" s="39">
        <v>2915800</v>
      </c>
      <c r="E283" s="48">
        <v>600</v>
      </c>
      <c r="F283" s="44">
        <v>120000</v>
      </c>
      <c r="G283" s="37">
        <v>47.1</v>
      </c>
      <c r="H283" s="67">
        <f t="shared" si="16"/>
        <v>56520</v>
      </c>
      <c r="I283" s="37">
        <v>12.6</v>
      </c>
      <c r="J283" s="68">
        <f t="shared" si="17"/>
        <v>15120</v>
      </c>
      <c r="K283" s="37"/>
      <c r="M283" s="69">
        <f t="shared" si="18"/>
        <v>15120</v>
      </c>
    </row>
    <row r="284" spans="1:13">
      <c r="A284" s="37">
        <v>46</v>
      </c>
      <c r="B284" s="38">
        <v>37058</v>
      </c>
      <c r="C284" s="39">
        <v>-3954217</v>
      </c>
      <c r="D284" s="39">
        <v>2915800</v>
      </c>
      <c r="E284" s="48">
        <v>1000</v>
      </c>
      <c r="F284" s="44">
        <v>61000</v>
      </c>
      <c r="G284" s="37">
        <v>58.1</v>
      </c>
      <c r="H284" s="67">
        <f t="shared" si="16"/>
        <v>35441</v>
      </c>
      <c r="I284" s="37">
        <v>13.4</v>
      </c>
      <c r="J284" s="68">
        <f t="shared" si="17"/>
        <v>8174</v>
      </c>
      <c r="K284" s="37"/>
      <c r="M284" s="69">
        <f t="shared" si="18"/>
        <v>8174</v>
      </c>
    </row>
    <row r="285" spans="1:13">
      <c r="A285" s="37">
        <v>47</v>
      </c>
      <c r="B285" s="38">
        <v>37058</v>
      </c>
      <c r="C285" s="39">
        <v>-3981383</v>
      </c>
      <c r="D285" s="39">
        <v>2945417</v>
      </c>
      <c r="E285" s="48">
        <v>17</v>
      </c>
      <c r="F285" s="44">
        <v>540000</v>
      </c>
      <c r="G285" s="37">
        <v>79.5</v>
      </c>
      <c r="H285" s="67">
        <f t="shared" si="16"/>
        <v>429300</v>
      </c>
      <c r="I285" s="37">
        <v>1</v>
      </c>
      <c r="J285" s="68">
        <f t="shared" si="17"/>
        <v>5400</v>
      </c>
      <c r="K285" s="37">
        <v>0.6</v>
      </c>
      <c r="L285" s="70">
        <f t="shared" ref="L285:L290" si="19">(K285*F285)/100</f>
        <v>3240</v>
      </c>
      <c r="M285" s="69">
        <f t="shared" si="18"/>
        <v>8640</v>
      </c>
    </row>
    <row r="286" spans="1:13">
      <c r="A286" s="37">
        <v>47</v>
      </c>
      <c r="B286" s="38">
        <v>37058</v>
      </c>
      <c r="C286" s="39">
        <v>-3981383</v>
      </c>
      <c r="D286" s="39">
        <v>2945417</v>
      </c>
      <c r="E286" s="48">
        <v>125</v>
      </c>
      <c r="F286" s="44">
        <v>580000</v>
      </c>
      <c r="G286" s="37">
        <v>68.2</v>
      </c>
      <c r="H286" s="67">
        <f t="shared" si="16"/>
        <v>395560</v>
      </c>
      <c r="I286" s="37">
        <v>2.5</v>
      </c>
      <c r="J286" s="68">
        <f t="shared" si="17"/>
        <v>14500</v>
      </c>
      <c r="K286" s="37">
        <v>0.6</v>
      </c>
      <c r="L286" s="70">
        <f t="shared" si="19"/>
        <v>3480</v>
      </c>
      <c r="M286" s="69">
        <f t="shared" si="18"/>
        <v>17980</v>
      </c>
    </row>
    <row r="287" spans="1:13">
      <c r="A287" s="37">
        <v>47</v>
      </c>
      <c r="B287" s="38">
        <v>37058</v>
      </c>
      <c r="C287" s="39">
        <v>-3981383</v>
      </c>
      <c r="D287" s="39">
        <v>2945417</v>
      </c>
      <c r="E287" s="48">
        <v>130</v>
      </c>
      <c r="F287" s="44">
        <v>480000</v>
      </c>
      <c r="G287" s="37">
        <v>76.2</v>
      </c>
      <c r="H287" s="67">
        <f t="shared" si="16"/>
        <v>365760</v>
      </c>
      <c r="I287" s="37">
        <v>3.7</v>
      </c>
      <c r="J287" s="68">
        <f t="shared" si="17"/>
        <v>17760</v>
      </c>
      <c r="K287" s="37">
        <v>0.2</v>
      </c>
      <c r="L287" s="70">
        <f t="shared" si="19"/>
        <v>960</v>
      </c>
      <c r="M287" s="69">
        <f t="shared" si="18"/>
        <v>18720</v>
      </c>
    </row>
    <row r="288" spans="1:13">
      <c r="A288" s="37">
        <v>47</v>
      </c>
      <c r="B288" s="38">
        <v>37058</v>
      </c>
      <c r="C288" s="39">
        <v>-3981383</v>
      </c>
      <c r="D288" s="39">
        <v>2945417</v>
      </c>
      <c r="E288" s="48">
        <v>150</v>
      </c>
      <c r="F288" s="44">
        <v>300000</v>
      </c>
      <c r="G288" s="37">
        <v>74.7</v>
      </c>
      <c r="H288" s="67">
        <f t="shared" si="16"/>
        <v>224100</v>
      </c>
      <c r="I288" s="37">
        <v>9.3000000000000007</v>
      </c>
      <c r="J288" s="68">
        <f t="shared" si="17"/>
        <v>27900</v>
      </c>
      <c r="K288" s="37">
        <v>0</v>
      </c>
      <c r="L288" s="70">
        <f t="shared" si="19"/>
        <v>0</v>
      </c>
      <c r="M288" s="69">
        <f t="shared" si="18"/>
        <v>27900</v>
      </c>
    </row>
    <row r="289" spans="1:13">
      <c r="A289" s="37">
        <v>47</v>
      </c>
      <c r="B289" s="38">
        <v>37058</v>
      </c>
      <c r="C289" s="39">
        <v>-3981383</v>
      </c>
      <c r="D289" s="39">
        <v>2945417</v>
      </c>
      <c r="E289" s="48">
        <v>225</v>
      </c>
      <c r="F289" s="44">
        <v>190000</v>
      </c>
      <c r="G289" s="37">
        <v>46.2</v>
      </c>
      <c r="H289" s="67">
        <f t="shared" si="16"/>
        <v>87780</v>
      </c>
      <c r="I289" s="37">
        <v>15.8</v>
      </c>
      <c r="J289" s="68">
        <f t="shared" si="17"/>
        <v>30020</v>
      </c>
      <c r="K289" s="37">
        <v>0</v>
      </c>
      <c r="L289" s="70">
        <f t="shared" si="19"/>
        <v>0</v>
      </c>
      <c r="M289" s="69">
        <f t="shared" si="18"/>
        <v>30020</v>
      </c>
    </row>
    <row r="290" spans="1:13">
      <c r="A290" s="37">
        <v>47</v>
      </c>
      <c r="B290" s="38">
        <v>37058</v>
      </c>
      <c r="C290" s="39">
        <v>-3981383</v>
      </c>
      <c r="D290" s="39">
        <v>2945417</v>
      </c>
      <c r="E290" s="48">
        <v>300</v>
      </c>
      <c r="F290" s="44">
        <v>140000</v>
      </c>
      <c r="G290" s="37">
        <v>47.1</v>
      </c>
      <c r="H290" s="67">
        <f t="shared" si="16"/>
        <v>65940</v>
      </c>
      <c r="I290" s="37">
        <v>16.399999999999999</v>
      </c>
      <c r="J290" s="68">
        <f t="shared" si="17"/>
        <v>22960</v>
      </c>
      <c r="K290" s="37">
        <v>0.4</v>
      </c>
      <c r="L290" s="70">
        <f t="shared" si="19"/>
        <v>560</v>
      </c>
      <c r="M290" s="69">
        <f t="shared" si="18"/>
        <v>23520</v>
      </c>
    </row>
    <row r="291" spans="1:13">
      <c r="A291" s="37">
        <v>48</v>
      </c>
      <c r="B291" s="38">
        <v>37059</v>
      </c>
      <c r="C291" s="39">
        <v>-4214417</v>
      </c>
      <c r="D291" s="39">
        <v>3138317</v>
      </c>
      <c r="E291" s="48">
        <v>15</v>
      </c>
      <c r="F291" s="44">
        <v>560000</v>
      </c>
      <c r="G291" s="37">
        <v>84.7</v>
      </c>
      <c r="H291" s="67">
        <f t="shared" si="16"/>
        <v>474320</v>
      </c>
      <c r="I291" s="37">
        <v>0.2</v>
      </c>
      <c r="J291" s="68">
        <f t="shared" si="17"/>
        <v>1120</v>
      </c>
      <c r="K291" s="37"/>
      <c r="M291" s="69">
        <f t="shared" si="18"/>
        <v>1120</v>
      </c>
    </row>
    <row r="292" spans="1:13">
      <c r="A292" s="37">
        <v>48</v>
      </c>
      <c r="B292" s="38">
        <v>37059</v>
      </c>
      <c r="C292" s="39">
        <v>-4214417</v>
      </c>
      <c r="D292" s="39">
        <v>3138317</v>
      </c>
      <c r="E292" s="48">
        <v>100</v>
      </c>
      <c r="F292" s="44">
        <v>650000</v>
      </c>
      <c r="G292" s="37">
        <v>77.400000000000006</v>
      </c>
      <c r="H292" s="67">
        <f t="shared" si="16"/>
        <v>503100</v>
      </c>
      <c r="I292" s="37">
        <v>0.5</v>
      </c>
      <c r="J292" s="68">
        <f t="shared" si="17"/>
        <v>3250</v>
      </c>
      <c r="K292" s="37"/>
      <c r="M292" s="69">
        <f t="shared" si="18"/>
        <v>3250</v>
      </c>
    </row>
    <row r="293" spans="1:13">
      <c r="A293" s="37">
        <v>48</v>
      </c>
      <c r="B293" s="38">
        <v>37059</v>
      </c>
      <c r="C293" s="39">
        <v>-4214417</v>
      </c>
      <c r="D293" s="39">
        <v>3138317</v>
      </c>
      <c r="E293" s="48">
        <v>120</v>
      </c>
      <c r="F293" s="44">
        <v>660000</v>
      </c>
      <c r="G293" s="37">
        <v>77.5</v>
      </c>
      <c r="H293" s="67">
        <f t="shared" si="16"/>
        <v>511500</v>
      </c>
      <c r="I293" s="37">
        <v>2.2000000000000002</v>
      </c>
      <c r="J293" s="68">
        <f t="shared" si="17"/>
        <v>14520.000000000002</v>
      </c>
      <c r="K293" s="37"/>
      <c r="M293" s="69">
        <f t="shared" si="18"/>
        <v>14520.000000000002</v>
      </c>
    </row>
    <row r="294" spans="1:13">
      <c r="A294" s="37">
        <v>48</v>
      </c>
      <c r="B294" s="38">
        <v>37059</v>
      </c>
      <c r="C294" s="39">
        <v>-4214417</v>
      </c>
      <c r="D294" s="39">
        <v>3138317</v>
      </c>
      <c r="E294" s="48">
        <v>135</v>
      </c>
      <c r="F294" s="44">
        <v>460000</v>
      </c>
      <c r="G294" s="37">
        <v>64.900000000000006</v>
      </c>
      <c r="H294" s="67">
        <f t="shared" si="16"/>
        <v>298540.00000000006</v>
      </c>
      <c r="I294" s="37">
        <v>5.2</v>
      </c>
      <c r="J294" s="68">
        <f t="shared" si="17"/>
        <v>23920</v>
      </c>
      <c r="K294" s="37"/>
      <c r="M294" s="69">
        <f t="shared" si="18"/>
        <v>23920</v>
      </c>
    </row>
    <row r="295" spans="1:13">
      <c r="A295" s="37">
        <v>48</v>
      </c>
      <c r="B295" s="38">
        <v>37059</v>
      </c>
      <c r="C295" s="39">
        <v>-4214417</v>
      </c>
      <c r="D295" s="39">
        <v>3138317</v>
      </c>
      <c r="E295" s="48">
        <v>225</v>
      </c>
      <c r="F295" s="44">
        <v>280000</v>
      </c>
      <c r="G295" s="37">
        <v>46.5</v>
      </c>
      <c r="H295" s="67">
        <f t="shared" si="16"/>
        <v>130200</v>
      </c>
      <c r="I295" s="37">
        <v>13.1</v>
      </c>
      <c r="J295" s="68">
        <f t="shared" si="17"/>
        <v>36680</v>
      </c>
      <c r="K295" s="37"/>
      <c r="M295" s="69">
        <f t="shared" si="18"/>
        <v>36680</v>
      </c>
    </row>
    <row r="296" spans="1:13">
      <c r="A296" s="37">
        <v>49</v>
      </c>
      <c r="B296" s="38">
        <v>37059</v>
      </c>
      <c r="C296" s="39">
        <v>-4264883</v>
      </c>
      <c r="D296" s="39">
        <v>3172400</v>
      </c>
      <c r="E296" s="48">
        <v>11</v>
      </c>
      <c r="F296" s="44">
        <v>840000</v>
      </c>
      <c r="G296" s="37">
        <v>77.7</v>
      </c>
      <c r="H296" s="67">
        <f t="shared" si="16"/>
        <v>652680</v>
      </c>
      <c r="I296" s="37">
        <v>0.1</v>
      </c>
      <c r="J296" s="68">
        <f t="shared" si="17"/>
        <v>840</v>
      </c>
      <c r="K296" s="37">
        <v>0.3</v>
      </c>
      <c r="L296" s="70">
        <f t="shared" ref="L296:L359" si="20">(K296*F296)/100</f>
        <v>2520</v>
      </c>
      <c r="M296" s="69">
        <f t="shared" si="18"/>
        <v>3360</v>
      </c>
    </row>
    <row r="297" spans="1:13">
      <c r="A297" s="37">
        <v>49</v>
      </c>
      <c r="B297" s="38">
        <v>37059</v>
      </c>
      <c r="C297" s="39">
        <v>-4264883</v>
      </c>
      <c r="D297" s="39">
        <v>3172400</v>
      </c>
      <c r="E297" s="48">
        <v>80</v>
      </c>
      <c r="F297" s="44">
        <v>1100000</v>
      </c>
      <c r="G297" s="37">
        <v>73.400000000000006</v>
      </c>
      <c r="H297" s="67">
        <f t="shared" si="16"/>
        <v>807400</v>
      </c>
      <c r="I297" s="37">
        <v>2.1</v>
      </c>
      <c r="J297" s="68">
        <f t="shared" si="17"/>
        <v>23100</v>
      </c>
      <c r="K297" s="37">
        <v>0.7</v>
      </c>
      <c r="L297" s="70">
        <f t="shared" si="20"/>
        <v>7700</v>
      </c>
      <c r="M297" s="69">
        <f t="shared" si="18"/>
        <v>30800</v>
      </c>
    </row>
    <row r="298" spans="1:13">
      <c r="A298" s="37">
        <v>49</v>
      </c>
      <c r="B298" s="38">
        <v>37059</v>
      </c>
      <c r="C298" s="39">
        <v>-4264883</v>
      </c>
      <c r="D298" s="39">
        <v>3172400</v>
      </c>
      <c r="E298" s="48">
        <v>85</v>
      </c>
      <c r="F298" s="44">
        <v>510000</v>
      </c>
      <c r="G298" s="37">
        <v>66.400000000000006</v>
      </c>
      <c r="H298" s="67">
        <f t="shared" si="16"/>
        <v>338640</v>
      </c>
      <c r="I298" s="37">
        <v>3</v>
      </c>
      <c r="J298" s="68">
        <f t="shared" si="17"/>
        <v>15300</v>
      </c>
      <c r="K298" s="37">
        <v>0.7</v>
      </c>
      <c r="L298" s="70">
        <f t="shared" si="20"/>
        <v>3570</v>
      </c>
      <c r="M298" s="69">
        <f t="shared" si="18"/>
        <v>18870</v>
      </c>
    </row>
    <row r="299" spans="1:13">
      <c r="A299" s="37">
        <v>49</v>
      </c>
      <c r="B299" s="38">
        <v>37059</v>
      </c>
      <c r="C299" s="39">
        <v>-4264883</v>
      </c>
      <c r="D299" s="39">
        <v>3172400</v>
      </c>
      <c r="E299" s="48">
        <v>100</v>
      </c>
      <c r="F299" s="44">
        <v>550000</v>
      </c>
      <c r="G299" s="37">
        <v>69.099999999999994</v>
      </c>
      <c r="H299" s="67">
        <f t="shared" si="16"/>
        <v>380050</v>
      </c>
      <c r="I299" s="37">
        <v>5.3</v>
      </c>
      <c r="J299" s="68">
        <f t="shared" si="17"/>
        <v>29150</v>
      </c>
      <c r="K299" s="37">
        <v>1</v>
      </c>
      <c r="L299" s="70">
        <f t="shared" si="20"/>
        <v>5500</v>
      </c>
      <c r="M299" s="69">
        <f t="shared" si="18"/>
        <v>34650</v>
      </c>
    </row>
    <row r="300" spans="1:13">
      <c r="A300" s="37">
        <v>49</v>
      </c>
      <c r="B300" s="38">
        <v>37059</v>
      </c>
      <c r="C300" s="39">
        <v>-4264883</v>
      </c>
      <c r="D300" s="39">
        <v>3172400</v>
      </c>
      <c r="E300" s="48">
        <v>225</v>
      </c>
      <c r="F300" s="44">
        <v>280000</v>
      </c>
      <c r="G300" s="37">
        <v>89.7</v>
      </c>
      <c r="H300" s="67">
        <f t="shared" si="16"/>
        <v>251160</v>
      </c>
      <c r="I300" s="37">
        <v>6.9</v>
      </c>
      <c r="J300" s="68">
        <f t="shared" si="17"/>
        <v>19320</v>
      </c>
      <c r="K300" s="37">
        <v>0</v>
      </c>
      <c r="L300" s="70">
        <f t="shared" si="20"/>
        <v>0</v>
      </c>
      <c r="M300" s="69">
        <f t="shared" si="18"/>
        <v>19320</v>
      </c>
    </row>
    <row r="301" spans="1:13">
      <c r="A301" s="37">
        <v>49</v>
      </c>
      <c r="B301" s="38">
        <v>37059</v>
      </c>
      <c r="C301" s="39">
        <v>-4264883</v>
      </c>
      <c r="D301" s="39">
        <v>3172400</v>
      </c>
      <c r="E301" s="48">
        <v>300</v>
      </c>
      <c r="F301" s="44">
        <v>280000</v>
      </c>
      <c r="G301" s="37">
        <v>42</v>
      </c>
      <c r="H301" s="67">
        <f t="shared" si="16"/>
        <v>117600</v>
      </c>
      <c r="I301" s="37">
        <v>13</v>
      </c>
      <c r="J301" s="68">
        <f t="shared" si="17"/>
        <v>36400</v>
      </c>
      <c r="K301" s="37">
        <v>0.5</v>
      </c>
      <c r="L301" s="70">
        <f t="shared" si="20"/>
        <v>1400</v>
      </c>
      <c r="M301" s="69">
        <f t="shared" si="18"/>
        <v>37800</v>
      </c>
    </row>
    <row r="302" spans="1:13">
      <c r="A302" s="37">
        <v>50</v>
      </c>
      <c r="B302" s="38">
        <v>37060</v>
      </c>
      <c r="C302" s="39">
        <v>-4554000</v>
      </c>
      <c r="D302" s="39">
        <v>3357800</v>
      </c>
      <c r="E302" s="48">
        <v>10</v>
      </c>
      <c r="F302" s="44">
        <v>1200000</v>
      </c>
      <c r="G302" s="37">
        <v>77.900000000000006</v>
      </c>
      <c r="H302" s="67">
        <f t="shared" si="16"/>
        <v>934800</v>
      </c>
      <c r="I302" s="37">
        <v>0.1</v>
      </c>
      <c r="J302" s="68">
        <f t="shared" si="17"/>
        <v>1200</v>
      </c>
      <c r="K302" s="37"/>
      <c r="L302" s="70">
        <f t="shared" si="20"/>
        <v>0</v>
      </c>
      <c r="M302" s="69">
        <f t="shared" si="18"/>
        <v>1200</v>
      </c>
    </row>
    <row r="303" spans="1:13">
      <c r="A303" s="37">
        <v>50</v>
      </c>
      <c r="B303" s="38">
        <v>37060</v>
      </c>
      <c r="C303" s="39">
        <v>-4554000</v>
      </c>
      <c r="D303" s="39">
        <v>3357800</v>
      </c>
      <c r="E303" s="48">
        <v>60</v>
      </c>
      <c r="F303" s="44">
        <v>1200000</v>
      </c>
      <c r="G303" s="37">
        <v>73.099999999999994</v>
      </c>
      <c r="H303" s="67">
        <f t="shared" si="16"/>
        <v>877200</v>
      </c>
      <c r="I303" s="37">
        <v>0.7</v>
      </c>
      <c r="J303" s="68">
        <f t="shared" si="17"/>
        <v>8400</v>
      </c>
      <c r="K303" s="37">
        <v>0</v>
      </c>
      <c r="L303" s="70">
        <f t="shared" si="20"/>
        <v>0</v>
      </c>
      <c r="M303" s="69">
        <f t="shared" si="18"/>
        <v>8400</v>
      </c>
    </row>
    <row r="304" spans="1:13">
      <c r="A304" s="37">
        <v>50</v>
      </c>
      <c r="B304" s="38">
        <v>37060</v>
      </c>
      <c r="C304" s="39">
        <v>-4554000</v>
      </c>
      <c r="D304" s="39">
        <v>3357800</v>
      </c>
      <c r="E304" s="48">
        <v>74</v>
      </c>
      <c r="F304" s="44">
        <v>1300000</v>
      </c>
      <c r="G304" s="37">
        <v>74.7</v>
      </c>
      <c r="H304" s="67">
        <f t="shared" si="16"/>
        <v>971100</v>
      </c>
      <c r="I304" s="37">
        <v>1</v>
      </c>
      <c r="J304" s="68">
        <f t="shared" si="17"/>
        <v>13000</v>
      </c>
      <c r="K304" s="37">
        <v>0.1</v>
      </c>
      <c r="L304" s="70">
        <f t="shared" si="20"/>
        <v>1300</v>
      </c>
      <c r="M304" s="69">
        <f t="shared" si="18"/>
        <v>14300</v>
      </c>
    </row>
    <row r="305" spans="1:13">
      <c r="A305" s="37">
        <v>50</v>
      </c>
      <c r="B305" s="38">
        <v>37060</v>
      </c>
      <c r="C305" s="39">
        <v>-4554000</v>
      </c>
      <c r="D305" s="39">
        <v>3357800</v>
      </c>
      <c r="E305" s="48">
        <v>95</v>
      </c>
      <c r="F305" s="44">
        <v>800000</v>
      </c>
      <c r="G305" s="37">
        <v>57.7</v>
      </c>
      <c r="H305" s="67">
        <f t="shared" si="16"/>
        <v>461600</v>
      </c>
      <c r="I305" s="37">
        <v>5.7</v>
      </c>
      <c r="J305" s="68">
        <f t="shared" si="17"/>
        <v>45600</v>
      </c>
      <c r="K305" s="37">
        <v>0.4</v>
      </c>
      <c r="L305" s="70">
        <f t="shared" si="20"/>
        <v>3200</v>
      </c>
      <c r="M305" s="69">
        <f t="shared" si="18"/>
        <v>48800</v>
      </c>
    </row>
    <row r="306" spans="1:13">
      <c r="A306" s="37">
        <v>50</v>
      </c>
      <c r="B306" s="38">
        <v>37060</v>
      </c>
      <c r="C306" s="39">
        <v>-4554000</v>
      </c>
      <c r="D306" s="39">
        <v>3357800</v>
      </c>
      <c r="E306" s="48">
        <v>200</v>
      </c>
      <c r="F306" s="44">
        <v>310000</v>
      </c>
      <c r="G306" s="37">
        <v>47.2</v>
      </c>
      <c r="H306" s="67">
        <f t="shared" si="16"/>
        <v>146320</v>
      </c>
      <c r="I306" s="37">
        <v>11.9</v>
      </c>
      <c r="J306" s="68">
        <f t="shared" si="17"/>
        <v>36890</v>
      </c>
      <c r="K306" s="37">
        <v>1</v>
      </c>
      <c r="L306" s="70">
        <f t="shared" si="20"/>
        <v>3100</v>
      </c>
      <c r="M306" s="69">
        <f t="shared" si="18"/>
        <v>39990</v>
      </c>
    </row>
    <row r="307" spans="1:13">
      <c r="A307" s="37">
        <v>50</v>
      </c>
      <c r="B307" s="38">
        <v>37060</v>
      </c>
      <c r="C307" s="39">
        <v>-4554000</v>
      </c>
      <c r="D307" s="39">
        <v>3357800</v>
      </c>
      <c r="E307" s="48">
        <v>300</v>
      </c>
      <c r="F307" s="44">
        <v>240000</v>
      </c>
      <c r="G307" s="37">
        <v>39.6</v>
      </c>
      <c r="H307" s="67">
        <f t="shared" si="16"/>
        <v>95040</v>
      </c>
      <c r="I307" s="37">
        <v>13.9</v>
      </c>
      <c r="J307" s="68">
        <f t="shared" si="17"/>
        <v>33360</v>
      </c>
      <c r="K307" s="37">
        <v>0</v>
      </c>
      <c r="L307" s="70">
        <f t="shared" si="20"/>
        <v>0</v>
      </c>
      <c r="M307" s="69">
        <f t="shared" si="18"/>
        <v>33360</v>
      </c>
    </row>
    <row r="308" spans="1:13">
      <c r="A308" s="37">
        <v>51</v>
      </c>
      <c r="B308" s="38">
        <v>37060</v>
      </c>
      <c r="C308" s="39">
        <v>-4607517</v>
      </c>
      <c r="D308" s="39">
        <v>3392583</v>
      </c>
      <c r="E308" s="48">
        <v>9</v>
      </c>
      <c r="F308" s="44">
        <v>1100000</v>
      </c>
      <c r="G308" s="37">
        <v>78.099999999999994</v>
      </c>
      <c r="H308" s="67">
        <f t="shared" si="16"/>
        <v>859100</v>
      </c>
      <c r="I308" s="37">
        <v>0.2</v>
      </c>
      <c r="J308" s="68">
        <f t="shared" si="17"/>
        <v>2200</v>
      </c>
      <c r="K308" s="37">
        <v>0.7</v>
      </c>
      <c r="L308" s="70">
        <f t="shared" si="20"/>
        <v>7700</v>
      </c>
      <c r="M308" s="69">
        <f t="shared" si="18"/>
        <v>9900</v>
      </c>
    </row>
    <row r="309" spans="1:13">
      <c r="A309" s="37">
        <v>51</v>
      </c>
      <c r="B309" s="38">
        <v>37060</v>
      </c>
      <c r="C309" s="39">
        <v>-4607517</v>
      </c>
      <c r="D309" s="39">
        <v>3392583</v>
      </c>
      <c r="E309" s="48">
        <v>50</v>
      </c>
      <c r="F309" s="44">
        <v>1400000</v>
      </c>
      <c r="G309" s="37">
        <v>73.599999999999994</v>
      </c>
      <c r="H309" s="67">
        <f t="shared" si="16"/>
        <v>1030399.9999999999</v>
      </c>
      <c r="I309" s="37">
        <v>0.2</v>
      </c>
      <c r="J309" s="68">
        <f t="shared" si="17"/>
        <v>2800</v>
      </c>
      <c r="K309" s="37">
        <v>1</v>
      </c>
      <c r="L309" s="70">
        <f t="shared" si="20"/>
        <v>14000</v>
      </c>
      <c r="M309" s="69">
        <f t="shared" si="18"/>
        <v>16800</v>
      </c>
    </row>
    <row r="310" spans="1:13">
      <c r="A310" s="37">
        <v>51</v>
      </c>
      <c r="B310" s="38">
        <v>37060</v>
      </c>
      <c r="C310" s="39">
        <v>-4607517</v>
      </c>
      <c r="D310" s="39">
        <v>3392583</v>
      </c>
      <c r="E310" s="48">
        <v>65</v>
      </c>
      <c r="F310" s="44">
        <v>1200000</v>
      </c>
      <c r="G310" s="37">
        <v>73.599999999999994</v>
      </c>
      <c r="H310" s="67">
        <f t="shared" si="16"/>
        <v>883200</v>
      </c>
      <c r="I310" s="37">
        <v>3.9</v>
      </c>
      <c r="J310" s="68">
        <f t="shared" si="17"/>
        <v>46800</v>
      </c>
      <c r="K310" s="37">
        <v>2.2000000000000002</v>
      </c>
      <c r="L310" s="70">
        <f t="shared" si="20"/>
        <v>26400</v>
      </c>
      <c r="M310" s="69">
        <f t="shared" si="18"/>
        <v>73200</v>
      </c>
    </row>
    <row r="311" spans="1:13">
      <c r="A311" s="37">
        <v>51</v>
      </c>
      <c r="B311" s="38">
        <v>37060</v>
      </c>
      <c r="C311" s="39">
        <v>-4607517</v>
      </c>
      <c r="D311" s="39">
        <v>3392583</v>
      </c>
      <c r="E311" s="48">
        <v>70</v>
      </c>
      <c r="F311" s="44">
        <v>1100000</v>
      </c>
      <c r="G311" s="37">
        <v>63.6</v>
      </c>
      <c r="H311" s="67">
        <f t="shared" si="16"/>
        <v>699600</v>
      </c>
      <c r="I311" s="37">
        <v>8.3000000000000007</v>
      </c>
      <c r="J311" s="68">
        <f t="shared" si="17"/>
        <v>91300</v>
      </c>
      <c r="K311" s="37">
        <v>1</v>
      </c>
      <c r="L311" s="70">
        <f t="shared" si="20"/>
        <v>11000</v>
      </c>
      <c r="M311" s="69">
        <f t="shared" si="18"/>
        <v>102300</v>
      </c>
    </row>
    <row r="312" spans="1:13">
      <c r="A312" s="37">
        <v>51</v>
      </c>
      <c r="B312" s="38">
        <v>37060</v>
      </c>
      <c r="C312" s="39">
        <v>-4607517</v>
      </c>
      <c r="D312" s="39">
        <v>3392583</v>
      </c>
      <c r="E312" s="48">
        <v>225</v>
      </c>
      <c r="F312" s="44">
        <v>380000</v>
      </c>
      <c r="G312" s="37">
        <v>40.6</v>
      </c>
      <c r="H312" s="67">
        <f t="shared" si="16"/>
        <v>154280</v>
      </c>
      <c r="I312" s="37">
        <v>15.6</v>
      </c>
      <c r="J312" s="68">
        <f t="shared" si="17"/>
        <v>59280</v>
      </c>
      <c r="K312" s="37">
        <v>0.3</v>
      </c>
      <c r="L312" s="70">
        <f t="shared" si="20"/>
        <v>1140</v>
      </c>
      <c r="M312" s="69">
        <f t="shared" si="18"/>
        <v>60420</v>
      </c>
    </row>
    <row r="313" spans="1:13">
      <c r="A313" s="37">
        <v>51</v>
      </c>
      <c r="B313" s="38">
        <v>37060</v>
      </c>
      <c r="C313" s="39">
        <v>-4607517</v>
      </c>
      <c r="D313" s="39">
        <v>3392583</v>
      </c>
      <c r="E313" s="48">
        <v>300</v>
      </c>
      <c r="F313" s="44">
        <v>380000</v>
      </c>
      <c r="G313" s="37">
        <v>48.6</v>
      </c>
      <c r="H313" s="67">
        <f t="shared" si="16"/>
        <v>184680</v>
      </c>
      <c r="I313" s="37">
        <v>13.6</v>
      </c>
      <c r="J313" s="68">
        <f t="shared" si="17"/>
        <v>51680</v>
      </c>
      <c r="K313" s="37">
        <v>0.7</v>
      </c>
      <c r="L313" s="70">
        <f t="shared" si="20"/>
        <v>2660</v>
      </c>
      <c r="M313" s="69">
        <f t="shared" si="18"/>
        <v>54340</v>
      </c>
    </row>
    <row r="314" spans="1:13">
      <c r="A314" s="37">
        <v>52</v>
      </c>
      <c r="B314" s="38">
        <v>37061</v>
      </c>
      <c r="C314" s="39">
        <v>-4255950</v>
      </c>
      <c r="D314" s="39">
        <v>3490283</v>
      </c>
      <c r="E314" s="48">
        <v>12</v>
      </c>
      <c r="F314" s="44">
        <v>820000</v>
      </c>
      <c r="G314" s="37">
        <v>81.099999999999994</v>
      </c>
      <c r="H314" s="67">
        <f t="shared" si="16"/>
        <v>665019.99999999988</v>
      </c>
      <c r="I314" s="37">
        <v>0</v>
      </c>
      <c r="J314" s="68">
        <f t="shared" si="17"/>
        <v>0</v>
      </c>
      <c r="K314" s="37">
        <v>0</v>
      </c>
      <c r="L314" s="70">
        <f t="shared" si="20"/>
        <v>0</v>
      </c>
      <c r="M314" s="69">
        <f t="shared" si="18"/>
        <v>0</v>
      </c>
    </row>
    <row r="315" spans="1:13">
      <c r="A315" s="37">
        <v>52</v>
      </c>
      <c r="B315" s="38">
        <v>37061</v>
      </c>
      <c r="C315" s="39">
        <v>-4255950</v>
      </c>
      <c r="D315" s="39">
        <v>3490283</v>
      </c>
      <c r="E315" s="48">
        <v>75</v>
      </c>
      <c r="F315" s="44">
        <v>1200000</v>
      </c>
      <c r="G315" s="37">
        <v>78.2</v>
      </c>
      <c r="H315" s="67">
        <f t="shared" si="16"/>
        <v>938400</v>
      </c>
      <c r="I315" s="37">
        <v>0</v>
      </c>
      <c r="J315" s="68">
        <f t="shared" si="17"/>
        <v>0</v>
      </c>
      <c r="K315" s="37">
        <v>0</v>
      </c>
      <c r="L315" s="70">
        <f t="shared" si="20"/>
        <v>0</v>
      </c>
      <c r="M315" s="69">
        <f t="shared" si="18"/>
        <v>0</v>
      </c>
    </row>
    <row r="316" spans="1:13">
      <c r="A316" s="37">
        <v>52</v>
      </c>
      <c r="B316" s="38">
        <v>37061</v>
      </c>
      <c r="C316" s="39">
        <v>-4255950</v>
      </c>
      <c r="D316" s="39">
        <v>3490283</v>
      </c>
      <c r="E316" s="48">
        <v>90</v>
      </c>
      <c r="F316" s="44">
        <v>550000</v>
      </c>
      <c r="G316" s="37">
        <v>77.099999999999994</v>
      </c>
      <c r="H316" s="67">
        <f t="shared" si="16"/>
        <v>424050</v>
      </c>
      <c r="I316" s="37">
        <v>0</v>
      </c>
      <c r="J316" s="68">
        <f t="shared" si="17"/>
        <v>0</v>
      </c>
      <c r="K316" s="37">
        <v>0.1</v>
      </c>
      <c r="L316" s="70">
        <f t="shared" si="20"/>
        <v>550</v>
      </c>
      <c r="M316" s="69">
        <f t="shared" si="18"/>
        <v>550</v>
      </c>
    </row>
    <row r="317" spans="1:13">
      <c r="A317" s="37">
        <v>52</v>
      </c>
      <c r="B317" s="38">
        <v>37061</v>
      </c>
      <c r="C317" s="39">
        <v>-4255950</v>
      </c>
      <c r="D317" s="39">
        <v>3490283</v>
      </c>
      <c r="E317" s="48">
        <v>115</v>
      </c>
      <c r="F317" s="44">
        <v>690000</v>
      </c>
      <c r="G317" s="37">
        <v>62</v>
      </c>
      <c r="H317" s="67">
        <f t="shared" si="16"/>
        <v>427800</v>
      </c>
      <c r="I317" s="37">
        <v>5.3</v>
      </c>
      <c r="J317" s="68">
        <f t="shared" si="17"/>
        <v>36570</v>
      </c>
      <c r="K317" s="37">
        <v>0.1</v>
      </c>
      <c r="L317" s="70">
        <f t="shared" si="20"/>
        <v>690</v>
      </c>
      <c r="M317" s="69">
        <f t="shared" si="18"/>
        <v>37260</v>
      </c>
    </row>
    <row r="318" spans="1:13">
      <c r="A318" s="37">
        <v>52</v>
      </c>
      <c r="B318" s="38">
        <v>37061</v>
      </c>
      <c r="C318" s="39">
        <v>-4255950</v>
      </c>
      <c r="D318" s="39">
        <v>3490283</v>
      </c>
      <c r="E318" s="48">
        <v>200</v>
      </c>
      <c r="F318" s="44">
        <v>280000</v>
      </c>
      <c r="G318" s="37">
        <v>40.700000000000003</v>
      </c>
      <c r="H318" s="67">
        <f t="shared" si="16"/>
        <v>113960</v>
      </c>
      <c r="I318" s="37">
        <v>10.199999999999999</v>
      </c>
      <c r="J318" s="68">
        <f t="shared" si="17"/>
        <v>28560</v>
      </c>
      <c r="K318" s="37">
        <v>0.1</v>
      </c>
      <c r="L318" s="70">
        <f t="shared" si="20"/>
        <v>280</v>
      </c>
      <c r="M318" s="69">
        <f t="shared" si="18"/>
        <v>28840</v>
      </c>
    </row>
    <row r="319" spans="1:13">
      <c r="A319" s="37">
        <v>52</v>
      </c>
      <c r="B319" s="38">
        <v>37061</v>
      </c>
      <c r="C319" s="39">
        <v>-4255950</v>
      </c>
      <c r="D319" s="39">
        <v>3490283</v>
      </c>
      <c r="E319" s="48">
        <v>350</v>
      </c>
      <c r="F319" s="44">
        <v>250000</v>
      </c>
      <c r="G319" s="37">
        <v>42</v>
      </c>
      <c r="H319" s="67">
        <f t="shared" si="16"/>
        <v>105000</v>
      </c>
      <c r="I319" s="37">
        <v>12</v>
      </c>
      <c r="J319" s="68">
        <f t="shared" si="17"/>
        <v>30000</v>
      </c>
      <c r="K319" s="37">
        <v>0</v>
      </c>
      <c r="L319" s="70">
        <f t="shared" si="20"/>
        <v>0</v>
      </c>
      <c r="M319" s="69">
        <f t="shared" si="18"/>
        <v>30000</v>
      </c>
    </row>
    <row r="320" spans="1:13">
      <c r="A320" s="37">
        <v>52</v>
      </c>
      <c r="B320" s="38">
        <v>37061</v>
      </c>
      <c r="C320" s="39">
        <v>-4255950</v>
      </c>
      <c r="D320" s="39">
        <v>3490283</v>
      </c>
      <c r="E320" s="48">
        <v>500</v>
      </c>
      <c r="F320" s="44">
        <v>180000</v>
      </c>
      <c r="G320" s="37">
        <v>45.9</v>
      </c>
      <c r="H320" s="67">
        <f t="shared" si="16"/>
        <v>82620</v>
      </c>
      <c r="I320" s="37">
        <v>22</v>
      </c>
      <c r="J320" s="68">
        <f t="shared" si="17"/>
        <v>39600</v>
      </c>
      <c r="K320" s="37">
        <v>0</v>
      </c>
      <c r="L320" s="70">
        <f t="shared" si="20"/>
        <v>0</v>
      </c>
      <c r="M320" s="69">
        <f t="shared" si="18"/>
        <v>39600</v>
      </c>
    </row>
    <row r="321" spans="1:13">
      <c r="A321" s="37">
        <v>52</v>
      </c>
      <c r="B321" s="38">
        <v>37061</v>
      </c>
      <c r="C321" s="39">
        <v>-4255950</v>
      </c>
      <c r="D321" s="39">
        <v>3490283</v>
      </c>
      <c r="E321" s="48">
        <v>1000</v>
      </c>
      <c r="F321" s="44">
        <v>96000</v>
      </c>
      <c r="G321" s="37">
        <v>49.8</v>
      </c>
      <c r="H321" s="67">
        <f t="shared" si="16"/>
        <v>47808</v>
      </c>
      <c r="I321" s="37">
        <v>19</v>
      </c>
      <c r="J321" s="68">
        <f t="shared" si="17"/>
        <v>18240</v>
      </c>
      <c r="K321" s="37">
        <v>0</v>
      </c>
      <c r="L321" s="70">
        <f t="shared" si="20"/>
        <v>0</v>
      </c>
      <c r="M321" s="69">
        <f t="shared" si="18"/>
        <v>18240</v>
      </c>
    </row>
    <row r="322" spans="1:13">
      <c r="A322" s="37">
        <v>53</v>
      </c>
      <c r="B322" s="38">
        <v>37061</v>
      </c>
      <c r="C322" s="39">
        <v>-4184400</v>
      </c>
      <c r="D322" s="39">
        <v>3509933</v>
      </c>
      <c r="E322" s="48">
        <v>12</v>
      </c>
      <c r="F322" s="44">
        <v>750000</v>
      </c>
      <c r="G322" s="37">
        <v>85.9</v>
      </c>
      <c r="H322" s="67">
        <f t="shared" si="16"/>
        <v>644250.00000000012</v>
      </c>
      <c r="I322" s="37">
        <v>0.1</v>
      </c>
      <c r="J322" s="68">
        <f t="shared" si="17"/>
        <v>750</v>
      </c>
      <c r="K322" s="37">
        <v>0.2</v>
      </c>
      <c r="L322" s="70">
        <f t="shared" si="20"/>
        <v>1500</v>
      </c>
      <c r="M322" s="69">
        <f t="shared" si="18"/>
        <v>2250</v>
      </c>
    </row>
    <row r="323" spans="1:13">
      <c r="A323" s="37">
        <v>53</v>
      </c>
      <c r="B323" s="38">
        <v>37061</v>
      </c>
      <c r="C323" s="39">
        <v>-4184400</v>
      </c>
      <c r="D323" s="39">
        <v>3509933</v>
      </c>
      <c r="E323" s="48">
        <v>80</v>
      </c>
      <c r="F323" s="44">
        <v>980000</v>
      </c>
      <c r="G323" s="37">
        <v>73.7</v>
      </c>
      <c r="H323" s="67">
        <f t="shared" si="16"/>
        <v>722260</v>
      </c>
      <c r="I323" s="37">
        <v>0.7</v>
      </c>
      <c r="J323" s="68">
        <f t="shared" si="17"/>
        <v>6860</v>
      </c>
      <c r="K323" s="37">
        <v>0.8</v>
      </c>
      <c r="L323" s="70">
        <f t="shared" si="20"/>
        <v>7840</v>
      </c>
      <c r="M323" s="69">
        <f t="shared" si="18"/>
        <v>14700</v>
      </c>
    </row>
    <row r="324" spans="1:13">
      <c r="A324" s="37">
        <v>53</v>
      </c>
      <c r="B324" s="38">
        <v>37061</v>
      </c>
      <c r="C324" s="39">
        <v>-4184400</v>
      </c>
      <c r="D324" s="39">
        <v>3509933</v>
      </c>
      <c r="E324" s="48">
        <v>90</v>
      </c>
      <c r="F324" s="44">
        <v>490000</v>
      </c>
      <c r="G324" s="37">
        <v>69.2</v>
      </c>
      <c r="H324" s="67">
        <f t="shared" si="16"/>
        <v>339080</v>
      </c>
      <c r="I324" s="37">
        <v>1.6</v>
      </c>
      <c r="J324" s="68">
        <f t="shared" si="17"/>
        <v>7840</v>
      </c>
      <c r="K324" s="37">
        <v>0.9</v>
      </c>
      <c r="L324" s="70">
        <f t="shared" si="20"/>
        <v>4410</v>
      </c>
      <c r="M324" s="69">
        <f t="shared" si="18"/>
        <v>12250</v>
      </c>
    </row>
    <row r="325" spans="1:13">
      <c r="A325" s="37">
        <v>53</v>
      </c>
      <c r="B325" s="38">
        <v>37061</v>
      </c>
      <c r="C325" s="39">
        <v>-4184400</v>
      </c>
      <c r="D325" s="39">
        <v>3509933</v>
      </c>
      <c r="E325" s="48">
        <v>110</v>
      </c>
      <c r="F325" s="44">
        <v>630000</v>
      </c>
      <c r="G325" s="37">
        <v>63.3</v>
      </c>
      <c r="H325" s="67">
        <f t="shared" si="16"/>
        <v>398790</v>
      </c>
      <c r="I325" s="37">
        <v>3.2</v>
      </c>
      <c r="J325" s="68">
        <f t="shared" si="17"/>
        <v>20160</v>
      </c>
      <c r="K325" s="37">
        <v>0.5</v>
      </c>
      <c r="L325" s="70">
        <f t="shared" si="20"/>
        <v>3150</v>
      </c>
      <c r="M325" s="69">
        <f t="shared" si="18"/>
        <v>23310</v>
      </c>
    </row>
    <row r="326" spans="1:13">
      <c r="A326" s="37">
        <v>53</v>
      </c>
      <c r="B326" s="38">
        <v>37061</v>
      </c>
      <c r="C326" s="39">
        <v>-4184400</v>
      </c>
      <c r="D326" s="39">
        <v>3509933</v>
      </c>
      <c r="E326" s="48">
        <v>225</v>
      </c>
      <c r="F326" s="44">
        <v>270000</v>
      </c>
      <c r="G326" s="37">
        <v>42.7</v>
      </c>
      <c r="H326" s="67">
        <f t="shared" si="16"/>
        <v>115290</v>
      </c>
      <c r="I326" s="37">
        <v>16.8</v>
      </c>
      <c r="J326" s="68">
        <f t="shared" si="17"/>
        <v>45360</v>
      </c>
      <c r="K326" s="37">
        <v>0.2</v>
      </c>
      <c r="L326" s="70">
        <f t="shared" si="20"/>
        <v>540</v>
      </c>
      <c r="M326" s="69">
        <f t="shared" si="18"/>
        <v>45900</v>
      </c>
    </row>
    <row r="327" spans="1:13">
      <c r="A327" s="37">
        <v>53</v>
      </c>
      <c r="B327" s="38">
        <v>37061</v>
      </c>
      <c r="C327" s="39">
        <v>-4184400</v>
      </c>
      <c r="D327" s="39">
        <v>3509933</v>
      </c>
      <c r="E327" s="48">
        <v>300</v>
      </c>
      <c r="F327" s="44">
        <v>240000</v>
      </c>
      <c r="G327" s="37">
        <v>46.2</v>
      </c>
      <c r="H327" s="67">
        <f t="shared" ref="H327:H390" si="21">(G327*F327)/100</f>
        <v>110880</v>
      </c>
      <c r="I327" s="37">
        <v>14.9</v>
      </c>
      <c r="J327" s="68">
        <f t="shared" ref="J327:J390" si="22">(I327*F327)/100</f>
        <v>35760</v>
      </c>
      <c r="K327" s="37">
        <v>0.1</v>
      </c>
      <c r="L327" s="70">
        <f t="shared" si="20"/>
        <v>240</v>
      </c>
      <c r="M327" s="69">
        <f t="shared" ref="M327:M390" si="23">J327+L327</f>
        <v>36000</v>
      </c>
    </row>
    <row r="328" spans="1:13">
      <c r="A328" s="37">
        <v>54</v>
      </c>
      <c r="B328" s="38">
        <v>37062</v>
      </c>
      <c r="C328" s="39">
        <v>-3834233</v>
      </c>
      <c r="D328" s="39">
        <v>3606883</v>
      </c>
      <c r="E328" s="48">
        <v>10</v>
      </c>
      <c r="F328" s="44">
        <v>830000</v>
      </c>
      <c r="G328" s="37">
        <v>81</v>
      </c>
      <c r="H328" s="67">
        <f t="shared" si="21"/>
        <v>672300</v>
      </c>
      <c r="I328" s="37">
        <v>0.1</v>
      </c>
      <c r="J328" s="68">
        <f t="shared" si="22"/>
        <v>830</v>
      </c>
      <c r="K328" s="37">
        <v>0.2</v>
      </c>
      <c r="L328" s="70">
        <f t="shared" si="20"/>
        <v>1660</v>
      </c>
      <c r="M328" s="69">
        <f t="shared" si="23"/>
        <v>2490</v>
      </c>
    </row>
    <row r="329" spans="1:13">
      <c r="A329" s="37">
        <v>54</v>
      </c>
      <c r="B329" s="38">
        <v>37062</v>
      </c>
      <c r="C329" s="39">
        <v>-3834233</v>
      </c>
      <c r="D329" s="39">
        <v>3606883</v>
      </c>
      <c r="E329" s="48">
        <v>65</v>
      </c>
      <c r="F329" s="44">
        <v>1200000</v>
      </c>
      <c r="G329" s="37">
        <v>81.7</v>
      </c>
      <c r="H329" s="67">
        <f t="shared" si="21"/>
        <v>980400</v>
      </c>
      <c r="I329" s="37">
        <v>0.3</v>
      </c>
      <c r="J329" s="68">
        <f t="shared" si="22"/>
        <v>3600</v>
      </c>
      <c r="K329" s="37">
        <v>0.3</v>
      </c>
      <c r="L329" s="70">
        <f t="shared" si="20"/>
        <v>3600</v>
      </c>
      <c r="M329" s="69">
        <f t="shared" si="23"/>
        <v>7200</v>
      </c>
    </row>
    <row r="330" spans="1:13">
      <c r="A330" s="37">
        <v>54</v>
      </c>
      <c r="B330" s="38">
        <v>37062</v>
      </c>
      <c r="C330" s="39">
        <v>-3834233</v>
      </c>
      <c r="D330" s="39">
        <v>3606883</v>
      </c>
      <c r="E330" s="48">
        <v>78</v>
      </c>
      <c r="F330" s="44">
        <v>1000000</v>
      </c>
      <c r="G330" s="37">
        <v>74.599999999999994</v>
      </c>
      <c r="H330" s="67">
        <f t="shared" si="21"/>
        <v>746000</v>
      </c>
      <c r="I330" s="37">
        <v>1.2</v>
      </c>
      <c r="J330" s="68">
        <f t="shared" si="22"/>
        <v>12000</v>
      </c>
      <c r="K330" s="37">
        <v>0.7</v>
      </c>
      <c r="L330" s="70">
        <f t="shared" si="20"/>
        <v>7000</v>
      </c>
      <c r="M330" s="69">
        <f t="shared" si="23"/>
        <v>19000</v>
      </c>
    </row>
    <row r="331" spans="1:13">
      <c r="A331" s="37">
        <v>54</v>
      </c>
      <c r="B331" s="38">
        <v>37062</v>
      </c>
      <c r="C331" s="39">
        <v>-3834233</v>
      </c>
      <c r="D331" s="39">
        <v>3606883</v>
      </c>
      <c r="E331" s="48">
        <v>95</v>
      </c>
      <c r="F331" s="44">
        <v>620000</v>
      </c>
      <c r="G331" s="37">
        <v>58.6</v>
      </c>
      <c r="H331" s="67">
        <f t="shared" si="21"/>
        <v>363320</v>
      </c>
      <c r="I331" s="37">
        <v>9.1</v>
      </c>
      <c r="J331" s="68">
        <f t="shared" si="22"/>
        <v>56420</v>
      </c>
      <c r="K331" s="37"/>
      <c r="L331" s="70">
        <f t="shared" si="20"/>
        <v>0</v>
      </c>
      <c r="M331" s="69">
        <f t="shared" si="23"/>
        <v>56420</v>
      </c>
    </row>
    <row r="332" spans="1:13">
      <c r="A332" s="37">
        <v>54</v>
      </c>
      <c r="B332" s="38">
        <v>37062</v>
      </c>
      <c r="C332" s="39">
        <v>-3834233</v>
      </c>
      <c r="D332" s="39">
        <v>3606883</v>
      </c>
      <c r="E332" s="48">
        <v>200</v>
      </c>
      <c r="F332" s="44">
        <v>360000</v>
      </c>
      <c r="G332" s="37">
        <v>49.7</v>
      </c>
      <c r="H332" s="67">
        <f t="shared" si="21"/>
        <v>178920</v>
      </c>
      <c r="I332" s="37">
        <v>13.6</v>
      </c>
      <c r="J332" s="68">
        <f t="shared" si="22"/>
        <v>48960</v>
      </c>
      <c r="K332" s="37">
        <v>0</v>
      </c>
      <c r="L332" s="70">
        <f t="shared" si="20"/>
        <v>0</v>
      </c>
      <c r="M332" s="69">
        <f t="shared" si="23"/>
        <v>48960</v>
      </c>
    </row>
    <row r="333" spans="1:13">
      <c r="A333" s="37">
        <v>54</v>
      </c>
      <c r="B333" s="38">
        <v>37062</v>
      </c>
      <c r="C333" s="39">
        <v>-3834233</v>
      </c>
      <c r="D333" s="39">
        <v>3606883</v>
      </c>
      <c r="E333" s="48">
        <v>300</v>
      </c>
      <c r="F333" s="44">
        <v>270000</v>
      </c>
      <c r="G333" s="37">
        <v>46.3</v>
      </c>
      <c r="H333" s="67">
        <f t="shared" si="21"/>
        <v>125010</v>
      </c>
      <c r="I333" s="37">
        <v>11.1</v>
      </c>
      <c r="J333" s="68">
        <f t="shared" si="22"/>
        <v>29970</v>
      </c>
      <c r="K333" s="37">
        <v>0</v>
      </c>
      <c r="L333" s="70">
        <f t="shared" si="20"/>
        <v>0</v>
      </c>
      <c r="M333" s="69">
        <f t="shared" si="23"/>
        <v>29970</v>
      </c>
    </row>
    <row r="334" spans="1:13">
      <c r="A334" s="37">
        <v>55</v>
      </c>
      <c r="B334" s="38">
        <v>37062</v>
      </c>
      <c r="C334" s="39">
        <v>-3692067</v>
      </c>
      <c r="D334" s="39">
        <v>3645983</v>
      </c>
      <c r="E334" s="48">
        <v>9</v>
      </c>
      <c r="F334" s="44">
        <v>760000</v>
      </c>
      <c r="G334" s="37">
        <v>49.4</v>
      </c>
      <c r="H334" s="67">
        <f t="shared" si="21"/>
        <v>375440</v>
      </c>
      <c r="I334" s="37">
        <v>0.1</v>
      </c>
      <c r="J334" s="68">
        <f t="shared" si="22"/>
        <v>760</v>
      </c>
      <c r="K334" s="37">
        <v>0.3</v>
      </c>
      <c r="L334" s="70">
        <f t="shared" si="20"/>
        <v>2280</v>
      </c>
      <c r="M334" s="69">
        <f t="shared" si="23"/>
        <v>3040</v>
      </c>
    </row>
    <row r="335" spans="1:13">
      <c r="A335" s="37">
        <v>55</v>
      </c>
      <c r="B335" s="38">
        <v>37062</v>
      </c>
      <c r="C335" s="39">
        <v>-3692067</v>
      </c>
      <c r="D335" s="39">
        <v>3645983</v>
      </c>
      <c r="E335" s="48">
        <v>60</v>
      </c>
      <c r="F335" s="44">
        <v>1300000</v>
      </c>
      <c r="G335" s="37">
        <v>80.900000000000006</v>
      </c>
      <c r="H335" s="67">
        <f t="shared" si="21"/>
        <v>1051700</v>
      </c>
      <c r="I335" s="37">
        <v>0.2</v>
      </c>
      <c r="J335" s="68">
        <f t="shared" si="22"/>
        <v>2600</v>
      </c>
      <c r="K335" s="37">
        <v>0.4</v>
      </c>
      <c r="L335" s="70">
        <f t="shared" si="20"/>
        <v>5200</v>
      </c>
      <c r="M335" s="69">
        <f t="shared" si="23"/>
        <v>7800</v>
      </c>
    </row>
    <row r="336" spans="1:13">
      <c r="A336" s="37">
        <v>55</v>
      </c>
      <c r="B336" s="38">
        <v>37062</v>
      </c>
      <c r="C336" s="39">
        <v>-3692067</v>
      </c>
      <c r="D336" s="39">
        <v>3645983</v>
      </c>
      <c r="E336" s="48">
        <v>67</v>
      </c>
      <c r="F336" s="44">
        <v>740000</v>
      </c>
      <c r="G336" s="37">
        <v>64</v>
      </c>
      <c r="H336" s="67">
        <f t="shared" si="21"/>
        <v>473600</v>
      </c>
      <c r="I336" s="37">
        <v>0.5</v>
      </c>
      <c r="J336" s="68">
        <f t="shared" si="22"/>
        <v>3700</v>
      </c>
      <c r="K336" s="37">
        <v>2.2000000000000002</v>
      </c>
      <c r="L336" s="70">
        <f t="shared" si="20"/>
        <v>16280.000000000002</v>
      </c>
      <c r="M336" s="69">
        <f t="shared" si="23"/>
        <v>19980</v>
      </c>
    </row>
    <row r="337" spans="1:13">
      <c r="A337" s="37">
        <v>55</v>
      </c>
      <c r="B337" s="38">
        <v>37062</v>
      </c>
      <c r="C337" s="39">
        <v>-3692067</v>
      </c>
      <c r="D337" s="39">
        <v>3645983</v>
      </c>
      <c r="E337" s="48">
        <v>80</v>
      </c>
      <c r="F337" s="44">
        <v>530000</v>
      </c>
      <c r="G337" s="37">
        <v>54.7</v>
      </c>
      <c r="H337" s="67">
        <f t="shared" si="21"/>
        <v>289910</v>
      </c>
      <c r="I337" s="37">
        <v>11.1</v>
      </c>
      <c r="J337" s="68">
        <f t="shared" si="22"/>
        <v>58830</v>
      </c>
      <c r="K337" s="37">
        <v>1.2</v>
      </c>
      <c r="L337" s="70">
        <f t="shared" si="20"/>
        <v>6360</v>
      </c>
      <c r="M337" s="69">
        <f t="shared" si="23"/>
        <v>65190</v>
      </c>
    </row>
    <row r="338" spans="1:13">
      <c r="A338" s="37">
        <v>55</v>
      </c>
      <c r="B338" s="38">
        <v>37062</v>
      </c>
      <c r="C338" s="39">
        <v>-3692067</v>
      </c>
      <c r="D338" s="39">
        <v>3645983</v>
      </c>
      <c r="E338" s="48">
        <v>225</v>
      </c>
      <c r="F338" s="44">
        <v>270000</v>
      </c>
      <c r="G338" s="37">
        <v>47.2</v>
      </c>
      <c r="H338" s="67">
        <f t="shared" si="21"/>
        <v>127440</v>
      </c>
      <c r="I338" s="37">
        <v>20.5</v>
      </c>
      <c r="J338" s="68">
        <f t="shared" si="22"/>
        <v>55350</v>
      </c>
      <c r="K338" s="37">
        <v>0</v>
      </c>
      <c r="L338" s="70">
        <f t="shared" si="20"/>
        <v>0</v>
      </c>
      <c r="M338" s="69">
        <f t="shared" si="23"/>
        <v>55350</v>
      </c>
    </row>
    <row r="339" spans="1:13">
      <c r="A339" s="37">
        <v>55</v>
      </c>
      <c r="B339" s="38">
        <v>37062</v>
      </c>
      <c r="C339" s="39">
        <v>-3692067</v>
      </c>
      <c r="D339" s="39">
        <v>3645983</v>
      </c>
      <c r="E339" s="48">
        <v>300</v>
      </c>
      <c r="F339" s="44">
        <v>200000</v>
      </c>
      <c r="G339" s="37">
        <v>49.9</v>
      </c>
      <c r="H339" s="67">
        <f t="shared" si="21"/>
        <v>99800</v>
      </c>
      <c r="I339" s="37">
        <v>14.2</v>
      </c>
      <c r="J339" s="68">
        <f t="shared" si="22"/>
        <v>28400</v>
      </c>
      <c r="K339" s="37">
        <v>0</v>
      </c>
      <c r="L339" s="70">
        <f t="shared" si="20"/>
        <v>0</v>
      </c>
      <c r="M339" s="69">
        <f t="shared" si="23"/>
        <v>28400</v>
      </c>
    </row>
    <row r="340" spans="1:13">
      <c r="A340" s="41">
        <v>57</v>
      </c>
      <c r="B340" s="42">
        <v>37063</v>
      </c>
      <c r="C340" s="43">
        <v>-3283667</v>
      </c>
      <c r="D340" s="43">
        <v>3757250</v>
      </c>
      <c r="E340" s="49">
        <v>8</v>
      </c>
      <c r="F340" s="45">
        <v>810000</v>
      </c>
      <c r="G340" s="41">
        <v>89.4</v>
      </c>
      <c r="H340" s="67">
        <f t="shared" si="21"/>
        <v>724140</v>
      </c>
      <c r="I340" s="41">
        <v>0</v>
      </c>
      <c r="J340" s="68">
        <f t="shared" si="22"/>
        <v>0</v>
      </c>
      <c r="K340" s="41">
        <v>0.4</v>
      </c>
      <c r="L340" s="70">
        <f t="shared" si="20"/>
        <v>3240</v>
      </c>
      <c r="M340" s="69">
        <f t="shared" si="23"/>
        <v>3240</v>
      </c>
    </row>
    <row r="341" spans="1:13">
      <c r="A341" s="41">
        <v>57</v>
      </c>
      <c r="B341" s="42">
        <v>37063</v>
      </c>
      <c r="C341" s="43">
        <v>-3283667</v>
      </c>
      <c r="D341" s="43">
        <v>3757250</v>
      </c>
      <c r="E341" s="49">
        <v>55</v>
      </c>
      <c r="F341" s="45">
        <v>1500000</v>
      </c>
      <c r="G341" s="41">
        <v>73.5</v>
      </c>
      <c r="H341" s="67">
        <f t="shared" si="21"/>
        <v>1102500</v>
      </c>
      <c r="I341" s="41">
        <v>1.2</v>
      </c>
      <c r="J341" s="68">
        <f t="shared" si="22"/>
        <v>18000</v>
      </c>
      <c r="K341" s="41">
        <v>0.5</v>
      </c>
      <c r="L341" s="70">
        <f t="shared" si="20"/>
        <v>7500</v>
      </c>
      <c r="M341" s="69">
        <f t="shared" si="23"/>
        <v>25500</v>
      </c>
    </row>
    <row r="342" spans="1:13">
      <c r="A342" s="41">
        <v>57</v>
      </c>
      <c r="B342" s="42">
        <v>37063</v>
      </c>
      <c r="C342" s="43">
        <v>-3283667</v>
      </c>
      <c r="D342" s="43">
        <v>3757250</v>
      </c>
      <c r="E342" s="49">
        <v>62</v>
      </c>
      <c r="F342" s="45">
        <v>1200000</v>
      </c>
      <c r="G342" s="41">
        <v>65.2</v>
      </c>
      <c r="H342" s="67">
        <f t="shared" si="21"/>
        <v>782400</v>
      </c>
      <c r="I342" s="41">
        <v>4.9000000000000004</v>
      </c>
      <c r="J342" s="68">
        <f t="shared" si="22"/>
        <v>58800</v>
      </c>
      <c r="K342" s="41">
        <v>0.5</v>
      </c>
      <c r="L342" s="70">
        <f t="shared" si="20"/>
        <v>6000</v>
      </c>
      <c r="M342" s="69">
        <f t="shared" si="23"/>
        <v>64800</v>
      </c>
    </row>
    <row r="343" spans="1:13">
      <c r="A343" s="41">
        <v>57</v>
      </c>
      <c r="B343" s="42">
        <v>37063</v>
      </c>
      <c r="C343" s="43">
        <v>-3283667</v>
      </c>
      <c r="D343" s="43">
        <v>3757250</v>
      </c>
      <c r="E343" s="49">
        <v>70</v>
      </c>
      <c r="F343" s="45">
        <v>1100000</v>
      </c>
      <c r="G343" s="41">
        <v>64.5</v>
      </c>
      <c r="H343" s="67">
        <f t="shared" si="21"/>
        <v>709500</v>
      </c>
      <c r="I343" s="41">
        <v>6.8</v>
      </c>
      <c r="J343" s="68">
        <f t="shared" si="22"/>
        <v>74800</v>
      </c>
      <c r="K343" s="41">
        <v>1.3</v>
      </c>
      <c r="L343" s="70">
        <f t="shared" si="20"/>
        <v>14300</v>
      </c>
      <c r="M343" s="69">
        <f t="shared" si="23"/>
        <v>89100</v>
      </c>
    </row>
    <row r="344" spans="1:13">
      <c r="A344" s="41">
        <v>57</v>
      </c>
      <c r="B344" s="42">
        <v>37063</v>
      </c>
      <c r="C344" s="43">
        <v>-3283667</v>
      </c>
      <c r="D344" s="43">
        <v>3757250</v>
      </c>
      <c r="E344" s="49">
        <v>225</v>
      </c>
      <c r="F344" s="45">
        <v>300000</v>
      </c>
      <c r="G344" s="41">
        <v>52.4</v>
      </c>
      <c r="H344" s="67">
        <f t="shared" si="21"/>
        <v>157200</v>
      </c>
      <c r="I344" s="41">
        <v>14.3</v>
      </c>
      <c r="J344" s="68">
        <f t="shared" si="22"/>
        <v>42900</v>
      </c>
      <c r="K344" s="41">
        <v>0.4</v>
      </c>
      <c r="L344" s="70">
        <f t="shared" si="20"/>
        <v>1200</v>
      </c>
      <c r="M344" s="69">
        <f t="shared" si="23"/>
        <v>44100</v>
      </c>
    </row>
    <row r="345" spans="1:13">
      <c r="A345" s="41">
        <v>57</v>
      </c>
      <c r="B345" s="42">
        <v>37063</v>
      </c>
      <c r="C345" s="43">
        <v>-3283667</v>
      </c>
      <c r="D345" s="43">
        <v>3757250</v>
      </c>
      <c r="E345" s="49">
        <v>300</v>
      </c>
      <c r="F345" s="45">
        <v>270000</v>
      </c>
      <c r="G345" s="41">
        <v>50.1</v>
      </c>
      <c r="H345" s="67">
        <f t="shared" si="21"/>
        <v>135270</v>
      </c>
      <c r="I345" s="41">
        <v>19.399999999999999</v>
      </c>
      <c r="J345" s="68">
        <f t="shared" si="22"/>
        <v>52380</v>
      </c>
      <c r="K345" s="41">
        <v>0.2</v>
      </c>
      <c r="L345" s="70">
        <f t="shared" si="20"/>
        <v>540</v>
      </c>
      <c r="M345" s="69">
        <f t="shared" si="23"/>
        <v>52920</v>
      </c>
    </row>
    <row r="346" spans="1:13">
      <c r="A346" s="41">
        <v>58</v>
      </c>
      <c r="B346" s="42">
        <v>37064</v>
      </c>
      <c r="C346" s="43">
        <v>-3006383</v>
      </c>
      <c r="D346" s="43">
        <v>3830533</v>
      </c>
      <c r="E346" s="49">
        <v>7</v>
      </c>
      <c r="F346" s="45">
        <v>1100000</v>
      </c>
      <c r="G346" s="41">
        <v>88</v>
      </c>
      <c r="H346" s="67">
        <f t="shared" si="21"/>
        <v>968000</v>
      </c>
      <c r="I346" s="41">
        <v>0.8</v>
      </c>
      <c r="J346" s="68">
        <f t="shared" si="22"/>
        <v>8800</v>
      </c>
      <c r="K346" s="41">
        <v>0</v>
      </c>
      <c r="L346" s="70">
        <f t="shared" si="20"/>
        <v>0</v>
      </c>
      <c r="M346" s="69">
        <f t="shared" si="23"/>
        <v>8800</v>
      </c>
    </row>
    <row r="347" spans="1:13">
      <c r="A347" s="41">
        <v>58</v>
      </c>
      <c r="B347" s="42">
        <v>37064</v>
      </c>
      <c r="C347" s="43">
        <v>-3006383</v>
      </c>
      <c r="D347" s="43">
        <v>3830533</v>
      </c>
      <c r="E347" s="49">
        <v>36</v>
      </c>
      <c r="F347" s="45">
        <v>990000</v>
      </c>
      <c r="G347" s="41">
        <v>84.9</v>
      </c>
      <c r="H347" s="67">
        <f t="shared" si="21"/>
        <v>840510</v>
      </c>
      <c r="I347" s="41">
        <v>0.9</v>
      </c>
      <c r="J347" s="68">
        <f t="shared" si="22"/>
        <v>8910</v>
      </c>
      <c r="K347" s="41">
        <v>0</v>
      </c>
      <c r="L347" s="70">
        <f t="shared" si="20"/>
        <v>0</v>
      </c>
      <c r="M347" s="69">
        <f t="shared" si="23"/>
        <v>8910</v>
      </c>
    </row>
    <row r="348" spans="1:13">
      <c r="A348" s="41">
        <v>58</v>
      </c>
      <c r="B348" s="42">
        <v>37064</v>
      </c>
      <c r="C348" s="43">
        <v>-3006383</v>
      </c>
      <c r="D348" s="43">
        <v>3830533</v>
      </c>
      <c r="E348" s="49">
        <v>49</v>
      </c>
      <c r="F348" s="45">
        <v>1200000</v>
      </c>
      <c r="G348" s="41">
        <v>67.5</v>
      </c>
      <c r="H348" s="67">
        <f t="shared" si="21"/>
        <v>810000</v>
      </c>
      <c r="I348" s="41">
        <v>0.4</v>
      </c>
      <c r="J348" s="68">
        <f t="shared" si="22"/>
        <v>4800</v>
      </c>
      <c r="K348" s="41">
        <v>0.2</v>
      </c>
      <c r="L348" s="70">
        <f t="shared" si="20"/>
        <v>2400</v>
      </c>
      <c r="M348" s="69">
        <f t="shared" si="23"/>
        <v>7200</v>
      </c>
    </row>
    <row r="349" spans="1:13">
      <c r="A349" s="41">
        <v>58</v>
      </c>
      <c r="B349" s="42">
        <v>37064</v>
      </c>
      <c r="C349" s="43">
        <v>-3006383</v>
      </c>
      <c r="D349" s="43">
        <v>3830533</v>
      </c>
      <c r="E349" s="49">
        <v>65</v>
      </c>
      <c r="F349" s="45">
        <v>1100000</v>
      </c>
      <c r="G349" s="41">
        <v>55.7</v>
      </c>
      <c r="H349" s="67">
        <f t="shared" si="21"/>
        <v>612700</v>
      </c>
      <c r="I349" s="41">
        <v>1.4</v>
      </c>
      <c r="J349" s="68">
        <f t="shared" si="22"/>
        <v>15400</v>
      </c>
      <c r="K349" s="41">
        <v>0.1</v>
      </c>
      <c r="L349" s="70">
        <f t="shared" si="20"/>
        <v>1100</v>
      </c>
      <c r="M349" s="69">
        <f t="shared" si="23"/>
        <v>16500</v>
      </c>
    </row>
    <row r="350" spans="1:13">
      <c r="A350" s="41">
        <v>58</v>
      </c>
      <c r="B350" s="42">
        <v>37064</v>
      </c>
      <c r="C350" s="43">
        <v>-3006383</v>
      </c>
      <c r="D350" s="43">
        <v>3830533</v>
      </c>
      <c r="E350" s="49">
        <v>150</v>
      </c>
      <c r="F350" s="45">
        <v>430000</v>
      </c>
      <c r="G350" s="41">
        <v>42.6</v>
      </c>
      <c r="H350" s="67">
        <f t="shared" si="21"/>
        <v>183180</v>
      </c>
      <c r="I350" s="41">
        <v>16.100000000000001</v>
      </c>
      <c r="J350" s="68">
        <f t="shared" si="22"/>
        <v>69230.000000000015</v>
      </c>
      <c r="K350" s="41">
        <v>0.1</v>
      </c>
      <c r="L350" s="70">
        <f t="shared" si="20"/>
        <v>430</v>
      </c>
      <c r="M350" s="69">
        <f t="shared" si="23"/>
        <v>69660.000000000015</v>
      </c>
    </row>
    <row r="351" spans="1:13">
      <c r="A351" s="41">
        <v>58</v>
      </c>
      <c r="B351" s="42">
        <v>37064</v>
      </c>
      <c r="C351" s="43">
        <v>-3006383</v>
      </c>
      <c r="D351" s="43">
        <v>3830533</v>
      </c>
      <c r="E351" s="49">
        <v>300</v>
      </c>
      <c r="F351" s="45">
        <v>290000</v>
      </c>
      <c r="G351" s="41">
        <v>56.1</v>
      </c>
      <c r="H351" s="67">
        <f t="shared" si="21"/>
        <v>162690</v>
      </c>
      <c r="I351" s="41">
        <v>20.100000000000001</v>
      </c>
      <c r="J351" s="68">
        <f t="shared" si="22"/>
        <v>58290</v>
      </c>
      <c r="K351" s="41">
        <v>0</v>
      </c>
      <c r="L351" s="70">
        <f t="shared" si="20"/>
        <v>0</v>
      </c>
      <c r="M351" s="69">
        <f t="shared" si="23"/>
        <v>58290</v>
      </c>
    </row>
    <row r="352" spans="1:13">
      <c r="A352" s="41">
        <v>59</v>
      </c>
      <c r="B352" s="42">
        <v>37064</v>
      </c>
      <c r="C352" s="43">
        <v>-2882183</v>
      </c>
      <c r="D352" s="43">
        <v>3926250</v>
      </c>
      <c r="E352" s="49">
        <v>9</v>
      </c>
      <c r="F352" s="45">
        <v>990000</v>
      </c>
      <c r="G352" s="41">
        <v>82.2</v>
      </c>
      <c r="H352" s="67">
        <f t="shared" si="21"/>
        <v>813780</v>
      </c>
      <c r="I352" s="41">
        <v>0.1</v>
      </c>
      <c r="J352" s="68">
        <f t="shared" si="22"/>
        <v>990</v>
      </c>
      <c r="K352" s="41">
        <v>0.4</v>
      </c>
      <c r="L352" s="70">
        <f t="shared" si="20"/>
        <v>3960</v>
      </c>
      <c r="M352" s="69">
        <f t="shared" si="23"/>
        <v>4950</v>
      </c>
    </row>
    <row r="353" spans="1:13">
      <c r="A353" s="41">
        <v>59</v>
      </c>
      <c r="B353" s="42">
        <v>37064</v>
      </c>
      <c r="C353" s="43">
        <v>-2882183</v>
      </c>
      <c r="D353" s="43">
        <v>3926250</v>
      </c>
      <c r="E353" s="49">
        <v>60</v>
      </c>
      <c r="F353" s="45">
        <v>1500000</v>
      </c>
      <c r="G353" s="41">
        <v>79.8</v>
      </c>
      <c r="H353" s="67">
        <f t="shared" si="21"/>
        <v>1197000</v>
      </c>
      <c r="I353" s="41">
        <v>0.9</v>
      </c>
      <c r="J353" s="68">
        <f t="shared" si="22"/>
        <v>13500</v>
      </c>
      <c r="K353" s="41">
        <v>0.2</v>
      </c>
      <c r="L353" s="70">
        <f t="shared" si="20"/>
        <v>3000</v>
      </c>
      <c r="M353" s="69">
        <f t="shared" si="23"/>
        <v>16500</v>
      </c>
    </row>
    <row r="354" spans="1:13">
      <c r="A354" s="41">
        <v>59</v>
      </c>
      <c r="B354" s="42">
        <v>37064</v>
      </c>
      <c r="C354" s="43">
        <v>-2882183</v>
      </c>
      <c r="D354" s="43">
        <v>3926250</v>
      </c>
      <c r="E354" s="49">
        <v>68</v>
      </c>
      <c r="F354" s="45">
        <v>1300000</v>
      </c>
      <c r="G354" s="41">
        <v>65.599999999999994</v>
      </c>
      <c r="H354" s="67">
        <f t="shared" si="21"/>
        <v>852800</v>
      </c>
      <c r="I354" s="41">
        <v>0.9</v>
      </c>
      <c r="J354" s="68">
        <f t="shared" si="22"/>
        <v>11700</v>
      </c>
      <c r="K354" s="41">
        <v>0.6</v>
      </c>
      <c r="L354" s="70">
        <f t="shared" si="20"/>
        <v>7800</v>
      </c>
      <c r="M354" s="69">
        <f t="shared" si="23"/>
        <v>19500</v>
      </c>
    </row>
    <row r="355" spans="1:13">
      <c r="A355" s="41">
        <v>59</v>
      </c>
      <c r="B355" s="42">
        <v>37064</v>
      </c>
      <c r="C355" s="43">
        <v>-2882183</v>
      </c>
      <c r="D355" s="43">
        <v>3926250</v>
      </c>
      <c r="E355" s="49">
        <v>75</v>
      </c>
      <c r="F355" s="45">
        <v>1100000</v>
      </c>
      <c r="G355" s="41">
        <v>59.6</v>
      </c>
      <c r="H355" s="67">
        <f t="shared" si="21"/>
        <v>655600</v>
      </c>
      <c r="I355" s="41">
        <v>5.7</v>
      </c>
      <c r="J355" s="68">
        <f t="shared" si="22"/>
        <v>62700</v>
      </c>
      <c r="K355" s="41">
        <v>1.1000000000000001</v>
      </c>
      <c r="L355" s="70">
        <f t="shared" si="20"/>
        <v>12100</v>
      </c>
      <c r="M355" s="69">
        <f t="shared" si="23"/>
        <v>74800</v>
      </c>
    </row>
    <row r="356" spans="1:13">
      <c r="A356" s="41">
        <v>59</v>
      </c>
      <c r="B356" s="42">
        <v>37064</v>
      </c>
      <c r="C356" s="43">
        <v>-2882183</v>
      </c>
      <c r="D356" s="43">
        <v>3926250</v>
      </c>
      <c r="E356" s="49">
        <v>225</v>
      </c>
      <c r="F356" s="45">
        <v>330000</v>
      </c>
      <c r="G356" s="41">
        <v>40.5</v>
      </c>
      <c r="H356" s="67">
        <f t="shared" si="21"/>
        <v>133650</v>
      </c>
      <c r="I356" s="41"/>
      <c r="J356" s="68">
        <f t="shared" si="22"/>
        <v>0</v>
      </c>
      <c r="K356" s="41">
        <v>1.3</v>
      </c>
      <c r="L356" s="70">
        <f t="shared" si="20"/>
        <v>4290</v>
      </c>
      <c r="M356" s="69">
        <f t="shared" si="23"/>
        <v>4290</v>
      </c>
    </row>
    <row r="357" spans="1:13">
      <c r="A357" s="41">
        <v>59</v>
      </c>
      <c r="B357" s="42">
        <v>37064</v>
      </c>
      <c r="C357" s="43">
        <v>-2882183</v>
      </c>
      <c r="D357" s="43">
        <v>3926250</v>
      </c>
      <c r="E357" s="49">
        <v>300</v>
      </c>
      <c r="F357" s="45">
        <v>280000</v>
      </c>
      <c r="G357" s="41">
        <v>50.1</v>
      </c>
      <c r="H357" s="67">
        <f t="shared" si="21"/>
        <v>140280</v>
      </c>
      <c r="I357" s="41">
        <v>21.6</v>
      </c>
      <c r="J357" s="68">
        <f t="shared" si="22"/>
        <v>60480</v>
      </c>
      <c r="K357" s="41">
        <v>0.1</v>
      </c>
      <c r="L357" s="70">
        <f t="shared" si="20"/>
        <v>280</v>
      </c>
      <c r="M357" s="69">
        <f t="shared" si="23"/>
        <v>60760</v>
      </c>
    </row>
    <row r="358" spans="1:13">
      <c r="A358" s="41">
        <v>60</v>
      </c>
      <c r="B358" s="42">
        <v>37065</v>
      </c>
      <c r="C358" s="43">
        <v>-2637683</v>
      </c>
      <c r="D358" s="43">
        <v>4113867</v>
      </c>
      <c r="E358" s="49">
        <v>10</v>
      </c>
      <c r="F358" s="45">
        <v>1000000</v>
      </c>
      <c r="G358" s="41">
        <v>81.400000000000006</v>
      </c>
      <c r="H358" s="67">
        <f t="shared" si="21"/>
        <v>814000</v>
      </c>
      <c r="I358" s="41">
        <v>0.2</v>
      </c>
      <c r="J358" s="68">
        <f t="shared" si="22"/>
        <v>2000</v>
      </c>
      <c r="K358" s="41">
        <v>0</v>
      </c>
      <c r="L358" s="70">
        <f t="shared" si="20"/>
        <v>0</v>
      </c>
      <c r="M358" s="69">
        <f t="shared" si="23"/>
        <v>2000</v>
      </c>
    </row>
    <row r="359" spans="1:13">
      <c r="A359" s="41">
        <v>60</v>
      </c>
      <c r="B359" s="42">
        <v>37065</v>
      </c>
      <c r="C359" s="43">
        <v>-2637683</v>
      </c>
      <c r="D359" s="43">
        <v>4113867</v>
      </c>
      <c r="E359" s="49">
        <v>65</v>
      </c>
      <c r="F359" s="45">
        <v>1700000</v>
      </c>
      <c r="G359" s="41">
        <v>61.3</v>
      </c>
      <c r="H359" s="67">
        <f t="shared" si="21"/>
        <v>1042100</v>
      </c>
      <c r="I359" s="41">
        <v>0.2</v>
      </c>
      <c r="J359" s="68">
        <f t="shared" si="22"/>
        <v>3400</v>
      </c>
      <c r="K359" s="41">
        <v>0.1</v>
      </c>
      <c r="L359" s="70">
        <f t="shared" si="20"/>
        <v>1700</v>
      </c>
      <c r="M359" s="69">
        <f t="shared" si="23"/>
        <v>5100</v>
      </c>
    </row>
    <row r="360" spans="1:13">
      <c r="A360" s="41">
        <v>60</v>
      </c>
      <c r="B360" s="42">
        <v>37065</v>
      </c>
      <c r="C360" s="43">
        <v>-2637683</v>
      </c>
      <c r="D360" s="43">
        <v>4113867</v>
      </c>
      <c r="E360" s="49">
        <v>80</v>
      </c>
      <c r="F360" s="45">
        <v>1700000</v>
      </c>
      <c r="G360" s="41">
        <v>65.7</v>
      </c>
      <c r="H360" s="67">
        <f t="shared" si="21"/>
        <v>1116900</v>
      </c>
      <c r="I360" s="41">
        <v>0.3</v>
      </c>
      <c r="J360" s="68">
        <f t="shared" si="22"/>
        <v>5100</v>
      </c>
      <c r="K360" s="41">
        <v>0.1</v>
      </c>
      <c r="L360" s="70">
        <f t="shared" ref="L360:L395" si="24">(K360*F360)/100</f>
        <v>1700</v>
      </c>
      <c r="M360" s="69">
        <f t="shared" si="23"/>
        <v>6800</v>
      </c>
    </row>
    <row r="361" spans="1:13">
      <c r="A361" s="41">
        <v>60</v>
      </c>
      <c r="B361" s="42">
        <v>37065</v>
      </c>
      <c r="C361" s="43">
        <v>-2637683</v>
      </c>
      <c r="D361" s="43">
        <v>4113867</v>
      </c>
      <c r="E361" s="49">
        <v>95</v>
      </c>
      <c r="F361" s="45">
        <v>1500000</v>
      </c>
      <c r="G361" s="41">
        <v>61.4</v>
      </c>
      <c r="H361" s="67">
        <f t="shared" si="21"/>
        <v>921000</v>
      </c>
      <c r="I361" s="41">
        <v>2.6</v>
      </c>
      <c r="J361" s="68">
        <f t="shared" si="22"/>
        <v>39000</v>
      </c>
      <c r="K361" s="41">
        <v>1.2</v>
      </c>
      <c r="L361" s="70">
        <f t="shared" si="24"/>
        <v>18000</v>
      </c>
      <c r="M361" s="69">
        <f t="shared" si="23"/>
        <v>57000</v>
      </c>
    </row>
    <row r="362" spans="1:13">
      <c r="A362" s="41">
        <v>60</v>
      </c>
      <c r="B362" s="42">
        <v>37065</v>
      </c>
      <c r="C362" s="43">
        <v>-2637683</v>
      </c>
      <c r="D362" s="43">
        <v>4113867</v>
      </c>
      <c r="E362" s="49">
        <v>200</v>
      </c>
      <c r="F362" s="45">
        <v>330000</v>
      </c>
      <c r="G362" s="41">
        <v>52.3</v>
      </c>
      <c r="H362" s="67">
        <f t="shared" si="21"/>
        <v>172590</v>
      </c>
      <c r="I362" s="41">
        <v>14.8</v>
      </c>
      <c r="J362" s="68">
        <f t="shared" si="22"/>
        <v>48840</v>
      </c>
      <c r="K362" s="41">
        <v>0</v>
      </c>
      <c r="L362" s="70">
        <f t="shared" si="24"/>
        <v>0</v>
      </c>
      <c r="M362" s="69">
        <f t="shared" si="23"/>
        <v>48840</v>
      </c>
    </row>
    <row r="363" spans="1:13">
      <c r="A363" s="41">
        <v>60</v>
      </c>
      <c r="B363" s="42">
        <v>37065</v>
      </c>
      <c r="C363" s="43">
        <v>-2637683</v>
      </c>
      <c r="D363" s="43">
        <v>4113867</v>
      </c>
      <c r="E363" s="49">
        <v>400</v>
      </c>
      <c r="F363" s="45">
        <v>160000</v>
      </c>
      <c r="G363" s="41">
        <v>45.5</v>
      </c>
      <c r="H363" s="67">
        <f t="shared" si="21"/>
        <v>72800</v>
      </c>
      <c r="I363" s="41">
        <v>24.9</v>
      </c>
      <c r="J363" s="68">
        <f t="shared" si="22"/>
        <v>39840</v>
      </c>
      <c r="K363" s="41">
        <v>0</v>
      </c>
      <c r="L363" s="70">
        <f t="shared" si="24"/>
        <v>0</v>
      </c>
      <c r="M363" s="69">
        <f t="shared" si="23"/>
        <v>39840</v>
      </c>
    </row>
    <row r="364" spans="1:13">
      <c r="A364" s="41">
        <v>60</v>
      </c>
      <c r="B364" s="42">
        <v>37065</v>
      </c>
      <c r="C364" s="43">
        <v>-2637683</v>
      </c>
      <c r="D364" s="43">
        <v>4113867</v>
      </c>
      <c r="E364" s="49">
        <v>800</v>
      </c>
      <c r="F364" s="45">
        <v>90000</v>
      </c>
      <c r="G364" s="41">
        <v>46</v>
      </c>
      <c r="H364" s="67">
        <f t="shared" si="21"/>
        <v>41400</v>
      </c>
      <c r="I364" s="41">
        <v>16.3</v>
      </c>
      <c r="J364" s="68">
        <f t="shared" si="22"/>
        <v>14670</v>
      </c>
      <c r="K364" s="41"/>
      <c r="L364" s="70">
        <f t="shared" si="24"/>
        <v>0</v>
      </c>
      <c r="M364" s="69">
        <f t="shared" si="23"/>
        <v>14670</v>
      </c>
    </row>
    <row r="365" spans="1:13">
      <c r="A365" s="41">
        <v>60</v>
      </c>
      <c r="B365" s="42">
        <v>37065</v>
      </c>
      <c r="C365" s="43">
        <v>-2637683</v>
      </c>
      <c r="D365" s="43">
        <v>4113867</v>
      </c>
      <c r="E365" s="49">
        <v>1000</v>
      </c>
      <c r="F365" s="45">
        <v>90000</v>
      </c>
      <c r="G365" s="41">
        <v>50.6</v>
      </c>
      <c r="H365" s="67">
        <f t="shared" si="21"/>
        <v>45540</v>
      </c>
      <c r="I365" s="41">
        <v>15.6</v>
      </c>
      <c r="J365" s="68">
        <f t="shared" si="22"/>
        <v>14040</v>
      </c>
      <c r="K365" s="41">
        <v>0</v>
      </c>
      <c r="L365" s="70">
        <f t="shared" si="24"/>
        <v>0</v>
      </c>
      <c r="M365" s="69">
        <f t="shared" si="23"/>
        <v>14040</v>
      </c>
    </row>
    <row r="366" spans="1:13">
      <c r="A366" s="41">
        <v>61</v>
      </c>
      <c r="B366" s="42">
        <v>37065</v>
      </c>
      <c r="C366" s="43">
        <v>-2507000</v>
      </c>
      <c r="D366" s="43">
        <v>4211100</v>
      </c>
      <c r="E366" s="49">
        <v>7</v>
      </c>
      <c r="F366" s="45">
        <v>900000</v>
      </c>
      <c r="G366" s="41">
        <v>89.9</v>
      </c>
      <c r="H366" s="67">
        <f t="shared" si="21"/>
        <v>809100</v>
      </c>
      <c r="I366" s="41">
        <v>0</v>
      </c>
      <c r="J366" s="68">
        <f t="shared" si="22"/>
        <v>0</v>
      </c>
      <c r="K366" s="41">
        <v>0.5</v>
      </c>
      <c r="L366" s="70">
        <f t="shared" si="24"/>
        <v>4500</v>
      </c>
      <c r="M366" s="69">
        <f t="shared" si="23"/>
        <v>4500</v>
      </c>
    </row>
    <row r="367" spans="1:13">
      <c r="A367" s="41">
        <v>61</v>
      </c>
      <c r="B367" s="42">
        <v>37065</v>
      </c>
      <c r="C367" s="43">
        <v>-2507000</v>
      </c>
      <c r="D367" s="43">
        <v>4211100</v>
      </c>
      <c r="E367" s="49">
        <v>47</v>
      </c>
      <c r="F367" s="45">
        <v>1100000</v>
      </c>
      <c r="G367" s="41">
        <v>76.900000000000006</v>
      </c>
      <c r="H367" s="67">
        <f t="shared" si="21"/>
        <v>845900</v>
      </c>
      <c r="I367" s="41">
        <v>0.5</v>
      </c>
      <c r="J367" s="68">
        <f t="shared" si="22"/>
        <v>5500</v>
      </c>
      <c r="K367" s="41">
        <v>0.7</v>
      </c>
      <c r="L367" s="70">
        <f t="shared" si="24"/>
        <v>7700</v>
      </c>
      <c r="M367" s="69">
        <f t="shared" si="23"/>
        <v>13200</v>
      </c>
    </row>
    <row r="368" spans="1:13">
      <c r="A368" s="41">
        <v>61</v>
      </c>
      <c r="B368" s="42">
        <v>37065</v>
      </c>
      <c r="C368" s="43">
        <v>-2507000</v>
      </c>
      <c r="D368" s="43">
        <v>4211100</v>
      </c>
      <c r="E368" s="49">
        <v>52</v>
      </c>
      <c r="F368" s="45">
        <v>1100000</v>
      </c>
      <c r="G368" s="41">
        <v>75.7</v>
      </c>
      <c r="H368" s="67">
        <f t="shared" si="21"/>
        <v>832700</v>
      </c>
      <c r="I368" s="41">
        <v>1.1000000000000001</v>
      </c>
      <c r="J368" s="68">
        <f t="shared" si="22"/>
        <v>12100</v>
      </c>
      <c r="K368" s="41">
        <v>0.5</v>
      </c>
      <c r="L368" s="70">
        <f t="shared" si="24"/>
        <v>5500</v>
      </c>
      <c r="M368" s="69">
        <f t="shared" si="23"/>
        <v>17600</v>
      </c>
    </row>
    <row r="369" spans="1:13">
      <c r="A369" s="41">
        <v>61</v>
      </c>
      <c r="B369" s="42">
        <v>37065</v>
      </c>
      <c r="C369" s="43">
        <v>-2507000</v>
      </c>
      <c r="D369" s="43">
        <v>4211100</v>
      </c>
      <c r="E369" s="49">
        <v>57</v>
      </c>
      <c r="F369" s="45">
        <v>700000</v>
      </c>
      <c r="G369" s="41">
        <v>71.2</v>
      </c>
      <c r="H369" s="67">
        <f t="shared" si="21"/>
        <v>498400</v>
      </c>
      <c r="I369" s="41">
        <v>9</v>
      </c>
      <c r="J369" s="68">
        <f t="shared" si="22"/>
        <v>63000</v>
      </c>
      <c r="K369" s="41">
        <v>1</v>
      </c>
      <c r="L369" s="70">
        <f t="shared" si="24"/>
        <v>7000</v>
      </c>
      <c r="M369" s="69">
        <f t="shared" si="23"/>
        <v>70000</v>
      </c>
    </row>
    <row r="370" spans="1:13">
      <c r="A370" s="41">
        <v>61</v>
      </c>
      <c r="B370" s="42">
        <v>37065</v>
      </c>
      <c r="C370" s="43">
        <v>-2507000</v>
      </c>
      <c r="D370" s="43">
        <v>4211100</v>
      </c>
      <c r="E370" s="49">
        <v>225</v>
      </c>
      <c r="F370" s="45">
        <v>350000</v>
      </c>
      <c r="G370" s="41">
        <v>48.3</v>
      </c>
      <c r="H370" s="67">
        <f t="shared" si="21"/>
        <v>169050</v>
      </c>
      <c r="I370" s="41">
        <v>18.100000000000001</v>
      </c>
      <c r="J370" s="68">
        <f t="shared" si="22"/>
        <v>63350.000000000007</v>
      </c>
      <c r="K370" s="41"/>
      <c r="L370" s="70">
        <f t="shared" si="24"/>
        <v>0</v>
      </c>
      <c r="M370" s="69">
        <f t="shared" si="23"/>
        <v>63350.000000000007</v>
      </c>
    </row>
    <row r="371" spans="1:13">
      <c r="A371" s="41">
        <v>61</v>
      </c>
      <c r="B371" s="42">
        <v>37065</v>
      </c>
      <c r="C371" s="43">
        <v>-2507000</v>
      </c>
      <c r="D371" s="43">
        <v>4211100</v>
      </c>
      <c r="E371" s="49">
        <v>300</v>
      </c>
      <c r="F371" s="45">
        <v>270000</v>
      </c>
      <c r="G371" s="41">
        <v>40.700000000000003</v>
      </c>
      <c r="H371" s="67">
        <f t="shared" si="21"/>
        <v>109890</v>
      </c>
      <c r="I371" s="41">
        <v>12.4</v>
      </c>
      <c r="J371" s="68">
        <f t="shared" si="22"/>
        <v>33480</v>
      </c>
      <c r="K371" s="41"/>
      <c r="L371" s="70">
        <f t="shared" si="24"/>
        <v>0</v>
      </c>
      <c r="M371" s="69">
        <f t="shared" si="23"/>
        <v>33480</v>
      </c>
    </row>
    <row r="372" spans="1:13">
      <c r="A372" s="41">
        <v>62</v>
      </c>
      <c r="B372" s="42">
        <v>37066</v>
      </c>
      <c r="C372" s="43">
        <v>-2287333</v>
      </c>
      <c r="D372" s="43">
        <v>4373517</v>
      </c>
      <c r="E372" s="49">
        <v>7</v>
      </c>
      <c r="F372" s="45">
        <v>610000</v>
      </c>
      <c r="G372" s="41">
        <v>87.7</v>
      </c>
      <c r="H372" s="67">
        <f t="shared" si="21"/>
        <v>534970</v>
      </c>
      <c r="I372" s="41">
        <v>0.6</v>
      </c>
      <c r="J372" s="68">
        <f t="shared" si="22"/>
        <v>3660</v>
      </c>
      <c r="K372" s="41">
        <v>0</v>
      </c>
      <c r="L372" s="70">
        <f t="shared" si="24"/>
        <v>0</v>
      </c>
      <c r="M372" s="69">
        <f t="shared" si="23"/>
        <v>3660</v>
      </c>
    </row>
    <row r="373" spans="1:13">
      <c r="A373" s="41">
        <v>62</v>
      </c>
      <c r="B373" s="42">
        <v>37066</v>
      </c>
      <c r="C373" s="43">
        <v>-2287333</v>
      </c>
      <c r="D373" s="43">
        <v>4373517</v>
      </c>
      <c r="E373" s="49">
        <v>40</v>
      </c>
      <c r="F373" s="45">
        <v>1300000</v>
      </c>
      <c r="G373" s="41">
        <v>79.400000000000006</v>
      </c>
      <c r="H373" s="67">
        <f t="shared" si="21"/>
        <v>1032200</v>
      </c>
      <c r="I373" s="41">
        <v>0.6</v>
      </c>
      <c r="J373" s="68">
        <f t="shared" si="22"/>
        <v>7800</v>
      </c>
      <c r="K373" s="41"/>
      <c r="L373" s="70">
        <f t="shared" si="24"/>
        <v>0</v>
      </c>
      <c r="M373" s="69">
        <f t="shared" si="23"/>
        <v>7800</v>
      </c>
    </row>
    <row r="374" spans="1:13">
      <c r="A374" s="41">
        <v>62</v>
      </c>
      <c r="B374" s="42">
        <v>37066</v>
      </c>
      <c r="C374" s="43">
        <v>-2287333</v>
      </c>
      <c r="D374" s="43">
        <v>4373517</v>
      </c>
      <c r="E374" s="49">
        <v>50</v>
      </c>
      <c r="F374" s="45">
        <v>1300000</v>
      </c>
      <c r="G374" s="41">
        <v>75.400000000000006</v>
      </c>
      <c r="H374" s="67">
        <f t="shared" si="21"/>
        <v>980200</v>
      </c>
      <c r="I374" s="41">
        <v>0.5</v>
      </c>
      <c r="J374" s="68">
        <f t="shared" si="22"/>
        <v>6500</v>
      </c>
      <c r="K374" s="41">
        <v>0.1</v>
      </c>
      <c r="L374" s="70">
        <f t="shared" si="24"/>
        <v>1300</v>
      </c>
      <c r="M374" s="69">
        <f t="shared" si="23"/>
        <v>7800</v>
      </c>
    </row>
    <row r="375" spans="1:13">
      <c r="A375" s="41">
        <v>62</v>
      </c>
      <c r="B375" s="42">
        <v>37066</v>
      </c>
      <c r="C375" s="43">
        <v>-2287333</v>
      </c>
      <c r="D375" s="43">
        <v>4373517</v>
      </c>
      <c r="E375" s="49">
        <v>65</v>
      </c>
      <c r="F375" s="45">
        <v>680000</v>
      </c>
      <c r="G375" s="41">
        <v>59.4</v>
      </c>
      <c r="H375" s="67">
        <f t="shared" si="21"/>
        <v>403920</v>
      </c>
      <c r="I375" s="41">
        <v>12.8</v>
      </c>
      <c r="J375" s="68">
        <f t="shared" si="22"/>
        <v>87040</v>
      </c>
      <c r="K375" s="41">
        <v>0.1</v>
      </c>
      <c r="L375" s="70">
        <f t="shared" si="24"/>
        <v>680</v>
      </c>
      <c r="M375" s="69">
        <f t="shared" si="23"/>
        <v>87720</v>
      </c>
    </row>
    <row r="376" spans="1:13">
      <c r="A376" s="41">
        <v>62</v>
      </c>
      <c r="B376" s="42">
        <v>37066</v>
      </c>
      <c r="C376" s="43">
        <v>-2287333</v>
      </c>
      <c r="D376" s="43">
        <v>4373517</v>
      </c>
      <c r="E376" s="49">
        <v>180</v>
      </c>
      <c r="F376" s="45">
        <v>360000</v>
      </c>
      <c r="G376" s="41">
        <v>52.7</v>
      </c>
      <c r="H376" s="67">
        <f t="shared" si="21"/>
        <v>189720</v>
      </c>
      <c r="I376" s="41">
        <v>17.8</v>
      </c>
      <c r="J376" s="68">
        <f t="shared" si="22"/>
        <v>64080</v>
      </c>
      <c r="K376" s="41">
        <v>0</v>
      </c>
      <c r="L376" s="70">
        <f t="shared" si="24"/>
        <v>0</v>
      </c>
      <c r="M376" s="69">
        <f t="shared" si="23"/>
        <v>64080</v>
      </c>
    </row>
    <row r="377" spans="1:13">
      <c r="A377" s="41">
        <v>62</v>
      </c>
      <c r="B377" s="42">
        <v>37066</v>
      </c>
      <c r="C377" s="43">
        <v>-2287333</v>
      </c>
      <c r="D377" s="43">
        <v>4373517</v>
      </c>
      <c r="E377" s="49">
        <v>300</v>
      </c>
      <c r="F377" s="45">
        <v>300000</v>
      </c>
      <c r="G377" s="41">
        <v>54.4</v>
      </c>
      <c r="H377" s="67">
        <f t="shared" si="21"/>
        <v>163200</v>
      </c>
      <c r="I377" s="41">
        <v>21.2</v>
      </c>
      <c r="J377" s="68">
        <f t="shared" si="22"/>
        <v>63600</v>
      </c>
      <c r="K377" s="41">
        <v>0.1</v>
      </c>
      <c r="L377" s="70">
        <f t="shared" si="24"/>
        <v>300</v>
      </c>
      <c r="M377" s="69">
        <f t="shared" si="23"/>
        <v>63900</v>
      </c>
    </row>
    <row r="378" spans="1:13">
      <c r="A378" s="41">
        <v>63</v>
      </c>
      <c r="B378" s="42">
        <v>37066</v>
      </c>
      <c r="C378" s="43">
        <v>-2199600</v>
      </c>
      <c r="D378" s="43">
        <v>4436900</v>
      </c>
      <c r="E378" s="49">
        <v>6</v>
      </c>
      <c r="F378" s="45">
        <v>840000</v>
      </c>
      <c r="G378" s="41">
        <v>75.099999999999994</v>
      </c>
      <c r="H378" s="67">
        <f t="shared" si="21"/>
        <v>630839.99999999988</v>
      </c>
      <c r="I378" s="41">
        <v>1.3</v>
      </c>
      <c r="J378" s="68">
        <f t="shared" si="22"/>
        <v>10920</v>
      </c>
      <c r="K378" s="41">
        <v>0.2</v>
      </c>
      <c r="L378" s="70">
        <f t="shared" si="24"/>
        <v>1680</v>
      </c>
      <c r="M378" s="69">
        <f t="shared" si="23"/>
        <v>12600</v>
      </c>
    </row>
    <row r="379" spans="1:13">
      <c r="A379" s="41">
        <v>63</v>
      </c>
      <c r="B379" s="42">
        <v>37066</v>
      </c>
      <c r="C379" s="43">
        <v>-2199600</v>
      </c>
      <c r="D379" s="43">
        <v>4436900</v>
      </c>
      <c r="E379" s="49">
        <v>35</v>
      </c>
      <c r="F379" s="45">
        <v>1500000</v>
      </c>
      <c r="G379" s="41">
        <v>75.2</v>
      </c>
      <c r="H379" s="67">
        <f t="shared" si="21"/>
        <v>1128000</v>
      </c>
      <c r="I379" s="41">
        <v>0.1</v>
      </c>
      <c r="J379" s="68">
        <f t="shared" si="22"/>
        <v>1500</v>
      </c>
      <c r="K379" s="41">
        <v>0</v>
      </c>
      <c r="L379" s="70">
        <f t="shared" si="24"/>
        <v>0</v>
      </c>
      <c r="M379" s="69">
        <f t="shared" si="23"/>
        <v>1500</v>
      </c>
    </row>
    <row r="380" spans="1:13">
      <c r="A380" s="41">
        <v>63</v>
      </c>
      <c r="B380" s="42">
        <v>37066</v>
      </c>
      <c r="C380" s="43">
        <v>-2199600</v>
      </c>
      <c r="D380" s="43">
        <v>4436900</v>
      </c>
      <c r="E380" s="49">
        <v>42</v>
      </c>
      <c r="F380" s="45">
        <v>1500000</v>
      </c>
      <c r="G380" s="41">
        <v>71.099999999999994</v>
      </c>
      <c r="H380" s="67">
        <f t="shared" si="21"/>
        <v>1066499.9999999998</v>
      </c>
      <c r="I380" s="41">
        <v>0.7</v>
      </c>
      <c r="J380" s="68">
        <f t="shared" si="22"/>
        <v>10500</v>
      </c>
      <c r="K380" s="41">
        <v>0.1</v>
      </c>
      <c r="L380" s="70">
        <f t="shared" si="24"/>
        <v>1500</v>
      </c>
      <c r="M380" s="69">
        <f t="shared" si="23"/>
        <v>12000</v>
      </c>
    </row>
    <row r="381" spans="1:13">
      <c r="A381" s="41">
        <v>63</v>
      </c>
      <c r="B381" s="42">
        <v>37066</v>
      </c>
      <c r="C381" s="43">
        <v>-2199600</v>
      </c>
      <c r="D381" s="43">
        <v>4436900</v>
      </c>
      <c r="E381" s="49">
        <v>47</v>
      </c>
      <c r="F381" s="45">
        <v>1100000</v>
      </c>
      <c r="G381" s="41">
        <v>73.8</v>
      </c>
      <c r="H381" s="67">
        <f t="shared" si="21"/>
        <v>811800</v>
      </c>
      <c r="I381" s="41">
        <v>1.1000000000000001</v>
      </c>
      <c r="J381" s="68">
        <f t="shared" si="22"/>
        <v>12100</v>
      </c>
      <c r="K381" s="41">
        <v>0.1</v>
      </c>
      <c r="L381" s="70">
        <f t="shared" si="24"/>
        <v>1100</v>
      </c>
      <c r="M381" s="69">
        <f t="shared" si="23"/>
        <v>13200</v>
      </c>
    </row>
    <row r="382" spans="1:13">
      <c r="A382" s="41">
        <v>63</v>
      </c>
      <c r="B382" s="42">
        <v>37066</v>
      </c>
      <c r="C382" s="43">
        <v>-2199600</v>
      </c>
      <c r="D382" s="43">
        <v>4436900</v>
      </c>
      <c r="E382" s="49">
        <v>225</v>
      </c>
      <c r="F382" s="45">
        <v>320000</v>
      </c>
      <c r="G382" s="41">
        <v>51.8</v>
      </c>
      <c r="H382" s="67">
        <f t="shared" si="21"/>
        <v>165760</v>
      </c>
      <c r="I382" s="41">
        <v>21</v>
      </c>
      <c r="J382" s="68">
        <f t="shared" si="22"/>
        <v>67200</v>
      </c>
      <c r="K382" s="41">
        <v>0</v>
      </c>
      <c r="L382" s="70">
        <f t="shared" si="24"/>
        <v>0</v>
      </c>
      <c r="M382" s="69">
        <f t="shared" si="23"/>
        <v>67200</v>
      </c>
    </row>
    <row r="383" spans="1:13">
      <c r="A383" s="41">
        <v>63</v>
      </c>
      <c r="B383" s="42">
        <v>37066</v>
      </c>
      <c r="C383" s="43">
        <v>-2199600</v>
      </c>
      <c r="D383" s="43">
        <v>4436900</v>
      </c>
      <c r="E383" s="49">
        <v>300</v>
      </c>
      <c r="F383" s="45">
        <v>320000</v>
      </c>
      <c r="G383" s="41">
        <v>57.7</v>
      </c>
      <c r="H383" s="67">
        <f t="shared" si="21"/>
        <v>184640</v>
      </c>
      <c r="I383" s="41">
        <v>19.8</v>
      </c>
      <c r="J383" s="68">
        <f t="shared" si="22"/>
        <v>63360</v>
      </c>
      <c r="K383" s="41">
        <v>0.1</v>
      </c>
      <c r="L383" s="70">
        <f t="shared" si="24"/>
        <v>320</v>
      </c>
      <c r="M383" s="69">
        <f t="shared" si="23"/>
        <v>63680</v>
      </c>
    </row>
    <row r="384" spans="1:13">
      <c r="A384" s="37">
        <v>64</v>
      </c>
      <c r="B384" s="38">
        <v>37067</v>
      </c>
      <c r="C384" s="39">
        <v>-1967000</v>
      </c>
      <c r="D384" s="39">
        <v>4603333</v>
      </c>
      <c r="E384" s="48">
        <v>5</v>
      </c>
      <c r="F384" s="44">
        <v>2000000</v>
      </c>
      <c r="G384" s="37">
        <v>93</v>
      </c>
      <c r="H384" s="67">
        <f t="shared" si="21"/>
        <v>1860000</v>
      </c>
      <c r="I384" s="37">
        <v>0.1</v>
      </c>
      <c r="J384" s="68">
        <f t="shared" si="22"/>
        <v>2000</v>
      </c>
      <c r="K384" s="37">
        <v>0</v>
      </c>
      <c r="L384" s="70">
        <f t="shared" si="24"/>
        <v>0</v>
      </c>
      <c r="M384" s="69">
        <f t="shared" si="23"/>
        <v>2000</v>
      </c>
    </row>
    <row r="385" spans="1:13">
      <c r="A385" s="37">
        <v>64</v>
      </c>
      <c r="B385" s="38">
        <v>37067</v>
      </c>
      <c r="C385" s="39">
        <v>-1967000</v>
      </c>
      <c r="D385" s="39">
        <v>4603333</v>
      </c>
      <c r="E385" s="48">
        <v>28</v>
      </c>
      <c r="F385" s="44">
        <v>1900000</v>
      </c>
      <c r="G385" s="37">
        <v>93.9</v>
      </c>
      <c r="H385" s="67">
        <f t="shared" si="21"/>
        <v>1784100</v>
      </c>
      <c r="I385" s="37">
        <v>0</v>
      </c>
      <c r="J385" s="68">
        <f t="shared" si="22"/>
        <v>0</v>
      </c>
      <c r="K385" s="37">
        <v>0.1</v>
      </c>
      <c r="L385" s="70">
        <f t="shared" si="24"/>
        <v>1900</v>
      </c>
      <c r="M385" s="69">
        <f t="shared" si="23"/>
        <v>1900</v>
      </c>
    </row>
    <row r="386" spans="1:13">
      <c r="A386" s="37">
        <v>64</v>
      </c>
      <c r="B386" s="38">
        <v>37067</v>
      </c>
      <c r="C386" s="39">
        <v>-1967000</v>
      </c>
      <c r="D386" s="39">
        <v>4603333</v>
      </c>
      <c r="E386" s="48">
        <v>38</v>
      </c>
      <c r="F386" s="44">
        <v>1800000</v>
      </c>
      <c r="G386" s="37">
        <v>87.9</v>
      </c>
      <c r="H386" s="67">
        <f t="shared" si="21"/>
        <v>1582200</v>
      </c>
      <c r="I386" s="37">
        <v>0.5</v>
      </c>
      <c r="J386" s="68">
        <f t="shared" si="22"/>
        <v>9000</v>
      </c>
      <c r="K386" s="37">
        <v>0.1</v>
      </c>
      <c r="L386" s="70">
        <f t="shared" si="24"/>
        <v>1800</v>
      </c>
      <c r="M386" s="69">
        <f t="shared" si="23"/>
        <v>10800</v>
      </c>
    </row>
    <row r="387" spans="1:13">
      <c r="A387" s="37">
        <v>64</v>
      </c>
      <c r="B387" s="38">
        <v>37067</v>
      </c>
      <c r="C387" s="39">
        <v>-1967000</v>
      </c>
      <c r="D387" s="39">
        <v>4603333</v>
      </c>
      <c r="E387" s="48">
        <v>50</v>
      </c>
      <c r="F387" s="44">
        <v>990000</v>
      </c>
      <c r="G387" s="37">
        <v>84.4</v>
      </c>
      <c r="H387" s="67">
        <f t="shared" si="21"/>
        <v>835560</v>
      </c>
      <c r="I387" s="37">
        <v>0.1</v>
      </c>
      <c r="J387" s="68">
        <f t="shared" si="22"/>
        <v>990</v>
      </c>
      <c r="K387" s="37">
        <v>1.8</v>
      </c>
      <c r="L387" s="70">
        <f t="shared" si="24"/>
        <v>17820</v>
      </c>
      <c r="M387" s="69">
        <f t="shared" si="23"/>
        <v>18810</v>
      </c>
    </row>
    <row r="388" spans="1:13">
      <c r="A388" s="37">
        <v>64</v>
      </c>
      <c r="B388" s="38">
        <v>37067</v>
      </c>
      <c r="C388" s="39">
        <v>-1967000</v>
      </c>
      <c r="D388" s="39">
        <v>4603333</v>
      </c>
      <c r="E388" s="48">
        <v>120</v>
      </c>
      <c r="F388" s="44">
        <v>340000</v>
      </c>
      <c r="G388" s="37">
        <v>56.4</v>
      </c>
      <c r="H388" s="67">
        <f t="shared" si="21"/>
        <v>191760</v>
      </c>
      <c r="I388" s="37">
        <v>5.9</v>
      </c>
      <c r="J388" s="68">
        <f t="shared" si="22"/>
        <v>20060.000000000004</v>
      </c>
      <c r="K388" s="37">
        <v>0</v>
      </c>
      <c r="L388" s="70">
        <f t="shared" si="24"/>
        <v>0</v>
      </c>
      <c r="M388" s="69">
        <f t="shared" si="23"/>
        <v>20060.000000000004</v>
      </c>
    </row>
    <row r="389" spans="1:13">
      <c r="A389" s="37">
        <v>64</v>
      </c>
      <c r="B389" s="38">
        <v>37067</v>
      </c>
      <c r="C389" s="39">
        <v>-1967000</v>
      </c>
      <c r="D389" s="39">
        <v>4603333</v>
      </c>
      <c r="E389" s="48">
        <v>300</v>
      </c>
      <c r="F389" s="44">
        <v>280000</v>
      </c>
      <c r="G389" s="37">
        <v>65.2</v>
      </c>
      <c r="H389" s="67">
        <f t="shared" si="21"/>
        <v>182560</v>
      </c>
      <c r="I389" s="37">
        <v>19.100000000000001</v>
      </c>
      <c r="J389" s="68">
        <f t="shared" si="22"/>
        <v>53480</v>
      </c>
      <c r="K389" s="37">
        <v>0</v>
      </c>
      <c r="L389" s="70">
        <f t="shared" si="24"/>
        <v>0</v>
      </c>
      <c r="M389" s="69">
        <f t="shared" si="23"/>
        <v>53480</v>
      </c>
    </row>
    <row r="390" spans="1:13">
      <c r="A390" s="37">
        <v>65</v>
      </c>
      <c r="B390" s="38">
        <v>37067</v>
      </c>
      <c r="C390" s="39">
        <v>-1885300</v>
      </c>
      <c r="D390" s="39">
        <v>4636567</v>
      </c>
      <c r="E390" s="48">
        <v>5</v>
      </c>
      <c r="F390" s="44">
        <v>1000000</v>
      </c>
      <c r="G390" s="37">
        <v>90.7</v>
      </c>
      <c r="H390" s="67">
        <f t="shared" si="21"/>
        <v>907000</v>
      </c>
      <c r="I390" s="37">
        <v>0.1</v>
      </c>
      <c r="J390" s="68">
        <f t="shared" si="22"/>
        <v>1000</v>
      </c>
      <c r="K390" s="37">
        <v>0.1</v>
      </c>
      <c r="L390" s="70">
        <f t="shared" si="24"/>
        <v>1000</v>
      </c>
      <c r="M390" s="69">
        <f t="shared" si="23"/>
        <v>2000</v>
      </c>
    </row>
    <row r="391" spans="1:13">
      <c r="A391" s="37">
        <v>65</v>
      </c>
      <c r="B391" s="38">
        <v>37067</v>
      </c>
      <c r="C391" s="39">
        <v>-1885300</v>
      </c>
      <c r="D391" s="39">
        <v>4636567</v>
      </c>
      <c r="E391" s="48">
        <v>30</v>
      </c>
      <c r="F391" s="44">
        <v>1100000</v>
      </c>
      <c r="G391" s="37">
        <v>88.7</v>
      </c>
      <c r="H391" s="67">
        <f t="shared" ref="H391:H395" si="25">(G391*F391)/100</f>
        <v>975700</v>
      </c>
      <c r="I391" s="37">
        <v>0.3</v>
      </c>
      <c r="J391" s="68">
        <f t="shared" ref="J391:J395" si="26">(I391*F391)/100</f>
        <v>3300</v>
      </c>
      <c r="K391" s="37">
        <v>0.3</v>
      </c>
      <c r="L391" s="70">
        <f t="shared" si="24"/>
        <v>3300</v>
      </c>
      <c r="M391" s="69">
        <f t="shared" ref="M391:M395" si="27">J391+L391</f>
        <v>6600</v>
      </c>
    </row>
    <row r="392" spans="1:13">
      <c r="A392" s="37">
        <v>65</v>
      </c>
      <c r="B392" s="38">
        <v>37067</v>
      </c>
      <c r="C392" s="39">
        <v>-1885300</v>
      </c>
      <c r="D392" s="39">
        <v>4636567</v>
      </c>
      <c r="E392" s="48">
        <v>40</v>
      </c>
      <c r="F392" s="44">
        <v>900000</v>
      </c>
      <c r="G392" s="37">
        <v>87.6</v>
      </c>
      <c r="H392" s="67">
        <f t="shared" si="25"/>
        <v>788400</v>
      </c>
      <c r="I392" s="37"/>
      <c r="J392" s="68">
        <f t="shared" si="26"/>
        <v>0</v>
      </c>
      <c r="K392" s="37">
        <v>3.1</v>
      </c>
      <c r="L392" s="70">
        <f t="shared" si="24"/>
        <v>27900</v>
      </c>
      <c r="M392" s="69">
        <f t="shared" si="27"/>
        <v>27900</v>
      </c>
    </row>
    <row r="393" spans="1:13">
      <c r="A393" s="37">
        <v>65</v>
      </c>
      <c r="B393" s="38">
        <v>37067</v>
      </c>
      <c r="C393" s="39">
        <v>-1885300</v>
      </c>
      <c r="D393" s="39">
        <v>4636567</v>
      </c>
      <c r="E393" s="48">
        <v>55</v>
      </c>
      <c r="F393" s="44">
        <v>810000</v>
      </c>
      <c r="G393" s="37">
        <v>81.8</v>
      </c>
      <c r="H393" s="67">
        <f t="shared" si="25"/>
        <v>662580</v>
      </c>
      <c r="I393" s="37">
        <v>1.7</v>
      </c>
      <c r="J393" s="68">
        <f t="shared" si="26"/>
        <v>13770</v>
      </c>
      <c r="K393" s="37">
        <v>0.1</v>
      </c>
      <c r="L393" s="70">
        <f t="shared" si="24"/>
        <v>810</v>
      </c>
      <c r="M393" s="69">
        <f t="shared" si="27"/>
        <v>14580</v>
      </c>
    </row>
    <row r="394" spans="1:13">
      <c r="A394" s="37">
        <v>65</v>
      </c>
      <c r="B394" s="38">
        <v>37067</v>
      </c>
      <c r="C394" s="39">
        <v>-1885300</v>
      </c>
      <c r="D394" s="39">
        <v>4636567</v>
      </c>
      <c r="E394" s="48">
        <v>225</v>
      </c>
      <c r="F394" s="44">
        <v>290000</v>
      </c>
      <c r="G394" s="37">
        <v>65.5</v>
      </c>
      <c r="H394" s="67">
        <f t="shared" si="25"/>
        <v>189950</v>
      </c>
      <c r="I394" s="37">
        <v>14.8</v>
      </c>
      <c r="J394" s="68">
        <f t="shared" si="26"/>
        <v>42920</v>
      </c>
      <c r="K394" s="37">
        <v>0</v>
      </c>
      <c r="L394" s="70">
        <f t="shared" si="24"/>
        <v>0</v>
      </c>
      <c r="M394" s="69">
        <f t="shared" si="27"/>
        <v>42920</v>
      </c>
    </row>
    <row r="395" spans="1:13">
      <c r="A395" s="37">
        <v>65</v>
      </c>
      <c r="B395" s="38">
        <v>37067</v>
      </c>
      <c r="C395" s="39">
        <v>-1885300</v>
      </c>
      <c r="D395" s="39">
        <v>4636567</v>
      </c>
      <c r="E395" s="48">
        <v>300</v>
      </c>
      <c r="F395" s="44">
        <v>270000</v>
      </c>
      <c r="G395" s="37">
        <v>64.099999999999994</v>
      </c>
      <c r="H395" s="67">
        <f t="shared" si="25"/>
        <v>173070</v>
      </c>
      <c r="I395" s="37">
        <v>17.7</v>
      </c>
      <c r="J395" s="68">
        <f t="shared" si="26"/>
        <v>47790</v>
      </c>
      <c r="K395" s="37">
        <v>0.2</v>
      </c>
      <c r="L395" s="70">
        <f t="shared" si="24"/>
        <v>540</v>
      </c>
      <c r="M395" s="69">
        <f t="shared" si="27"/>
        <v>48330</v>
      </c>
    </row>
    <row r="396" spans="1:13">
      <c r="J396" s="37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E7" sqref="E7"/>
    </sheetView>
  </sheetViews>
  <sheetFormatPr baseColWidth="10" defaultRowHeight="13" x14ac:dyDescent="0"/>
  <cols>
    <col min="1" max="1" width="19.7109375" customWidth="1"/>
    <col min="2" max="2" width="18.140625" customWidth="1"/>
    <col min="5" max="6" width="5.85546875" customWidth="1"/>
    <col min="7" max="7" width="7" customWidth="1"/>
    <col min="8" max="8" width="4.85546875" customWidth="1"/>
    <col min="9" max="9" width="5.85546875" customWidth="1"/>
    <col min="10" max="10" width="3.28515625" customWidth="1"/>
    <col min="11" max="11" width="7.85546875" customWidth="1"/>
    <col min="12" max="12" width="7.5703125" customWidth="1"/>
    <col min="13" max="13" width="3.7109375" customWidth="1"/>
  </cols>
  <sheetData>
    <row r="1" spans="1:16">
      <c r="A1" t="s">
        <v>391</v>
      </c>
    </row>
    <row r="2" spans="1:16" s="55" customFormat="1" ht="52">
      <c r="A2" s="55" t="s">
        <v>379</v>
      </c>
      <c r="B2" s="55" t="s">
        <v>380</v>
      </c>
      <c r="C2" s="55" t="s">
        <v>381</v>
      </c>
      <c r="D2" s="55" t="s">
        <v>394</v>
      </c>
      <c r="E2" s="55" t="s">
        <v>383</v>
      </c>
      <c r="F2" s="55" t="s">
        <v>384</v>
      </c>
      <c r="G2" s="55" t="s">
        <v>385</v>
      </c>
      <c r="H2" s="55" t="s">
        <v>384</v>
      </c>
      <c r="I2" s="55" t="s">
        <v>386</v>
      </c>
      <c r="J2" s="55" t="s">
        <v>384</v>
      </c>
      <c r="K2" s="55" t="s">
        <v>387</v>
      </c>
      <c r="L2" s="55" t="s">
        <v>388</v>
      </c>
      <c r="M2" s="55" t="s">
        <v>384</v>
      </c>
      <c r="N2" s="55" t="s">
        <v>393</v>
      </c>
      <c r="O2" s="55" t="s">
        <v>522</v>
      </c>
      <c r="P2" s="55" t="s">
        <v>523</v>
      </c>
    </row>
    <row r="3" spans="1:16">
      <c r="A3" t="s">
        <v>545</v>
      </c>
      <c r="B3" t="s">
        <v>382</v>
      </c>
      <c r="C3" t="s">
        <v>546</v>
      </c>
      <c r="D3">
        <v>15</v>
      </c>
      <c r="E3">
        <v>19.2</v>
      </c>
      <c r="F3">
        <v>2.5</v>
      </c>
      <c r="G3">
        <v>3.3</v>
      </c>
      <c r="H3">
        <v>0.5</v>
      </c>
      <c r="I3">
        <v>22.9</v>
      </c>
      <c r="J3">
        <v>2.1</v>
      </c>
      <c r="K3">
        <v>45.5</v>
      </c>
      <c r="L3">
        <v>369.8</v>
      </c>
      <c r="M3">
        <v>52.4</v>
      </c>
      <c r="N3" s="52">
        <f>L3*10^3</f>
        <v>369800</v>
      </c>
      <c r="O3" s="52">
        <f>(E3/100)*N3</f>
        <v>71001.600000000006</v>
      </c>
      <c r="P3" s="52">
        <f>((G3/100)+(I3/100))*N3</f>
        <v>96887.6</v>
      </c>
    </row>
    <row r="4" spans="1:16">
      <c r="A4" t="s">
        <v>545</v>
      </c>
      <c r="B4" t="s">
        <v>382</v>
      </c>
      <c r="C4" t="s">
        <v>850</v>
      </c>
      <c r="D4">
        <v>500</v>
      </c>
      <c r="E4">
        <v>15.4</v>
      </c>
      <c r="F4">
        <v>1.6</v>
      </c>
      <c r="G4">
        <v>11.8</v>
      </c>
      <c r="H4">
        <v>6.6</v>
      </c>
      <c r="I4">
        <v>13.4</v>
      </c>
      <c r="J4">
        <v>2.4</v>
      </c>
      <c r="K4">
        <v>40.6</v>
      </c>
      <c r="L4">
        <v>102.2</v>
      </c>
      <c r="M4">
        <v>10.8</v>
      </c>
      <c r="N4" s="52">
        <f t="shared" ref="N4:N41" si="0">L4*10^3</f>
        <v>102200</v>
      </c>
      <c r="O4" s="52">
        <f t="shared" ref="O4:O41" si="1">(E4/100)*N4</f>
        <v>15738.8</v>
      </c>
      <c r="P4" s="52">
        <f t="shared" ref="P4:P41" si="2">((G4/100)+(I4/100))*N4</f>
        <v>25754.400000000001</v>
      </c>
    </row>
    <row r="5" spans="1:16">
      <c r="A5" t="s">
        <v>545</v>
      </c>
      <c r="B5" t="s">
        <v>382</v>
      </c>
      <c r="C5" t="s">
        <v>677</v>
      </c>
      <c r="D5">
        <v>2500</v>
      </c>
      <c r="E5">
        <v>45.7</v>
      </c>
      <c r="F5">
        <v>13</v>
      </c>
      <c r="G5">
        <v>10.8</v>
      </c>
      <c r="H5">
        <v>3.9</v>
      </c>
      <c r="I5">
        <v>14.9</v>
      </c>
      <c r="J5">
        <v>2.1</v>
      </c>
      <c r="K5">
        <v>71.400000000000006</v>
      </c>
      <c r="L5">
        <v>20.8</v>
      </c>
      <c r="M5">
        <v>6.2</v>
      </c>
      <c r="N5" s="52">
        <f t="shared" si="0"/>
        <v>20800</v>
      </c>
      <c r="O5" s="52">
        <f t="shared" si="1"/>
        <v>9505.6</v>
      </c>
      <c r="P5" s="52">
        <f t="shared" si="2"/>
        <v>5345.6</v>
      </c>
    </row>
    <row r="6" spans="1:16">
      <c r="A6" t="s">
        <v>545</v>
      </c>
      <c r="B6" t="s">
        <v>389</v>
      </c>
      <c r="C6" t="s">
        <v>546</v>
      </c>
      <c r="D6">
        <v>15</v>
      </c>
      <c r="E6">
        <v>32.799999999999997</v>
      </c>
      <c r="F6">
        <v>6.2</v>
      </c>
      <c r="G6">
        <v>6.2</v>
      </c>
      <c r="H6">
        <v>3.1</v>
      </c>
      <c r="I6">
        <v>15.2</v>
      </c>
      <c r="J6">
        <v>5.4</v>
      </c>
      <c r="K6">
        <v>54.2</v>
      </c>
      <c r="L6">
        <v>351.2</v>
      </c>
      <c r="M6">
        <v>57.1</v>
      </c>
      <c r="N6" s="52">
        <f t="shared" si="0"/>
        <v>351200</v>
      </c>
      <c r="O6" s="52">
        <f t="shared" si="1"/>
        <v>115193.59999999999</v>
      </c>
      <c r="P6" s="52">
        <f t="shared" si="2"/>
        <v>75156.800000000003</v>
      </c>
    </row>
    <row r="7" spans="1:16">
      <c r="A7" t="s">
        <v>545</v>
      </c>
      <c r="B7" t="s">
        <v>389</v>
      </c>
      <c r="C7" t="s">
        <v>850</v>
      </c>
      <c r="D7">
        <v>500</v>
      </c>
      <c r="E7">
        <v>15.7</v>
      </c>
      <c r="F7">
        <v>11.3</v>
      </c>
      <c r="G7">
        <v>9.1999999999999993</v>
      </c>
      <c r="H7">
        <v>2.1</v>
      </c>
      <c r="I7">
        <v>4.5999999999999996</v>
      </c>
      <c r="J7">
        <v>2.6</v>
      </c>
      <c r="K7">
        <v>29.5</v>
      </c>
      <c r="L7">
        <v>80.5</v>
      </c>
      <c r="M7">
        <v>14.2</v>
      </c>
      <c r="N7" s="52">
        <f t="shared" si="0"/>
        <v>80500</v>
      </c>
      <c r="O7" s="52">
        <f t="shared" si="1"/>
        <v>12638.5</v>
      </c>
      <c r="P7" s="52">
        <f>((G7/100)+(I7/100))*N7</f>
        <v>11109.000000000002</v>
      </c>
    </row>
    <row r="8" spans="1:16">
      <c r="A8" t="s">
        <v>545</v>
      </c>
      <c r="B8" t="s">
        <v>389</v>
      </c>
      <c r="C8" t="s">
        <v>677</v>
      </c>
      <c r="D8">
        <v>2500</v>
      </c>
      <c r="E8">
        <v>70.8</v>
      </c>
      <c r="F8">
        <v>11.3</v>
      </c>
      <c r="G8">
        <v>20.9</v>
      </c>
      <c r="H8">
        <v>4.4000000000000004</v>
      </c>
      <c r="I8">
        <v>15.8</v>
      </c>
      <c r="J8">
        <v>2</v>
      </c>
      <c r="K8">
        <v>107.5</v>
      </c>
      <c r="L8">
        <v>25.1</v>
      </c>
      <c r="M8">
        <v>4.5999999999999996</v>
      </c>
      <c r="N8" s="52">
        <f t="shared" si="0"/>
        <v>25100</v>
      </c>
      <c r="O8" s="52">
        <f t="shared" si="1"/>
        <v>17770.8</v>
      </c>
      <c r="P8" s="52">
        <f t="shared" si="2"/>
        <v>9211.7000000000007</v>
      </c>
    </row>
    <row r="9" spans="1:16">
      <c r="A9" t="s">
        <v>545</v>
      </c>
      <c r="B9" t="s">
        <v>540</v>
      </c>
      <c r="C9" t="s">
        <v>546</v>
      </c>
      <c r="D9">
        <v>15</v>
      </c>
      <c r="E9">
        <v>27.7</v>
      </c>
      <c r="F9">
        <v>5.7</v>
      </c>
      <c r="G9">
        <v>9.6999999999999993</v>
      </c>
      <c r="H9">
        <v>4.2</v>
      </c>
      <c r="I9">
        <v>5.5</v>
      </c>
      <c r="J9">
        <v>1</v>
      </c>
      <c r="K9">
        <v>42.8</v>
      </c>
      <c r="L9">
        <v>337.3</v>
      </c>
      <c r="M9">
        <v>49.7</v>
      </c>
      <c r="N9" s="52">
        <f t="shared" si="0"/>
        <v>337300</v>
      </c>
      <c r="O9" s="52">
        <f t="shared" si="1"/>
        <v>93432.099999999991</v>
      </c>
      <c r="P9" s="52">
        <f t="shared" si="2"/>
        <v>51269.599999999999</v>
      </c>
    </row>
    <row r="10" spans="1:16">
      <c r="A10" t="s">
        <v>545</v>
      </c>
      <c r="B10" t="s">
        <v>540</v>
      </c>
      <c r="C10" t="s">
        <v>850</v>
      </c>
      <c r="D10">
        <v>500</v>
      </c>
      <c r="E10">
        <v>21</v>
      </c>
      <c r="F10">
        <v>5.7</v>
      </c>
      <c r="G10">
        <v>14.1</v>
      </c>
      <c r="H10">
        <v>2.5</v>
      </c>
      <c r="I10">
        <v>13.8</v>
      </c>
      <c r="J10">
        <v>3</v>
      </c>
      <c r="K10">
        <v>49</v>
      </c>
      <c r="L10">
        <v>91.4</v>
      </c>
      <c r="M10">
        <v>11.8</v>
      </c>
      <c r="N10" s="52">
        <f t="shared" si="0"/>
        <v>91400</v>
      </c>
      <c r="O10" s="52">
        <f t="shared" si="1"/>
        <v>19194</v>
      </c>
      <c r="P10" s="52">
        <f t="shared" si="2"/>
        <v>25500.600000000002</v>
      </c>
    </row>
    <row r="11" spans="1:16">
      <c r="A11" t="s">
        <v>545</v>
      </c>
      <c r="B11" t="s">
        <v>540</v>
      </c>
      <c r="C11" t="s">
        <v>677</v>
      </c>
      <c r="D11">
        <v>2500</v>
      </c>
      <c r="E11">
        <v>23.1</v>
      </c>
      <c r="F11">
        <v>5</v>
      </c>
      <c r="G11">
        <v>7.6</v>
      </c>
      <c r="H11">
        <v>2.6</v>
      </c>
      <c r="I11">
        <v>14.4</v>
      </c>
      <c r="J11">
        <v>2.9</v>
      </c>
      <c r="K11">
        <v>45.1</v>
      </c>
      <c r="L11">
        <v>34.6</v>
      </c>
      <c r="M11">
        <v>4.0999999999999996</v>
      </c>
      <c r="N11" s="52">
        <f t="shared" si="0"/>
        <v>34600</v>
      </c>
      <c r="O11" s="52">
        <f t="shared" si="1"/>
        <v>7992.6</v>
      </c>
      <c r="P11" s="52">
        <f t="shared" si="2"/>
        <v>7612.0000000000009</v>
      </c>
    </row>
    <row r="12" spans="1:16">
      <c r="A12" t="s">
        <v>545</v>
      </c>
      <c r="B12" t="s">
        <v>541</v>
      </c>
      <c r="C12" t="s">
        <v>546</v>
      </c>
      <c r="D12">
        <v>15</v>
      </c>
      <c r="E12">
        <v>26.5</v>
      </c>
      <c r="F12">
        <v>7.3</v>
      </c>
      <c r="G12">
        <v>3.8</v>
      </c>
      <c r="H12">
        <v>0.5</v>
      </c>
      <c r="I12">
        <v>15.9</v>
      </c>
      <c r="J12">
        <v>7.8</v>
      </c>
      <c r="K12">
        <v>46.2</v>
      </c>
      <c r="L12">
        <v>439.9</v>
      </c>
      <c r="M12">
        <v>66.099999999999994</v>
      </c>
      <c r="N12" s="52">
        <f t="shared" si="0"/>
        <v>439900</v>
      </c>
      <c r="O12" s="52">
        <f t="shared" si="1"/>
        <v>116573.5</v>
      </c>
      <c r="P12" s="52">
        <f t="shared" si="2"/>
        <v>86660.3</v>
      </c>
    </row>
    <row r="13" spans="1:16">
      <c r="A13" t="s">
        <v>545</v>
      </c>
      <c r="B13" t="s">
        <v>541</v>
      </c>
      <c r="C13" t="s">
        <v>850</v>
      </c>
      <c r="D13">
        <v>500</v>
      </c>
      <c r="E13">
        <v>19.600000000000001</v>
      </c>
      <c r="F13">
        <v>4.5</v>
      </c>
      <c r="G13">
        <v>16.2</v>
      </c>
      <c r="H13">
        <v>3.9</v>
      </c>
      <c r="I13">
        <v>6.3</v>
      </c>
      <c r="J13">
        <v>1.4</v>
      </c>
      <c r="K13">
        <v>42.1</v>
      </c>
      <c r="L13">
        <v>98</v>
      </c>
      <c r="M13">
        <v>16.3</v>
      </c>
      <c r="N13" s="52">
        <f t="shared" si="0"/>
        <v>98000</v>
      </c>
      <c r="O13" s="52">
        <f t="shared" si="1"/>
        <v>19208</v>
      </c>
      <c r="P13" s="52">
        <f t="shared" si="2"/>
        <v>22050</v>
      </c>
    </row>
    <row r="14" spans="1:16">
      <c r="A14" t="s">
        <v>545</v>
      </c>
      <c r="B14" t="s">
        <v>541</v>
      </c>
      <c r="C14" t="s">
        <v>677</v>
      </c>
      <c r="D14">
        <v>2500</v>
      </c>
      <c r="E14">
        <v>28.5</v>
      </c>
      <c r="F14">
        <v>6.7</v>
      </c>
      <c r="G14">
        <v>16.600000000000001</v>
      </c>
      <c r="H14">
        <v>4.8</v>
      </c>
      <c r="I14">
        <v>16.2</v>
      </c>
      <c r="J14">
        <v>2.9</v>
      </c>
      <c r="K14">
        <v>61.4</v>
      </c>
      <c r="L14">
        <v>25.1</v>
      </c>
      <c r="M14">
        <v>4.3</v>
      </c>
      <c r="N14" s="52">
        <f t="shared" si="0"/>
        <v>25100</v>
      </c>
      <c r="O14" s="52">
        <f t="shared" si="1"/>
        <v>7153.4999999999991</v>
      </c>
      <c r="P14" s="52">
        <f t="shared" si="2"/>
        <v>8232.8000000000011</v>
      </c>
    </row>
    <row r="15" spans="1:16">
      <c r="A15" t="s">
        <v>545</v>
      </c>
      <c r="B15" t="s">
        <v>542</v>
      </c>
      <c r="C15" t="s">
        <v>546</v>
      </c>
      <c r="D15">
        <v>15</v>
      </c>
      <c r="E15">
        <v>20.5</v>
      </c>
      <c r="F15">
        <v>3.5</v>
      </c>
      <c r="G15">
        <v>3.5</v>
      </c>
      <c r="H15">
        <v>0.3</v>
      </c>
      <c r="I15">
        <v>5</v>
      </c>
      <c r="J15">
        <v>1.5</v>
      </c>
      <c r="K15">
        <v>29.1</v>
      </c>
      <c r="L15">
        <v>534.20000000000005</v>
      </c>
      <c r="M15">
        <v>34.9</v>
      </c>
      <c r="N15" s="52">
        <f>L15*10^3</f>
        <v>534200</v>
      </c>
      <c r="O15" s="52">
        <f t="shared" si="1"/>
        <v>109511</v>
      </c>
      <c r="P15" s="52">
        <f t="shared" si="2"/>
        <v>45407</v>
      </c>
    </row>
    <row r="16" spans="1:16">
      <c r="A16" t="s">
        <v>545</v>
      </c>
      <c r="B16" t="s">
        <v>542</v>
      </c>
      <c r="C16" t="s">
        <v>850</v>
      </c>
      <c r="D16">
        <v>500</v>
      </c>
      <c r="E16">
        <v>23.5</v>
      </c>
      <c r="F16">
        <v>4.0999999999999996</v>
      </c>
      <c r="G16">
        <v>5.3</v>
      </c>
      <c r="H16">
        <v>1.4</v>
      </c>
      <c r="I16">
        <v>4.5999999999999996</v>
      </c>
      <c r="J16">
        <v>0.1</v>
      </c>
      <c r="K16">
        <v>33.5</v>
      </c>
      <c r="L16">
        <v>96.9</v>
      </c>
      <c r="M16">
        <v>13.2</v>
      </c>
      <c r="N16" s="52">
        <f t="shared" si="0"/>
        <v>96900</v>
      </c>
      <c r="O16" s="52">
        <f t="shared" si="1"/>
        <v>22771.5</v>
      </c>
      <c r="P16" s="52">
        <f t="shared" si="2"/>
        <v>9593.1</v>
      </c>
    </row>
    <row r="17" spans="1:16">
      <c r="A17" t="s">
        <v>545</v>
      </c>
      <c r="B17" t="s">
        <v>542</v>
      </c>
      <c r="C17" t="s">
        <v>677</v>
      </c>
      <c r="D17">
        <v>2500</v>
      </c>
      <c r="E17">
        <v>28</v>
      </c>
      <c r="F17">
        <v>5.5</v>
      </c>
      <c r="G17">
        <v>9.5</v>
      </c>
      <c r="H17">
        <v>1.2</v>
      </c>
      <c r="I17">
        <v>8.4</v>
      </c>
      <c r="J17">
        <v>1.6</v>
      </c>
      <c r="K17">
        <v>45.8</v>
      </c>
      <c r="L17">
        <v>33.5</v>
      </c>
      <c r="M17">
        <v>3.9</v>
      </c>
      <c r="N17" s="52">
        <f t="shared" si="0"/>
        <v>33500</v>
      </c>
      <c r="O17" s="52">
        <f t="shared" si="1"/>
        <v>9380</v>
      </c>
      <c r="P17" s="52">
        <f t="shared" si="2"/>
        <v>5996.5</v>
      </c>
    </row>
    <row r="18" spans="1:16">
      <c r="A18" t="s">
        <v>545</v>
      </c>
      <c r="B18" t="s">
        <v>543</v>
      </c>
      <c r="C18" t="s">
        <v>546</v>
      </c>
      <c r="D18">
        <v>15</v>
      </c>
      <c r="E18">
        <v>17.899999999999999</v>
      </c>
      <c r="F18">
        <v>4.3</v>
      </c>
      <c r="G18">
        <v>5</v>
      </c>
      <c r="H18">
        <v>2.1</v>
      </c>
      <c r="I18">
        <v>4.5</v>
      </c>
      <c r="J18">
        <v>1.4</v>
      </c>
      <c r="K18">
        <v>27.4</v>
      </c>
      <c r="L18">
        <v>412.5</v>
      </c>
      <c r="M18">
        <v>54.5</v>
      </c>
      <c r="N18" s="52">
        <f t="shared" si="0"/>
        <v>412500</v>
      </c>
      <c r="O18" s="52">
        <f t="shared" si="1"/>
        <v>73837.5</v>
      </c>
      <c r="P18" s="52">
        <f t="shared" si="2"/>
        <v>39187.5</v>
      </c>
    </row>
    <row r="19" spans="1:16">
      <c r="A19" t="s">
        <v>545</v>
      </c>
      <c r="B19" t="s">
        <v>543</v>
      </c>
      <c r="C19" t="s">
        <v>850</v>
      </c>
      <c r="D19">
        <v>500</v>
      </c>
      <c r="E19">
        <v>22.1</v>
      </c>
      <c r="F19">
        <v>7.4</v>
      </c>
      <c r="G19">
        <v>19.600000000000001</v>
      </c>
      <c r="H19">
        <v>4.5</v>
      </c>
      <c r="I19">
        <v>11.9</v>
      </c>
      <c r="J19">
        <v>1.8</v>
      </c>
      <c r="K19">
        <v>53.6</v>
      </c>
      <c r="L19">
        <v>327.9</v>
      </c>
      <c r="M19">
        <v>60.5</v>
      </c>
      <c r="N19" s="52">
        <f t="shared" si="0"/>
        <v>327900</v>
      </c>
      <c r="O19" s="52">
        <f t="shared" si="1"/>
        <v>72465.899999999994</v>
      </c>
      <c r="P19" s="52">
        <f t="shared" si="2"/>
        <v>103288.5</v>
      </c>
    </row>
    <row r="20" spans="1:16">
      <c r="A20" t="s">
        <v>545</v>
      </c>
      <c r="B20" t="s">
        <v>543</v>
      </c>
      <c r="C20" t="s">
        <v>677</v>
      </c>
      <c r="D20">
        <v>2500</v>
      </c>
      <c r="E20">
        <v>31.6</v>
      </c>
      <c r="F20">
        <v>5.5</v>
      </c>
      <c r="G20">
        <v>11.6</v>
      </c>
      <c r="H20">
        <v>0.6</v>
      </c>
      <c r="I20">
        <v>12</v>
      </c>
      <c r="J20">
        <v>1.6</v>
      </c>
      <c r="K20">
        <v>55.2</v>
      </c>
      <c r="L20">
        <v>269</v>
      </c>
      <c r="M20">
        <v>60.3</v>
      </c>
      <c r="N20" s="52">
        <f t="shared" si="0"/>
        <v>269000</v>
      </c>
      <c r="O20" s="52">
        <f t="shared" si="1"/>
        <v>85004</v>
      </c>
      <c r="P20" s="52">
        <f t="shared" si="2"/>
        <v>63484</v>
      </c>
    </row>
    <row r="21" spans="1:16">
      <c r="A21" t="s">
        <v>545</v>
      </c>
      <c r="B21" t="s">
        <v>544</v>
      </c>
      <c r="C21" t="s">
        <v>546</v>
      </c>
      <c r="D21">
        <v>15</v>
      </c>
      <c r="E21">
        <v>30.2</v>
      </c>
      <c r="F21">
        <v>5.7</v>
      </c>
      <c r="G21">
        <v>4</v>
      </c>
      <c r="H21">
        <v>1</v>
      </c>
      <c r="I21">
        <v>9.1999999999999993</v>
      </c>
      <c r="J21">
        <v>2.5</v>
      </c>
      <c r="K21">
        <v>43.4</v>
      </c>
      <c r="L21">
        <v>492.7</v>
      </c>
      <c r="M21">
        <v>62.7</v>
      </c>
      <c r="N21" s="52">
        <f t="shared" si="0"/>
        <v>492700</v>
      </c>
      <c r="O21" s="52">
        <f t="shared" si="1"/>
        <v>148795.4</v>
      </c>
      <c r="P21" s="52">
        <f t="shared" si="2"/>
        <v>65036.4</v>
      </c>
    </row>
    <row r="22" spans="1:16">
      <c r="A22" t="s">
        <v>545</v>
      </c>
      <c r="B22" t="s">
        <v>544</v>
      </c>
      <c r="C22" t="s">
        <v>850</v>
      </c>
      <c r="D22">
        <v>500</v>
      </c>
      <c r="E22">
        <v>21.1</v>
      </c>
      <c r="F22">
        <v>5.0999999999999996</v>
      </c>
      <c r="G22">
        <v>3.8</v>
      </c>
      <c r="H22">
        <v>0</v>
      </c>
      <c r="I22">
        <v>11</v>
      </c>
      <c r="J22">
        <v>2.1</v>
      </c>
      <c r="K22">
        <v>35.799999999999997</v>
      </c>
      <c r="L22">
        <v>77.400000000000006</v>
      </c>
      <c r="M22">
        <v>8.5</v>
      </c>
      <c r="N22" s="52">
        <f t="shared" si="0"/>
        <v>77400</v>
      </c>
      <c r="O22" s="52">
        <f t="shared" si="1"/>
        <v>16331.400000000001</v>
      </c>
      <c r="P22" s="52">
        <f t="shared" si="2"/>
        <v>11455.199999999999</v>
      </c>
    </row>
    <row r="23" spans="1:16">
      <c r="A23" t="s">
        <v>545</v>
      </c>
      <c r="B23" t="s">
        <v>544</v>
      </c>
      <c r="C23" t="s">
        <v>677</v>
      </c>
      <c r="D23">
        <v>2500</v>
      </c>
      <c r="E23">
        <v>40.799999999999997</v>
      </c>
      <c r="F23">
        <v>7.8</v>
      </c>
      <c r="G23">
        <v>18</v>
      </c>
      <c r="H23">
        <v>4.0999999999999996</v>
      </c>
      <c r="I23">
        <v>17.399999999999999</v>
      </c>
      <c r="J23">
        <v>3.1</v>
      </c>
      <c r="K23">
        <v>76.2</v>
      </c>
      <c r="L23">
        <v>31.2</v>
      </c>
      <c r="M23">
        <v>5.2</v>
      </c>
      <c r="N23" s="52">
        <f t="shared" si="0"/>
        <v>31200</v>
      </c>
      <c r="O23" s="52">
        <f t="shared" si="1"/>
        <v>12729.599999999999</v>
      </c>
      <c r="P23" s="52">
        <f t="shared" si="2"/>
        <v>11044.8</v>
      </c>
    </row>
    <row r="24" spans="1:16">
      <c r="A24" t="s">
        <v>390</v>
      </c>
      <c r="B24" t="s">
        <v>539</v>
      </c>
      <c r="C24" t="s">
        <v>392</v>
      </c>
      <c r="D24">
        <v>15</v>
      </c>
      <c r="E24">
        <v>44</v>
      </c>
      <c r="F24">
        <v>11.3</v>
      </c>
      <c r="G24">
        <v>12.4</v>
      </c>
      <c r="H24">
        <v>3.1</v>
      </c>
      <c r="I24">
        <v>14.5</v>
      </c>
      <c r="J24">
        <v>1</v>
      </c>
      <c r="K24">
        <v>70.900000000000006</v>
      </c>
      <c r="L24">
        <v>305.2</v>
      </c>
      <c r="M24">
        <v>43.6</v>
      </c>
      <c r="N24" s="52">
        <f t="shared" si="0"/>
        <v>305200</v>
      </c>
      <c r="O24" s="52">
        <f t="shared" si="1"/>
        <v>134288</v>
      </c>
      <c r="P24" s="52">
        <f t="shared" si="2"/>
        <v>82098.8</v>
      </c>
    </row>
    <row r="25" spans="1:16">
      <c r="A25" t="s">
        <v>390</v>
      </c>
      <c r="B25" t="s">
        <v>539</v>
      </c>
      <c r="C25" t="s">
        <v>850</v>
      </c>
      <c r="D25">
        <v>500</v>
      </c>
      <c r="E25">
        <v>38.1</v>
      </c>
      <c r="F25">
        <v>7.6</v>
      </c>
      <c r="G25">
        <v>30.4</v>
      </c>
      <c r="H25">
        <v>5.0999999999999996</v>
      </c>
      <c r="I25">
        <v>15.7</v>
      </c>
      <c r="J25">
        <v>2.2000000000000002</v>
      </c>
      <c r="K25">
        <v>84.2</v>
      </c>
      <c r="L25">
        <v>52.1</v>
      </c>
      <c r="M25">
        <v>19.3</v>
      </c>
      <c r="N25" s="52">
        <f t="shared" si="0"/>
        <v>52100</v>
      </c>
      <c r="O25" s="52">
        <f t="shared" si="1"/>
        <v>19850.099999999999</v>
      </c>
      <c r="P25" s="52">
        <f t="shared" si="2"/>
        <v>24018.1</v>
      </c>
    </row>
    <row r="26" spans="1:16">
      <c r="A26" t="s">
        <v>390</v>
      </c>
      <c r="B26" t="s">
        <v>539</v>
      </c>
      <c r="C26" t="s">
        <v>677</v>
      </c>
      <c r="D26">
        <v>2500</v>
      </c>
      <c r="E26">
        <v>48.2</v>
      </c>
      <c r="F26">
        <v>9.5</v>
      </c>
      <c r="G26">
        <v>33.5</v>
      </c>
      <c r="H26">
        <v>5.9</v>
      </c>
      <c r="I26">
        <v>16.899999999999999</v>
      </c>
      <c r="J26">
        <v>2.1</v>
      </c>
      <c r="K26">
        <v>98.6</v>
      </c>
      <c r="L26">
        <v>19.600000000000001</v>
      </c>
      <c r="M26">
        <v>4.0999999999999996</v>
      </c>
      <c r="N26" s="52">
        <f t="shared" si="0"/>
        <v>19600</v>
      </c>
      <c r="O26" s="52">
        <f t="shared" si="1"/>
        <v>9447.2000000000007</v>
      </c>
      <c r="P26" s="52">
        <f t="shared" si="2"/>
        <v>9878.4</v>
      </c>
    </row>
    <row r="27" spans="1:16">
      <c r="A27" t="s">
        <v>390</v>
      </c>
      <c r="B27" t="s">
        <v>389</v>
      </c>
      <c r="C27" t="s">
        <v>392</v>
      </c>
      <c r="D27">
        <v>15</v>
      </c>
      <c r="E27">
        <v>47.2</v>
      </c>
      <c r="F27">
        <v>4.8</v>
      </c>
      <c r="G27">
        <v>18.8</v>
      </c>
      <c r="H27">
        <v>2.9</v>
      </c>
      <c r="I27">
        <v>18.5</v>
      </c>
      <c r="J27">
        <v>3</v>
      </c>
      <c r="K27">
        <v>84.5</v>
      </c>
      <c r="L27">
        <v>218.6</v>
      </c>
      <c r="M27">
        <v>18.899999999999999</v>
      </c>
      <c r="N27" s="52">
        <f t="shared" si="0"/>
        <v>218600</v>
      </c>
      <c r="O27" s="52">
        <f t="shared" si="1"/>
        <v>103179.20000000001</v>
      </c>
      <c r="P27" s="52">
        <f t="shared" si="2"/>
        <v>81537.8</v>
      </c>
    </row>
    <row r="28" spans="1:16">
      <c r="A28" t="s">
        <v>390</v>
      </c>
      <c r="B28" t="s">
        <v>389</v>
      </c>
      <c r="C28" t="s">
        <v>850</v>
      </c>
      <c r="D28">
        <v>500</v>
      </c>
      <c r="E28">
        <v>51.4</v>
      </c>
      <c r="F28">
        <v>13.6</v>
      </c>
      <c r="G28">
        <v>24.3</v>
      </c>
      <c r="H28">
        <v>5.5</v>
      </c>
      <c r="I28">
        <v>3</v>
      </c>
      <c r="J28">
        <v>1.4</v>
      </c>
      <c r="K28">
        <v>78.7</v>
      </c>
      <c r="L28">
        <v>50.5</v>
      </c>
      <c r="M28">
        <v>9</v>
      </c>
      <c r="N28" s="52">
        <f t="shared" si="0"/>
        <v>50500</v>
      </c>
      <c r="O28" s="52">
        <f t="shared" si="1"/>
        <v>25957</v>
      </c>
      <c r="P28" s="52">
        <f t="shared" si="2"/>
        <v>13786.500000000002</v>
      </c>
    </row>
    <row r="29" spans="1:16">
      <c r="A29" t="s">
        <v>390</v>
      </c>
      <c r="B29" t="s">
        <v>389</v>
      </c>
      <c r="C29" t="s">
        <v>677</v>
      </c>
      <c r="D29">
        <v>2500</v>
      </c>
      <c r="E29">
        <v>47.2</v>
      </c>
      <c r="F29">
        <v>3.7</v>
      </c>
      <c r="G29">
        <v>33.4</v>
      </c>
      <c r="H29">
        <v>8</v>
      </c>
      <c r="I29">
        <v>19</v>
      </c>
      <c r="J29">
        <v>2.9</v>
      </c>
      <c r="K29">
        <v>99.6</v>
      </c>
      <c r="L29">
        <v>12.5</v>
      </c>
      <c r="M29">
        <v>1.4</v>
      </c>
      <c r="N29" s="52">
        <f t="shared" si="0"/>
        <v>12500</v>
      </c>
      <c r="O29" s="52">
        <f t="shared" si="1"/>
        <v>5900</v>
      </c>
      <c r="P29" s="52">
        <f t="shared" si="2"/>
        <v>6550</v>
      </c>
    </row>
    <row r="30" spans="1:16">
      <c r="A30" t="s">
        <v>390</v>
      </c>
      <c r="B30" t="s">
        <v>540</v>
      </c>
      <c r="C30" t="s">
        <v>392</v>
      </c>
      <c r="D30">
        <v>15</v>
      </c>
      <c r="E30">
        <v>36.9</v>
      </c>
      <c r="F30">
        <v>5.2</v>
      </c>
      <c r="G30">
        <v>2.8</v>
      </c>
      <c r="H30">
        <v>0.4</v>
      </c>
      <c r="I30">
        <v>4.8</v>
      </c>
      <c r="J30">
        <v>0.1</v>
      </c>
      <c r="K30">
        <v>44.5</v>
      </c>
      <c r="L30">
        <v>254.5</v>
      </c>
      <c r="M30">
        <v>22.1</v>
      </c>
      <c r="N30" s="52">
        <f t="shared" si="0"/>
        <v>254500</v>
      </c>
      <c r="O30" s="52">
        <f t="shared" si="1"/>
        <v>93910.5</v>
      </c>
      <c r="P30" s="52">
        <f t="shared" si="2"/>
        <v>19342</v>
      </c>
    </row>
    <row r="31" spans="1:16">
      <c r="A31" t="s">
        <v>390</v>
      </c>
      <c r="B31" t="s">
        <v>540</v>
      </c>
      <c r="C31" t="s">
        <v>850</v>
      </c>
      <c r="D31">
        <v>500</v>
      </c>
      <c r="E31">
        <v>33.6</v>
      </c>
      <c r="F31">
        <v>3.7</v>
      </c>
      <c r="G31">
        <v>6.2</v>
      </c>
      <c r="H31">
        <v>0.7</v>
      </c>
      <c r="I31">
        <v>3.4</v>
      </c>
      <c r="J31">
        <v>1.1000000000000001</v>
      </c>
      <c r="K31">
        <v>43.2</v>
      </c>
      <c r="L31">
        <v>72.099999999999994</v>
      </c>
      <c r="M31">
        <v>11</v>
      </c>
      <c r="N31" s="52">
        <f t="shared" si="0"/>
        <v>72100</v>
      </c>
      <c r="O31" s="52">
        <f t="shared" si="1"/>
        <v>24225.600000000002</v>
      </c>
      <c r="P31" s="52">
        <f t="shared" si="2"/>
        <v>6921.6</v>
      </c>
    </row>
    <row r="32" spans="1:16">
      <c r="A32" t="s">
        <v>390</v>
      </c>
      <c r="B32" t="s">
        <v>540</v>
      </c>
      <c r="C32" t="s">
        <v>677</v>
      </c>
      <c r="D32">
        <v>2500</v>
      </c>
      <c r="E32">
        <v>37.6</v>
      </c>
      <c r="F32">
        <v>5.7</v>
      </c>
      <c r="G32">
        <v>6.9</v>
      </c>
      <c r="H32">
        <v>1.5</v>
      </c>
      <c r="I32">
        <v>4.4000000000000004</v>
      </c>
      <c r="J32">
        <v>0.6</v>
      </c>
      <c r="K32">
        <v>48.9</v>
      </c>
      <c r="L32">
        <v>16.399999999999999</v>
      </c>
      <c r="M32">
        <v>1.9</v>
      </c>
      <c r="N32" s="52">
        <f t="shared" si="0"/>
        <v>16400</v>
      </c>
      <c r="O32" s="52">
        <f t="shared" si="1"/>
        <v>6166.4</v>
      </c>
      <c r="P32" s="52">
        <f t="shared" si="2"/>
        <v>1853.2000000000003</v>
      </c>
    </row>
    <row r="33" spans="1:16">
      <c r="A33" t="s">
        <v>390</v>
      </c>
      <c r="B33" t="s">
        <v>542</v>
      </c>
      <c r="C33" t="s">
        <v>392</v>
      </c>
      <c r="D33">
        <v>15</v>
      </c>
      <c r="E33">
        <v>45.9</v>
      </c>
      <c r="F33">
        <v>3.7</v>
      </c>
      <c r="G33">
        <v>4.3</v>
      </c>
      <c r="H33">
        <v>1.3</v>
      </c>
      <c r="I33">
        <v>12.6</v>
      </c>
      <c r="J33">
        <v>5.4</v>
      </c>
      <c r="K33">
        <v>62.8</v>
      </c>
      <c r="L33">
        <v>278.5</v>
      </c>
      <c r="M33">
        <v>16.100000000000001</v>
      </c>
      <c r="N33" s="52">
        <f t="shared" si="0"/>
        <v>278500</v>
      </c>
      <c r="O33" s="52">
        <f t="shared" si="1"/>
        <v>127831.49999999999</v>
      </c>
      <c r="P33" s="52">
        <f t="shared" si="2"/>
        <v>47066.499999999993</v>
      </c>
    </row>
    <row r="34" spans="1:16">
      <c r="A34" t="s">
        <v>390</v>
      </c>
      <c r="B34" t="s">
        <v>542</v>
      </c>
      <c r="C34" t="s">
        <v>850</v>
      </c>
      <c r="D34">
        <v>500</v>
      </c>
      <c r="E34">
        <v>45.7</v>
      </c>
      <c r="F34">
        <v>2</v>
      </c>
      <c r="G34">
        <v>12</v>
      </c>
      <c r="H34">
        <v>2.2999999999999998</v>
      </c>
      <c r="I34">
        <v>16.399999999999999</v>
      </c>
      <c r="J34">
        <v>0.3</v>
      </c>
      <c r="K34">
        <v>74.2</v>
      </c>
      <c r="L34">
        <v>50.3</v>
      </c>
      <c r="M34">
        <v>6.6</v>
      </c>
      <c r="N34" s="52">
        <f t="shared" si="0"/>
        <v>50300</v>
      </c>
      <c r="O34" s="52">
        <f t="shared" si="1"/>
        <v>22987.100000000002</v>
      </c>
      <c r="P34" s="52">
        <f t="shared" si="2"/>
        <v>14285.199999999999</v>
      </c>
    </row>
    <row r="35" spans="1:16">
      <c r="A35" t="s">
        <v>390</v>
      </c>
      <c r="B35" t="s">
        <v>542</v>
      </c>
      <c r="C35" t="s">
        <v>677</v>
      </c>
      <c r="D35">
        <v>2500</v>
      </c>
      <c r="E35">
        <v>46.1</v>
      </c>
      <c r="F35">
        <v>5.3</v>
      </c>
      <c r="G35">
        <v>14.3</v>
      </c>
      <c r="H35">
        <v>1.5</v>
      </c>
      <c r="I35">
        <v>9.6999999999999993</v>
      </c>
      <c r="J35">
        <v>2.2999999999999998</v>
      </c>
      <c r="K35">
        <v>70.099999999999994</v>
      </c>
      <c r="L35">
        <v>10.8</v>
      </c>
      <c r="M35">
        <v>1.2</v>
      </c>
      <c r="N35" s="52">
        <f t="shared" si="0"/>
        <v>10800</v>
      </c>
      <c r="O35" s="52">
        <f t="shared" si="1"/>
        <v>4978.8</v>
      </c>
      <c r="P35" s="52">
        <f t="shared" si="2"/>
        <v>2592</v>
      </c>
    </row>
    <row r="36" spans="1:16">
      <c r="A36" t="s">
        <v>390</v>
      </c>
      <c r="B36" t="s">
        <v>543</v>
      </c>
      <c r="C36" t="s">
        <v>392</v>
      </c>
      <c r="D36">
        <v>15</v>
      </c>
      <c r="E36">
        <v>38.200000000000003</v>
      </c>
      <c r="F36">
        <v>3.5</v>
      </c>
      <c r="G36">
        <v>2.1</v>
      </c>
      <c r="H36">
        <v>0.1</v>
      </c>
      <c r="I36">
        <v>3.2</v>
      </c>
      <c r="J36">
        <v>0.3</v>
      </c>
      <c r="K36">
        <v>43.5</v>
      </c>
      <c r="L36">
        <v>227.7</v>
      </c>
      <c r="M36">
        <v>33.200000000000003</v>
      </c>
      <c r="N36" s="52">
        <f t="shared" si="0"/>
        <v>227700</v>
      </c>
      <c r="O36" s="52">
        <f t="shared" si="1"/>
        <v>86981.4</v>
      </c>
      <c r="P36" s="52">
        <f t="shared" si="2"/>
        <v>12068.1</v>
      </c>
    </row>
    <row r="37" spans="1:16">
      <c r="A37" t="s">
        <v>390</v>
      </c>
      <c r="B37" t="s">
        <v>543</v>
      </c>
      <c r="C37" t="s">
        <v>850</v>
      </c>
      <c r="D37">
        <v>500</v>
      </c>
      <c r="E37">
        <v>34.200000000000003</v>
      </c>
      <c r="F37">
        <v>2.4</v>
      </c>
      <c r="G37">
        <v>4.2</v>
      </c>
      <c r="H37">
        <v>0.3</v>
      </c>
      <c r="I37">
        <v>2.4</v>
      </c>
      <c r="J37">
        <v>0.3</v>
      </c>
      <c r="K37">
        <v>40.700000000000003</v>
      </c>
      <c r="L37">
        <v>68.2</v>
      </c>
      <c r="M37">
        <v>5.6</v>
      </c>
      <c r="N37" s="52">
        <f t="shared" si="0"/>
        <v>68200</v>
      </c>
      <c r="O37" s="52">
        <f t="shared" si="1"/>
        <v>23324.400000000001</v>
      </c>
      <c r="P37" s="52">
        <f t="shared" si="2"/>
        <v>4501.2</v>
      </c>
    </row>
    <row r="38" spans="1:16">
      <c r="A38" t="s">
        <v>390</v>
      </c>
      <c r="B38" t="s">
        <v>543</v>
      </c>
      <c r="C38" t="s">
        <v>677</v>
      </c>
      <c r="D38">
        <v>2500</v>
      </c>
      <c r="E38">
        <v>38.9</v>
      </c>
      <c r="F38">
        <v>4.8</v>
      </c>
      <c r="G38">
        <v>4.5999999999999996</v>
      </c>
      <c r="H38">
        <v>0.5</v>
      </c>
      <c r="I38">
        <v>4.5999999999999996</v>
      </c>
      <c r="J38">
        <v>0.2</v>
      </c>
      <c r="K38">
        <v>48.2</v>
      </c>
      <c r="L38">
        <v>20.3</v>
      </c>
      <c r="M38">
        <v>1.7</v>
      </c>
      <c r="N38" s="52">
        <f t="shared" si="0"/>
        <v>20300</v>
      </c>
      <c r="O38" s="52">
        <f t="shared" si="1"/>
        <v>7896.7</v>
      </c>
      <c r="P38" s="52">
        <f t="shared" si="2"/>
        <v>1867.6</v>
      </c>
    </row>
    <row r="39" spans="1:16">
      <c r="A39" t="s">
        <v>390</v>
      </c>
      <c r="B39" t="s">
        <v>544</v>
      </c>
      <c r="C39" t="s">
        <v>392</v>
      </c>
      <c r="D39">
        <v>15</v>
      </c>
      <c r="E39">
        <v>48.8</v>
      </c>
      <c r="F39">
        <v>7.9</v>
      </c>
      <c r="G39">
        <v>3.3</v>
      </c>
      <c r="H39">
        <v>0.4</v>
      </c>
      <c r="I39">
        <v>5.2</v>
      </c>
      <c r="J39">
        <v>1.2</v>
      </c>
      <c r="K39">
        <v>57.3</v>
      </c>
      <c r="L39">
        <v>288.7</v>
      </c>
      <c r="M39">
        <v>25.4</v>
      </c>
      <c r="N39" s="52">
        <f t="shared" si="0"/>
        <v>288700</v>
      </c>
      <c r="O39" s="52">
        <f t="shared" si="1"/>
        <v>140885.6</v>
      </c>
      <c r="P39" s="52">
        <f t="shared" si="2"/>
        <v>24539.5</v>
      </c>
    </row>
    <row r="40" spans="1:16">
      <c r="A40" t="s">
        <v>390</v>
      </c>
      <c r="B40" t="s">
        <v>544</v>
      </c>
      <c r="C40" t="s">
        <v>850</v>
      </c>
      <c r="D40">
        <v>500</v>
      </c>
      <c r="E40">
        <v>34.799999999999997</v>
      </c>
      <c r="F40">
        <v>5.0999999999999996</v>
      </c>
      <c r="G40">
        <v>6.9</v>
      </c>
      <c r="H40">
        <v>0.9</v>
      </c>
      <c r="I40">
        <v>3.8</v>
      </c>
      <c r="J40">
        <v>1</v>
      </c>
      <c r="K40">
        <v>45.5</v>
      </c>
      <c r="L40">
        <v>48.8</v>
      </c>
      <c r="M40">
        <v>4</v>
      </c>
      <c r="N40" s="52">
        <f t="shared" si="0"/>
        <v>48800</v>
      </c>
      <c r="O40" s="52">
        <f t="shared" si="1"/>
        <v>16982.399999999998</v>
      </c>
      <c r="P40" s="52">
        <f t="shared" si="2"/>
        <v>5221.6000000000004</v>
      </c>
    </row>
    <row r="41" spans="1:16">
      <c r="A41" t="s">
        <v>390</v>
      </c>
      <c r="B41" t="s">
        <v>544</v>
      </c>
      <c r="C41" t="s">
        <v>677</v>
      </c>
      <c r="D41">
        <v>2500</v>
      </c>
      <c r="E41">
        <v>38</v>
      </c>
      <c r="F41">
        <v>5.2</v>
      </c>
      <c r="G41">
        <v>7.6</v>
      </c>
      <c r="H41">
        <v>0.4</v>
      </c>
      <c r="I41">
        <v>5.5</v>
      </c>
      <c r="J41">
        <v>0.5</v>
      </c>
      <c r="K41">
        <v>51.1</v>
      </c>
      <c r="L41">
        <v>16.7</v>
      </c>
      <c r="M41">
        <v>1.7</v>
      </c>
      <c r="N41" s="52">
        <f t="shared" si="0"/>
        <v>16700</v>
      </c>
      <c r="O41" s="52">
        <f t="shared" si="1"/>
        <v>6346</v>
      </c>
      <c r="P41" s="52">
        <f t="shared" si="2"/>
        <v>2187.7000000000003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H17" sqref="H17:H95"/>
    </sheetView>
  </sheetViews>
  <sheetFormatPr baseColWidth="10" defaultRowHeight="13" x14ac:dyDescent="0"/>
  <sheetData>
    <row r="1" spans="1:9">
      <c r="A1" t="s">
        <v>588</v>
      </c>
      <c r="B1" t="s">
        <v>589</v>
      </c>
    </row>
    <row r="2" spans="1:9">
      <c r="D2" t="s">
        <v>590</v>
      </c>
    </row>
    <row r="3" spans="1:9">
      <c r="B3" t="s">
        <v>591</v>
      </c>
      <c r="C3" t="s">
        <v>592</v>
      </c>
      <c r="D3" s="4" t="s">
        <v>348</v>
      </c>
      <c r="E3" t="s">
        <v>708</v>
      </c>
      <c r="F3" s="4" t="s">
        <v>348</v>
      </c>
      <c r="G3" t="s">
        <v>708</v>
      </c>
      <c r="H3" s="4" t="s">
        <v>348</v>
      </c>
      <c r="I3" s="4" t="s">
        <v>348</v>
      </c>
    </row>
    <row r="4" spans="1:9">
      <c r="A4" s="4" t="s">
        <v>625</v>
      </c>
      <c r="B4" s="7" t="s">
        <v>626</v>
      </c>
      <c r="C4" t="s">
        <v>627</v>
      </c>
      <c r="D4" s="4" t="s">
        <v>627</v>
      </c>
      <c r="E4" t="s">
        <v>628</v>
      </c>
      <c r="F4" s="4" t="s">
        <v>628</v>
      </c>
      <c r="G4" t="s">
        <v>549</v>
      </c>
      <c r="H4" s="4" t="s">
        <v>549</v>
      </c>
      <c r="I4" s="4" t="s">
        <v>550</v>
      </c>
    </row>
    <row r="5" spans="1:9">
      <c r="A5" s="4" t="s">
        <v>551</v>
      </c>
      <c r="B5" s="7">
        <v>250000</v>
      </c>
      <c r="C5">
        <v>32</v>
      </c>
      <c r="D5" s="4">
        <f>(C5*B5)/100</f>
        <v>80000</v>
      </c>
      <c r="E5">
        <v>17</v>
      </c>
      <c r="F5" s="4">
        <f>(E5*B5)/100</f>
        <v>42500</v>
      </c>
      <c r="G5">
        <v>17</v>
      </c>
      <c r="H5" s="4">
        <f>(G5*B5)/100</f>
        <v>42500</v>
      </c>
      <c r="I5" s="4">
        <f>H5+F5</f>
        <v>85000</v>
      </c>
    </row>
    <row r="6" spans="1:9">
      <c r="A6" s="4" t="s">
        <v>552</v>
      </c>
      <c r="B6" s="7">
        <v>85000</v>
      </c>
      <c r="C6">
        <v>33</v>
      </c>
      <c r="D6" s="4">
        <f t="shared" ref="D6:D9" si="0">(C6*B6)/100</f>
        <v>28050</v>
      </c>
      <c r="E6">
        <v>26</v>
      </c>
      <c r="F6" s="4">
        <f t="shared" ref="F6:F9" si="1">(E6*B6)/100</f>
        <v>22100</v>
      </c>
      <c r="G6">
        <v>16</v>
      </c>
      <c r="H6" s="4">
        <f t="shared" ref="H6:H9" si="2">(G6*B6)/100</f>
        <v>13600</v>
      </c>
      <c r="I6" s="4">
        <f t="shared" ref="I6:I9" si="3">H6+F6</f>
        <v>35700</v>
      </c>
    </row>
    <row r="7" spans="1:9">
      <c r="A7" s="4" t="s">
        <v>829</v>
      </c>
      <c r="B7" s="7">
        <v>37000</v>
      </c>
      <c r="C7">
        <v>30</v>
      </c>
      <c r="D7" s="4">
        <f t="shared" si="0"/>
        <v>11100</v>
      </c>
      <c r="E7">
        <v>22</v>
      </c>
      <c r="F7" s="4">
        <f t="shared" si="1"/>
        <v>8140</v>
      </c>
      <c r="G7">
        <v>17</v>
      </c>
      <c r="H7" s="4">
        <f t="shared" si="2"/>
        <v>6290</v>
      </c>
      <c r="I7" s="4">
        <f t="shared" si="3"/>
        <v>14430</v>
      </c>
    </row>
    <row r="8" spans="1:9">
      <c r="A8" s="4" t="s">
        <v>670</v>
      </c>
      <c r="B8" s="7">
        <v>22000</v>
      </c>
      <c r="C8">
        <v>32</v>
      </c>
      <c r="D8" s="4">
        <f t="shared" si="0"/>
        <v>7040</v>
      </c>
      <c r="E8">
        <v>27</v>
      </c>
      <c r="F8" s="4">
        <f t="shared" si="1"/>
        <v>5940</v>
      </c>
      <c r="G8">
        <v>18</v>
      </c>
      <c r="H8" s="4">
        <f t="shared" si="2"/>
        <v>3960</v>
      </c>
      <c r="I8" s="4">
        <f t="shared" si="3"/>
        <v>9900</v>
      </c>
    </row>
    <row r="9" spans="1:9">
      <c r="A9" s="4" t="s">
        <v>671</v>
      </c>
      <c r="B9" s="7">
        <v>25000</v>
      </c>
      <c r="C9">
        <v>27</v>
      </c>
      <c r="D9" s="4">
        <f t="shared" si="0"/>
        <v>6750</v>
      </c>
      <c r="E9">
        <v>24</v>
      </c>
      <c r="F9" s="4">
        <f t="shared" si="1"/>
        <v>6000</v>
      </c>
      <c r="G9">
        <v>17</v>
      </c>
      <c r="H9" s="4">
        <f t="shared" si="2"/>
        <v>4250</v>
      </c>
      <c r="I9" s="4">
        <f t="shared" si="3"/>
        <v>10250</v>
      </c>
    </row>
    <row r="13" spans="1:9">
      <c r="A13" t="s">
        <v>553</v>
      </c>
    </row>
    <row r="16" spans="1:9" s="55" customFormat="1" ht="39">
      <c r="B16" s="55" t="s">
        <v>187</v>
      </c>
      <c r="C16" s="55" t="s">
        <v>520</v>
      </c>
      <c r="D16" s="55" t="s">
        <v>188</v>
      </c>
      <c r="E16" s="55" t="s">
        <v>189</v>
      </c>
      <c r="F16" s="55" t="s">
        <v>190</v>
      </c>
      <c r="G16" s="55" t="s">
        <v>191</v>
      </c>
      <c r="H16" s="55" t="s">
        <v>350</v>
      </c>
    </row>
    <row r="17" spans="2:8">
      <c r="B17">
        <v>3</v>
      </c>
      <c r="C17">
        <v>102.114879239144</v>
      </c>
      <c r="D17">
        <v>25</v>
      </c>
      <c r="E17">
        <v>10</v>
      </c>
      <c r="F17">
        <v>25</v>
      </c>
      <c r="G17">
        <f>(D17+E17+F17)/100</f>
        <v>0.6</v>
      </c>
      <c r="H17">
        <f>(E17+F17)/(D17+E17+F17)</f>
        <v>0.58333333333333337</v>
      </c>
    </row>
    <row r="18" spans="2:8">
      <c r="B18">
        <v>3</v>
      </c>
      <c r="C18">
        <v>1004.12964585158</v>
      </c>
      <c r="D18">
        <v>25</v>
      </c>
      <c r="E18">
        <v>10</v>
      </c>
      <c r="F18">
        <v>20</v>
      </c>
      <c r="G18">
        <f t="shared" ref="G18:G81" si="4">(D18+E18+F18)/100</f>
        <v>0.55000000000000004</v>
      </c>
      <c r="H18">
        <f t="shared" ref="H18:H81" si="5">(E18+F18)/(D18+E18+F18)</f>
        <v>0.54545454545454541</v>
      </c>
    </row>
    <row r="19" spans="2:8">
      <c r="B19">
        <v>3</v>
      </c>
      <c r="C19">
        <v>510.82467776248302</v>
      </c>
      <c r="D19">
        <v>40</v>
      </c>
      <c r="E19">
        <v>10</v>
      </c>
      <c r="F19">
        <v>10</v>
      </c>
      <c r="G19">
        <f t="shared" si="4"/>
        <v>0.6</v>
      </c>
      <c r="H19">
        <f t="shared" si="5"/>
        <v>0.33333333333333331</v>
      </c>
    </row>
    <row r="20" spans="2:8">
      <c r="B20">
        <v>3</v>
      </c>
      <c r="C20">
        <v>2485.1708171693099</v>
      </c>
      <c r="D20">
        <v>30</v>
      </c>
      <c r="E20">
        <v>20</v>
      </c>
      <c r="F20">
        <v>30</v>
      </c>
      <c r="G20">
        <f t="shared" si="4"/>
        <v>0.8</v>
      </c>
      <c r="H20">
        <f t="shared" si="5"/>
        <v>0.625</v>
      </c>
    </row>
    <row r="21" spans="2:8">
      <c r="B21">
        <v>3</v>
      </c>
      <c r="C21">
        <v>3063.6966587410798</v>
      </c>
      <c r="D21">
        <v>30</v>
      </c>
      <c r="E21">
        <v>25</v>
      </c>
      <c r="F21">
        <v>10</v>
      </c>
      <c r="G21">
        <f t="shared" si="4"/>
        <v>0.65</v>
      </c>
      <c r="H21">
        <f t="shared" si="5"/>
        <v>0.53846153846153844</v>
      </c>
    </row>
    <row r="22" spans="2:8">
      <c r="B22">
        <v>5</v>
      </c>
      <c r="C22">
        <v>97.359529470653797</v>
      </c>
      <c r="D22">
        <v>30</v>
      </c>
      <c r="E22">
        <v>10</v>
      </c>
      <c r="F22">
        <v>10</v>
      </c>
      <c r="G22">
        <f t="shared" si="4"/>
        <v>0.5</v>
      </c>
      <c r="H22">
        <f t="shared" si="5"/>
        <v>0.4</v>
      </c>
    </row>
    <row r="23" spans="2:8">
      <c r="B23">
        <v>5</v>
      </c>
      <c r="C23">
        <v>573.89563258665896</v>
      </c>
      <c r="D23">
        <v>30</v>
      </c>
      <c r="E23">
        <v>5</v>
      </c>
      <c r="F23">
        <v>20</v>
      </c>
      <c r="G23">
        <f t="shared" si="4"/>
        <v>0.55000000000000004</v>
      </c>
      <c r="H23">
        <f t="shared" si="5"/>
        <v>0.45454545454545453</v>
      </c>
    </row>
    <row r="24" spans="2:8">
      <c r="B24">
        <v>5</v>
      </c>
      <c r="C24">
        <v>1033.2874483794201</v>
      </c>
      <c r="D24">
        <v>20</v>
      </c>
      <c r="E24">
        <v>20</v>
      </c>
      <c r="F24">
        <v>10</v>
      </c>
      <c r="G24">
        <f t="shared" si="4"/>
        <v>0.5</v>
      </c>
      <c r="H24">
        <f t="shared" si="5"/>
        <v>0.6</v>
      </c>
    </row>
    <row r="25" spans="2:8">
      <c r="B25">
        <v>5</v>
      </c>
      <c r="C25">
        <v>2803.5289700913499</v>
      </c>
      <c r="D25">
        <v>30</v>
      </c>
      <c r="E25">
        <v>10</v>
      </c>
      <c r="F25">
        <v>10</v>
      </c>
      <c r="G25">
        <f t="shared" si="4"/>
        <v>0.5</v>
      </c>
      <c r="H25">
        <f t="shared" si="5"/>
        <v>0.4</v>
      </c>
    </row>
    <row r="26" spans="2:8">
      <c r="B26">
        <v>5</v>
      </c>
      <c r="C26">
        <v>3756.6011763233601</v>
      </c>
      <c r="D26">
        <v>25</v>
      </c>
      <c r="E26">
        <v>10</v>
      </c>
      <c r="F26">
        <v>10</v>
      </c>
      <c r="G26">
        <f t="shared" si="4"/>
        <v>0.45</v>
      </c>
      <c r="H26">
        <f t="shared" si="5"/>
        <v>0.44444444444444442</v>
      </c>
    </row>
    <row r="27" spans="2:8">
      <c r="B27">
        <v>7</v>
      </c>
      <c r="C27">
        <v>125.64134651482701</v>
      </c>
      <c r="D27">
        <v>40</v>
      </c>
      <c r="E27">
        <v>5</v>
      </c>
      <c r="F27">
        <v>10</v>
      </c>
      <c r="G27">
        <f t="shared" si="4"/>
        <v>0.55000000000000004</v>
      </c>
      <c r="H27">
        <f t="shared" si="5"/>
        <v>0.27272727272727271</v>
      </c>
    </row>
    <row r="28" spans="2:8">
      <c r="B28">
        <v>7</v>
      </c>
      <c r="C28">
        <v>1010.6369665874</v>
      </c>
      <c r="D28">
        <v>25</v>
      </c>
      <c r="E28">
        <v>5</v>
      </c>
      <c r="F28">
        <v>10</v>
      </c>
      <c r="G28">
        <f t="shared" si="4"/>
        <v>0.4</v>
      </c>
      <c r="H28">
        <f t="shared" si="5"/>
        <v>0.375</v>
      </c>
    </row>
    <row r="29" spans="2:8">
      <c r="B29">
        <v>7</v>
      </c>
      <c r="C29">
        <v>2661.4941809535699</v>
      </c>
      <c r="D29">
        <v>25</v>
      </c>
      <c r="E29">
        <v>5</v>
      </c>
      <c r="F29">
        <v>20</v>
      </c>
      <c r="G29">
        <f t="shared" si="4"/>
        <v>0.5</v>
      </c>
      <c r="H29">
        <f t="shared" si="5"/>
        <v>0.5</v>
      </c>
    </row>
    <row r="30" spans="2:8">
      <c r="B30">
        <v>7</v>
      </c>
      <c r="C30">
        <v>3053.0596921536699</v>
      </c>
      <c r="D30">
        <v>20</v>
      </c>
      <c r="E30">
        <v>10</v>
      </c>
      <c r="F30">
        <v>10</v>
      </c>
      <c r="G30">
        <f t="shared" si="4"/>
        <v>0.4</v>
      </c>
      <c r="H30">
        <f t="shared" si="5"/>
        <v>0.5</v>
      </c>
    </row>
    <row r="31" spans="2:8">
      <c r="B31">
        <v>10</v>
      </c>
      <c r="C31">
        <v>103.86685020648</v>
      </c>
      <c r="D31">
        <v>35</v>
      </c>
      <c r="E31">
        <v>10</v>
      </c>
      <c r="F31">
        <v>20</v>
      </c>
      <c r="G31">
        <f t="shared" si="4"/>
        <v>0.65</v>
      </c>
      <c r="H31">
        <f t="shared" si="5"/>
        <v>0.46153846153846156</v>
      </c>
    </row>
    <row r="32" spans="2:8">
      <c r="B32">
        <v>10</v>
      </c>
      <c r="C32">
        <v>495.30722062319802</v>
      </c>
      <c r="D32">
        <v>20</v>
      </c>
      <c r="E32">
        <v>5</v>
      </c>
      <c r="F32">
        <v>30</v>
      </c>
      <c r="G32">
        <f t="shared" si="4"/>
        <v>0.55000000000000004</v>
      </c>
      <c r="H32">
        <f t="shared" si="5"/>
        <v>0.63636363636363635</v>
      </c>
    </row>
    <row r="33" spans="2:8">
      <c r="B33">
        <v>10</v>
      </c>
      <c r="C33">
        <v>1737.5797772494</v>
      </c>
      <c r="D33">
        <v>30</v>
      </c>
      <c r="E33">
        <v>10</v>
      </c>
      <c r="F33">
        <v>20</v>
      </c>
      <c r="G33">
        <f t="shared" si="4"/>
        <v>0.6</v>
      </c>
      <c r="H33">
        <f t="shared" si="5"/>
        <v>0.5</v>
      </c>
    </row>
    <row r="34" spans="2:8">
      <c r="B34">
        <v>10</v>
      </c>
      <c r="C34">
        <v>2758.85371042422</v>
      </c>
      <c r="D34">
        <v>30</v>
      </c>
      <c r="E34">
        <v>5</v>
      </c>
      <c r="F34">
        <v>20</v>
      </c>
      <c r="G34">
        <f t="shared" si="4"/>
        <v>0.55000000000000004</v>
      </c>
      <c r="H34">
        <f t="shared" si="5"/>
        <v>0.45454545454545453</v>
      </c>
    </row>
    <row r="35" spans="2:8">
      <c r="B35">
        <v>10</v>
      </c>
      <c r="C35">
        <v>3864.9730947315702</v>
      </c>
      <c r="D35">
        <v>25</v>
      </c>
      <c r="E35">
        <v>5</v>
      </c>
      <c r="F35">
        <v>20</v>
      </c>
      <c r="G35">
        <f t="shared" si="4"/>
        <v>0.5</v>
      </c>
      <c r="H35">
        <f t="shared" si="5"/>
        <v>0.5</v>
      </c>
    </row>
    <row r="36" spans="2:8">
      <c r="B36">
        <v>11</v>
      </c>
      <c r="C36">
        <v>97.860092604177595</v>
      </c>
      <c r="D36">
        <v>35</v>
      </c>
      <c r="E36">
        <v>20</v>
      </c>
      <c r="F36">
        <v>20</v>
      </c>
      <c r="G36">
        <f t="shared" si="4"/>
        <v>0.75</v>
      </c>
      <c r="H36">
        <f t="shared" si="5"/>
        <v>0.53333333333333333</v>
      </c>
    </row>
    <row r="37" spans="2:8">
      <c r="B37">
        <v>11</v>
      </c>
      <c r="C37">
        <v>250.90727067951099</v>
      </c>
      <c r="D37">
        <v>25</v>
      </c>
      <c r="E37">
        <v>30</v>
      </c>
      <c r="F37">
        <v>30</v>
      </c>
      <c r="G37">
        <f t="shared" si="4"/>
        <v>0.85</v>
      </c>
      <c r="H37">
        <f t="shared" si="5"/>
        <v>0.70588235294117652</v>
      </c>
    </row>
    <row r="38" spans="2:8">
      <c r="B38">
        <v>11</v>
      </c>
      <c r="C38">
        <v>846.827681141281</v>
      </c>
      <c r="D38">
        <v>25</v>
      </c>
      <c r="E38">
        <v>10</v>
      </c>
      <c r="F38">
        <v>25</v>
      </c>
      <c r="G38">
        <f t="shared" si="4"/>
        <v>0.6</v>
      </c>
      <c r="H38">
        <f t="shared" si="5"/>
        <v>0.58333333333333337</v>
      </c>
    </row>
    <row r="39" spans="2:8">
      <c r="B39">
        <v>11</v>
      </c>
      <c r="C39">
        <v>2497.6848955074402</v>
      </c>
      <c r="D39">
        <v>35</v>
      </c>
      <c r="E39">
        <v>5</v>
      </c>
      <c r="F39">
        <v>35</v>
      </c>
      <c r="G39">
        <f t="shared" si="4"/>
        <v>0.75</v>
      </c>
      <c r="H39">
        <f t="shared" si="5"/>
        <v>0.53333333333333333</v>
      </c>
    </row>
    <row r="40" spans="2:8">
      <c r="B40">
        <v>11</v>
      </c>
      <c r="C40">
        <v>3586.9102740583098</v>
      </c>
      <c r="D40">
        <v>30</v>
      </c>
      <c r="E40">
        <v>10</v>
      </c>
      <c r="F40">
        <v>25</v>
      </c>
      <c r="G40">
        <f t="shared" si="4"/>
        <v>0.65</v>
      </c>
      <c r="H40">
        <f t="shared" si="5"/>
        <v>0.53846153846153844</v>
      </c>
    </row>
    <row r="41" spans="2:8">
      <c r="B41">
        <v>14</v>
      </c>
      <c r="C41">
        <v>88.224252283816398</v>
      </c>
      <c r="D41">
        <v>30</v>
      </c>
      <c r="E41">
        <v>10</v>
      </c>
      <c r="F41">
        <v>25</v>
      </c>
      <c r="G41">
        <f t="shared" si="4"/>
        <v>0.65</v>
      </c>
      <c r="H41">
        <f t="shared" si="5"/>
        <v>0.53846153846153844</v>
      </c>
    </row>
    <row r="42" spans="2:8">
      <c r="B42">
        <v>14</v>
      </c>
      <c r="C42">
        <v>241.396571142531</v>
      </c>
      <c r="D42">
        <v>30</v>
      </c>
      <c r="E42">
        <v>10</v>
      </c>
      <c r="F42">
        <v>25</v>
      </c>
      <c r="G42">
        <f t="shared" si="4"/>
        <v>0.65</v>
      </c>
      <c r="H42">
        <f t="shared" si="5"/>
        <v>0.53846153846153844</v>
      </c>
    </row>
    <row r="43" spans="2:8">
      <c r="B43">
        <v>14</v>
      </c>
      <c r="C43">
        <v>1007.2581654361099</v>
      </c>
      <c r="D43">
        <v>30</v>
      </c>
      <c r="E43">
        <v>10</v>
      </c>
      <c r="F43">
        <v>25</v>
      </c>
      <c r="G43">
        <f t="shared" si="4"/>
        <v>0.65</v>
      </c>
      <c r="H43">
        <f t="shared" si="5"/>
        <v>0.53846153846153844</v>
      </c>
    </row>
    <row r="44" spans="2:8">
      <c r="B44">
        <v>14</v>
      </c>
      <c r="C44">
        <v>2726.3171067450799</v>
      </c>
      <c r="D44">
        <v>35</v>
      </c>
      <c r="E44">
        <v>10</v>
      </c>
      <c r="F44">
        <v>20</v>
      </c>
      <c r="G44">
        <f t="shared" si="4"/>
        <v>0.65</v>
      </c>
      <c r="H44">
        <f t="shared" si="5"/>
        <v>0.46153846153846156</v>
      </c>
    </row>
    <row r="45" spans="2:8">
      <c r="B45">
        <v>14</v>
      </c>
      <c r="C45">
        <v>3628.3318733575202</v>
      </c>
      <c r="D45">
        <v>20</v>
      </c>
      <c r="E45">
        <v>25</v>
      </c>
      <c r="F45">
        <v>25</v>
      </c>
      <c r="G45">
        <f t="shared" si="4"/>
        <v>0.7</v>
      </c>
      <c r="H45">
        <f t="shared" si="5"/>
        <v>0.7142857142857143</v>
      </c>
    </row>
    <row r="46" spans="2:8">
      <c r="B46">
        <v>16</v>
      </c>
      <c r="C46">
        <v>101.113752972089</v>
      </c>
      <c r="D46">
        <v>30</v>
      </c>
      <c r="E46">
        <v>20</v>
      </c>
      <c r="F46">
        <v>25</v>
      </c>
      <c r="G46">
        <f t="shared" si="4"/>
        <v>0.75</v>
      </c>
      <c r="H46">
        <f t="shared" si="5"/>
        <v>0.6</v>
      </c>
    </row>
    <row r="47" spans="2:8">
      <c r="B47">
        <v>16</v>
      </c>
      <c r="C47">
        <v>254.16093104742399</v>
      </c>
      <c r="D47">
        <v>25</v>
      </c>
      <c r="E47">
        <v>10</v>
      </c>
      <c r="F47">
        <v>30</v>
      </c>
      <c r="G47">
        <f t="shared" si="4"/>
        <v>0.65</v>
      </c>
      <c r="H47">
        <f t="shared" si="5"/>
        <v>0.61538461538461542</v>
      </c>
    </row>
    <row r="48" spans="2:8">
      <c r="B48">
        <v>16</v>
      </c>
      <c r="C48">
        <v>1156.3008384432401</v>
      </c>
      <c r="D48">
        <v>25</v>
      </c>
      <c r="E48">
        <v>20</v>
      </c>
      <c r="F48">
        <v>25</v>
      </c>
      <c r="G48">
        <f t="shared" si="4"/>
        <v>0.7</v>
      </c>
      <c r="H48">
        <f t="shared" si="5"/>
        <v>0.6428571428571429</v>
      </c>
    </row>
    <row r="49" spans="2:8">
      <c r="B49">
        <v>16</v>
      </c>
      <c r="C49">
        <v>2551.8708547115398</v>
      </c>
      <c r="D49">
        <v>35</v>
      </c>
      <c r="E49">
        <v>20</v>
      </c>
      <c r="F49">
        <v>30</v>
      </c>
      <c r="G49">
        <f t="shared" si="4"/>
        <v>0.85</v>
      </c>
      <c r="H49">
        <f t="shared" si="5"/>
        <v>0.58823529411764708</v>
      </c>
    </row>
    <row r="50" spans="2:8">
      <c r="B50">
        <v>16</v>
      </c>
      <c r="C50">
        <v>3539.2316355900298</v>
      </c>
      <c r="D50">
        <v>25</v>
      </c>
      <c r="E50">
        <v>20</v>
      </c>
      <c r="F50">
        <v>30</v>
      </c>
      <c r="G50">
        <f t="shared" si="4"/>
        <v>0.75</v>
      </c>
      <c r="H50">
        <f t="shared" si="5"/>
        <v>0.66666666666666663</v>
      </c>
    </row>
    <row r="51" spans="2:8">
      <c r="B51">
        <v>18</v>
      </c>
      <c r="C51">
        <v>97.985233387556406</v>
      </c>
      <c r="D51">
        <v>30</v>
      </c>
      <c r="E51">
        <v>30</v>
      </c>
      <c r="F51">
        <v>10</v>
      </c>
      <c r="G51">
        <f t="shared" si="4"/>
        <v>0.7</v>
      </c>
      <c r="H51">
        <f t="shared" si="5"/>
        <v>0.5714285714285714</v>
      </c>
    </row>
    <row r="52" spans="2:8">
      <c r="B52">
        <v>18</v>
      </c>
      <c r="C52">
        <v>761.98223000875498</v>
      </c>
      <c r="D52">
        <v>30</v>
      </c>
      <c r="E52">
        <v>10</v>
      </c>
      <c r="F52">
        <v>40</v>
      </c>
      <c r="G52">
        <f t="shared" si="4"/>
        <v>0.8</v>
      </c>
      <c r="H52">
        <f t="shared" si="5"/>
        <v>0.625</v>
      </c>
    </row>
    <row r="53" spans="2:8">
      <c r="B53">
        <v>18</v>
      </c>
      <c r="C53">
        <v>1102.3651608058999</v>
      </c>
      <c r="D53">
        <v>30</v>
      </c>
      <c r="E53">
        <v>10</v>
      </c>
      <c r="F53">
        <v>25</v>
      </c>
      <c r="G53">
        <f t="shared" si="4"/>
        <v>0.65</v>
      </c>
      <c r="H53">
        <f t="shared" si="5"/>
        <v>0.53846153846153844</v>
      </c>
    </row>
    <row r="54" spans="2:8">
      <c r="B54">
        <v>18</v>
      </c>
      <c r="C54">
        <v>2429.85859091477</v>
      </c>
      <c r="D54">
        <v>35</v>
      </c>
      <c r="E54">
        <v>30</v>
      </c>
      <c r="F54">
        <v>35</v>
      </c>
      <c r="G54">
        <f t="shared" si="4"/>
        <v>1</v>
      </c>
      <c r="H54">
        <f t="shared" si="5"/>
        <v>0.65</v>
      </c>
    </row>
    <row r="55" spans="2:8">
      <c r="B55">
        <v>18</v>
      </c>
      <c r="C55">
        <v>3552.99712176197</v>
      </c>
      <c r="D55">
        <v>35</v>
      </c>
      <c r="E55">
        <v>25</v>
      </c>
      <c r="F55">
        <v>25</v>
      </c>
      <c r="G55">
        <f t="shared" si="4"/>
        <v>0.85</v>
      </c>
      <c r="H55">
        <f t="shared" si="5"/>
        <v>0.58823529411764708</v>
      </c>
    </row>
    <row r="56" spans="2:8">
      <c r="B56">
        <v>20</v>
      </c>
      <c r="C56">
        <v>107.99649605806</v>
      </c>
      <c r="D56">
        <v>35</v>
      </c>
      <c r="E56">
        <v>25</v>
      </c>
      <c r="F56">
        <v>25</v>
      </c>
      <c r="G56">
        <f t="shared" si="4"/>
        <v>0.85</v>
      </c>
      <c r="H56">
        <f t="shared" si="5"/>
        <v>0.58823529411764708</v>
      </c>
    </row>
    <row r="57" spans="2:8">
      <c r="B57">
        <v>20</v>
      </c>
      <c r="C57">
        <v>635.46489801025598</v>
      </c>
      <c r="D57">
        <v>45</v>
      </c>
      <c r="E57">
        <v>20</v>
      </c>
      <c r="F57">
        <v>20</v>
      </c>
      <c r="G57">
        <f t="shared" si="4"/>
        <v>0.85</v>
      </c>
      <c r="H57">
        <f t="shared" si="5"/>
        <v>0.47058823529411764</v>
      </c>
    </row>
    <row r="58" spans="2:8">
      <c r="B58">
        <v>20</v>
      </c>
      <c r="C58">
        <v>1112.2512826930199</v>
      </c>
      <c r="D58">
        <v>35</v>
      </c>
      <c r="E58">
        <v>10</v>
      </c>
      <c r="F58">
        <v>25</v>
      </c>
      <c r="G58">
        <f t="shared" si="4"/>
        <v>0.7</v>
      </c>
      <c r="H58">
        <f t="shared" si="5"/>
        <v>0.5</v>
      </c>
    </row>
    <row r="59" spans="2:8">
      <c r="B59">
        <v>20</v>
      </c>
      <c r="C59">
        <v>2065.0732073582699</v>
      </c>
      <c r="D59">
        <v>30</v>
      </c>
      <c r="E59">
        <v>20</v>
      </c>
      <c r="F59">
        <v>25</v>
      </c>
      <c r="G59">
        <f t="shared" si="4"/>
        <v>0.75</v>
      </c>
      <c r="H59">
        <f t="shared" si="5"/>
        <v>0.6</v>
      </c>
    </row>
    <row r="60" spans="2:8">
      <c r="B60">
        <v>20</v>
      </c>
      <c r="C60">
        <v>3869.35302214991</v>
      </c>
      <c r="D60">
        <v>25</v>
      </c>
      <c r="E60">
        <v>10</v>
      </c>
      <c r="F60">
        <v>30</v>
      </c>
      <c r="G60">
        <f t="shared" si="4"/>
        <v>0.65</v>
      </c>
      <c r="H60">
        <f t="shared" si="5"/>
        <v>0.61538461538461542</v>
      </c>
    </row>
    <row r="61" spans="2:8">
      <c r="B61">
        <v>21</v>
      </c>
      <c r="C61">
        <v>70.704542610430906</v>
      </c>
      <c r="D61">
        <v>45</v>
      </c>
      <c r="E61">
        <v>25</v>
      </c>
      <c r="F61">
        <v>20</v>
      </c>
      <c r="G61">
        <f t="shared" si="4"/>
        <v>0.9</v>
      </c>
      <c r="H61">
        <f t="shared" si="5"/>
        <v>0.5</v>
      </c>
    </row>
    <row r="62" spans="2:8">
      <c r="B62">
        <v>21</v>
      </c>
      <c r="C62">
        <v>530.22149918657794</v>
      </c>
      <c r="D62">
        <v>40</v>
      </c>
      <c r="E62">
        <v>20</v>
      </c>
      <c r="F62">
        <v>25</v>
      </c>
      <c r="G62">
        <f t="shared" si="4"/>
        <v>0.85</v>
      </c>
      <c r="H62">
        <f t="shared" si="5"/>
        <v>0.52941176470588236</v>
      </c>
    </row>
    <row r="63" spans="2:8">
      <c r="B63">
        <v>21</v>
      </c>
      <c r="C63">
        <v>1108.9976223251099</v>
      </c>
      <c r="D63">
        <v>30</v>
      </c>
      <c r="E63">
        <v>20</v>
      </c>
      <c r="F63">
        <v>20</v>
      </c>
      <c r="G63">
        <f t="shared" si="4"/>
        <v>0.7</v>
      </c>
      <c r="H63">
        <f t="shared" si="5"/>
        <v>0.5714285714285714</v>
      </c>
    </row>
    <row r="64" spans="2:8">
      <c r="B64">
        <v>21</v>
      </c>
      <c r="C64">
        <v>1806.9077712426399</v>
      </c>
      <c r="D64">
        <v>25</v>
      </c>
      <c r="E64">
        <v>20</v>
      </c>
      <c r="F64">
        <v>20</v>
      </c>
      <c r="G64">
        <f t="shared" si="4"/>
        <v>0.65</v>
      </c>
      <c r="H64">
        <f t="shared" si="5"/>
        <v>0.61538461538461542</v>
      </c>
    </row>
    <row r="65" spans="2:8">
      <c r="B65">
        <v>21</v>
      </c>
      <c r="C65">
        <v>3014.89175322236</v>
      </c>
      <c r="D65">
        <v>30</v>
      </c>
      <c r="E65">
        <v>10</v>
      </c>
      <c r="F65">
        <v>40</v>
      </c>
      <c r="G65">
        <f t="shared" si="4"/>
        <v>0.8</v>
      </c>
      <c r="H65">
        <f t="shared" si="5"/>
        <v>0.625</v>
      </c>
    </row>
    <row r="66" spans="2:8">
      <c r="B66">
        <v>23</v>
      </c>
      <c r="C66">
        <v>84.470028782373902</v>
      </c>
      <c r="D66">
        <v>25</v>
      </c>
      <c r="E66">
        <v>10</v>
      </c>
      <c r="F66">
        <v>10</v>
      </c>
      <c r="G66">
        <f t="shared" si="4"/>
        <v>0.45</v>
      </c>
      <c r="H66">
        <f t="shared" si="5"/>
        <v>0.44444444444444442</v>
      </c>
    </row>
    <row r="67" spans="2:8">
      <c r="B67">
        <v>23</v>
      </c>
      <c r="C67">
        <v>901.63934426228798</v>
      </c>
      <c r="D67">
        <v>40</v>
      </c>
      <c r="E67">
        <v>10</v>
      </c>
      <c r="F67">
        <v>10</v>
      </c>
      <c r="G67">
        <f t="shared" si="4"/>
        <v>0.6</v>
      </c>
      <c r="H67">
        <f t="shared" si="5"/>
        <v>0.33333333333333331</v>
      </c>
    </row>
    <row r="68" spans="2:8">
      <c r="B68">
        <v>23</v>
      </c>
      <c r="C68">
        <v>1769.6158177950099</v>
      </c>
      <c r="D68">
        <v>20</v>
      </c>
      <c r="E68">
        <v>10</v>
      </c>
      <c r="F68">
        <v>20</v>
      </c>
      <c r="G68">
        <f t="shared" si="4"/>
        <v>0.5</v>
      </c>
      <c r="H68">
        <f t="shared" si="5"/>
        <v>0.6</v>
      </c>
    </row>
    <row r="69" spans="2:8">
      <c r="B69">
        <v>23</v>
      </c>
      <c r="C69">
        <v>2450.3816793893002</v>
      </c>
      <c r="D69">
        <v>35</v>
      </c>
      <c r="E69">
        <v>10</v>
      </c>
      <c r="F69">
        <v>20</v>
      </c>
      <c r="G69">
        <f t="shared" si="4"/>
        <v>0.65</v>
      </c>
      <c r="H69">
        <f t="shared" si="5"/>
        <v>0.46153846153846156</v>
      </c>
    </row>
    <row r="70" spans="2:8">
      <c r="B70">
        <v>23</v>
      </c>
      <c r="C70">
        <v>2824.8029032661598</v>
      </c>
      <c r="D70">
        <v>20</v>
      </c>
      <c r="E70">
        <v>5</v>
      </c>
      <c r="F70">
        <v>25</v>
      </c>
      <c r="G70">
        <f t="shared" si="4"/>
        <v>0.5</v>
      </c>
      <c r="H70">
        <f t="shared" si="5"/>
        <v>0.6</v>
      </c>
    </row>
    <row r="71" spans="2:8">
      <c r="B71">
        <v>25</v>
      </c>
      <c r="C71">
        <v>98.861218871223599</v>
      </c>
      <c r="D71">
        <v>30</v>
      </c>
      <c r="E71">
        <v>10</v>
      </c>
      <c r="F71">
        <v>5</v>
      </c>
      <c r="G71">
        <f t="shared" si="4"/>
        <v>0.45</v>
      </c>
      <c r="H71">
        <f t="shared" si="5"/>
        <v>0.33333333333333331</v>
      </c>
    </row>
    <row r="72" spans="2:8">
      <c r="B72">
        <v>25</v>
      </c>
      <c r="C72">
        <v>796.39594543861199</v>
      </c>
      <c r="D72">
        <v>35</v>
      </c>
      <c r="E72">
        <v>10</v>
      </c>
      <c r="F72">
        <v>25</v>
      </c>
      <c r="G72">
        <f t="shared" si="4"/>
        <v>0.7</v>
      </c>
      <c r="H72">
        <f t="shared" si="5"/>
        <v>0.5</v>
      </c>
    </row>
    <row r="73" spans="2:8">
      <c r="B73">
        <v>25</v>
      </c>
      <c r="C73">
        <v>1715.6801401576699</v>
      </c>
      <c r="D73">
        <v>30</v>
      </c>
      <c r="E73">
        <v>10</v>
      </c>
      <c r="F73">
        <v>10</v>
      </c>
      <c r="G73">
        <f t="shared" si="4"/>
        <v>0.5</v>
      </c>
      <c r="H73">
        <f t="shared" si="5"/>
        <v>0.4</v>
      </c>
    </row>
    <row r="74" spans="2:8">
      <c r="B74">
        <v>25</v>
      </c>
      <c r="C74">
        <v>2549.6183206106798</v>
      </c>
      <c r="D74">
        <v>20</v>
      </c>
      <c r="E74">
        <v>20</v>
      </c>
      <c r="F74">
        <v>10</v>
      </c>
      <c r="G74">
        <f t="shared" si="4"/>
        <v>0.5</v>
      </c>
      <c r="H74">
        <f t="shared" si="5"/>
        <v>0.6</v>
      </c>
    </row>
    <row r="75" spans="2:8">
      <c r="B75">
        <v>25</v>
      </c>
      <c r="C75">
        <v>3043.1735702665401</v>
      </c>
      <c r="D75">
        <v>20</v>
      </c>
      <c r="E75">
        <v>10</v>
      </c>
      <c r="F75">
        <v>10</v>
      </c>
      <c r="G75">
        <f t="shared" si="4"/>
        <v>0.4</v>
      </c>
      <c r="H75">
        <f t="shared" si="5"/>
        <v>0.5</v>
      </c>
    </row>
    <row r="76" spans="2:8">
      <c r="B76">
        <v>26</v>
      </c>
      <c r="C76">
        <v>78.212989613306902</v>
      </c>
      <c r="D76">
        <v>30</v>
      </c>
      <c r="E76">
        <v>10</v>
      </c>
      <c r="F76">
        <v>10</v>
      </c>
      <c r="G76">
        <f t="shared" si="4"/>
        <v>0.5</v>
      </c>
      <c r="H76">
        <f t="shared" si="5"/>
        <v>0.4</v>
      </c>
    </row>
    <row r="77" spans="2:8">
      <c r="B77">
        <v>26</v>
      </c>
      <c r="C77">
        <v>809.91115004379105</v>
      </c>
      <c r="D77">
        <v>30</v>
      </c>
      <c r="E77">
        <v>20</v>
      </c>
      <c r="F77">
        <v>10</v>
      </c>
      <c r="G77">
        <f t="shared" si="4"/>
        <v>0.6</v>
      </c>
      <c r="H77">
        <f t="shared" si="5"/>
        <v>0.5</v>
      </c>
    </row>
    <row r="78" spans="2:8">
      <c r="B78">
        <v>26</v>
      </c>
      <c r="C78">
        <v>1677.8876235765099</v>
      </c>
      <c r="D78">
        <v>25</v>
      </c>
      <c r="E78">
        <v>10</v>
      </c>
      <c r="F78">
        <v>25</v>
      </c>
      <c r="G78">
        <f t="shared" si="4"/>
        <v>0.6</v>
      </c>
      <c r="H78">
        <f t="shared" si="5"/>
        <v>0.58333333333333337</v>
      </c>
    </row>
    <row r="79" spans="2:8">
      <c r="B79">
        <v>26</v>
      </c>
      <c r="C79">
        <v>2409.8360655737602</v>
      </c>
      <c r="D79">
        <v>25</v>
      </c>
      <c r="E79">
        <v>20</v>
      </c>
      <c r="F79">
        <v>30</v>
      </c>
      <c r="G79">
        <f t="shared" si="4"/>
        <v>0.75</v>
      </c>
      <c r="H79">
        <f t="shared" si="5"/>
        <v>0.66666666666666663</v>
      </c>
    </row>
    <row r="80" spans="2:8">
      <c r="B80">
        <v>26</v>
      </c>
      <c r="C80">
        <v>2835.4398698535701</v>
      </c>
      <c r="D80">
        <v>30</v>
      </c>
      <c r="E80">
        <v>5</v>
      </c>
      <c r="F80">
        <v>20</v>
      </c>
      <c r="G80">
        <f t="shared" si="4"/>
        <v>0.55000000000000004</v>
      </c>
      <c r="H80">
        <f t="shared" si="5"/>
        <v>0.45454545454545453</v>
      </c>
    </row>
    <row r="81" spans="2:8">
      <c r="B81">
        <v>29</v>
      </c>
      <c r="C81">
        <v>90.601927168055596</v>
      </c>
      <c r="D81">
        <v>20</v>
      </c>
      <c r="E81">
        <v>5</v>
      </c>
      <c r="F81">
        <v>10</v>
      </c>
      <c r="G81">
        <f t="shared" si="4"/>
        <v>0.35</v>
      </c>
      <c r="H81">
        <f t="shared" si="5"/>
        <v>0.42857142857142855</v>
      </c>
    </row>
    <row r="82" spans="2:8">
      <c r="B82">
        <v>29</v>
      </c>
      <c r="C82">
        <v>516.08059066449005</v>
      </c>
      <c r="D82">
        <v>25</v>
      </c>
      <c r="E82">
        <v>5</v>
      </c>
      <c r="F82">
        <v>10</v>
      </c>
      <c r="G82">
        <f t="shared" ref="G82:G95" si="6">(D82+E82+F82)/100</f>
        <v>0.4</v>
      </c>
      <c r="H82">
        <f t="shared" ref="H82:H95" si="7">(E82+F82)/(D82+E82+F82)</f>
        <v>0.375</v>
      </c>
    </row>
    <row r="83" spans="2:8">
      <c r="B83">
        <v>29</v>
      </c>
      <c r="C83">
        <v>873.48266800149395</v>
      </c>
      <c r="D83">
        <v>20</v>
      </c>
      <c r="E83">
        <v>5</v>
      </c>
      <c r="F83">
        <v>10</v>
      </c>
      <c r="G83">
        <f t="shared" si="6"/>
        <v>0.35</v>
      </c>
      <c r="H83">
        <f t="shared" si="7"/>
        <v>0.42857142857142855</v>
      </c>
    </row>
    <row r="84" spans="2:8">
      <c r="B84">
        <v>29</v>
      </c>
      <c r="C84">
        <v>1792.51658115379</v>
      </c>
      <c r="D84">
        <v>20</v>
      </c>
      <c r="E84">
        <v>25</v>
      </c>
      <c r="F84">
        <v>10</v>
      </c>
      <c r="G84">
        <f t="shared" si="6"/>
        <v>0.55000000000000004</v>
      </c>
      <c r="H84">
        <f t="shared" si="7"/>
        <v>0.63636363636363635</v>
      </c>
    </row>
    <row r="85" spans="2:8">
      <c r="B85">
        <v>29</v>
      </c>
      <c r="C85">
        <v>2473.4075835314602</v>
      </c>
      <c r="D85">
        <v>25</v>
      </c>
      <c r="E85">
        <v>20</v>
      </c>
      <c r="F85">
        <v>25</v>
      </c>
      <c r="G85">
        <f t="shared" si="6"/>
        <v>0.7</v>
      </c>
      <c r="H85">
        <f t="shared" si="7"/>
        <v>0.6428571428571429</v>
      </c>
    </row>
    <row r="86" spans="2:8">
      <c r="B86">
        <v>31</v>
      </c>
      <c r="C86">
        <v>104.61769490676301</v>
      </c>
      <c r="D86">
        <v>25</v>
      </c>
      <c r="E86">
        <v>10</v>
      </c>
      <c r="F86">
        <v>10</v>
      </c>
      <c r="G86">
        <f t="shared" si="6"/>
        <v>0.45</v>
      </c>
      <c r="H86">
        <f t="shared" si="7"/>
        <v>0.44444444444444442</v>
      </c>
    </row>
    <row r="87" spans="2:8">
      <c r="B87">
        <v>31</v>
      </c>
      <c r="C87">
        <v>989.48817419596196</v>
      </c>
      <c r="D87">
        <v>25</v>
      </c>
      <c r="E87">
        <v>10</v>
      </c>
      <c r="F87">
        <v>25</v>
      </c>
      <c r="G87">
        <f t="shared" si="6"/>
        <v>0.6</v>
      </c>
      <c r="H87">
        <f t="shared" si="7"/>
        <v>0.58333333333333337</v>
      </c>
    </row>
    <row r="88" spans="2:8">
      <c r="B88">
        <v>31</v>
      </c>
      <c r="C88">
        <v>1942.81066199473</v>
      </c>
      <c r="D88">
        <v>30</v>
      </c>
      <c r="E88">
        <v>10</v>
      </c>
      <c r="F88">
        <v>20</v>
      </c>
      <c r="G88">
        <f t="shared" si="6"/>
        <v>0.6</v>
      </c>
      <c r="H88">
        <f t="shared" si="7"/>
        <v>0.5</v>
      </c>
    </row>
    <row r="89" spans="2:8">
      <c r="B89">
        <v>31</v>
      </c>
      <c r="C89">
        <v>2436.2407708672099</v>
      </c>
      <c r="D89">
        <v>25</v>
      </c>
      <c r="E89">
        <v>20</v>
      </c>
      <c r="F89">
        <v>20</v>
      </c>
      <c r="G89">
        <f t="shared" si="6"/>
        <v>0.65</v>
      </c>
      <c r="H89">
        <f t="shared" si="7"/>
        <v>0.61538461538461542</v>
      </c>
    </row>
    <row r="90" spans="2:8">
      <c r="B90">
        <v>31</v>
      </c>
      <c r="C90">
        <v>2759.6045551245002</v>
      </c>
      <c r="D90">
        <v>25</v>
      </c>
      <c r="E90">
        <v>10</v>
      </c>
      <c r="F90">
        <v>20</v>
      </c>
      <c r="G90">
        <f t="shared" si="6"/>
        <v>0.55000000000000004</v>
      </c>
      <c r="H90">
        <f t="shared" si="7"/>
        <v>0.54545454545454541</v>
      </c>
    </row>
    <row r="91" spans="2:8">
      <c r="B91">
        <v>35</v>
      </c>
      <c r="C91">
        <v>67.450882242514993</v>
      </c>
      <c r="D91">
        <v>25</v>
      </c>
      <c r="E91">
        <v>5</v>
      </c>
      <c r="F91">
        <v>10</v>
      </c>
      <c r="G91">
        <f t="shared" si="6"/>
        <v>0.4</v>
      </c>
      <c r="H91">
        <f t="shared" si="7"/>
        <v>0.375</v>
      </c>
    </row>
    <row r="92" spans="2:8">
      <c r="B92">
        <v>35</v>
      </c>
      <c r="C92">
        <v>697.40958578399898</v>
      </c>
      <c r="D92">
        <v>25</v>
      </c>
      <c r="E92">
        <v>5</v>
      </c>
      <c r="F92">
        <v>30</v>
      </c>
      <c r="G92">
        <f t="shared" si="6"/>
        <v>0.6</v>
      </c>
      <c r="H92">
        <f t="shared" si="7"/>
        <v>0.58333333333333337</v>
      </c>
    </row>
    <row r="93" spans="2:8">
      <c r="B93">
        <v>35</v>
      </c>
      <c r="C93">
        <v>1003.75422350143</v>
      </c>
      <c r="D93">
        <v>25</v>
      </c>
      <c r="E93">
        <v>10</v>
      </c>
      <c r="F93">
        <v>30</v>
      </c>
      <c r="G93">
        <f t="shared" si="6"/>
        <v>0.65</v>
      </c>
      <c r="H93">
        <f t="shared" si="7"/>
        <v>0.61538461538461542</v>
      </c>
    </row>
    <row r="94" spans="2:8">
      <c r="B94">
        <v>35</v>
      </c>
      <c r="C94">
        <v>1224.8779877361901</v>
      </c>
      <c r="D94">
        <v>25</v>
      </c>
      <c r="E94">
        <v>10</v>
      </c>
      <c r="F94">
        <v>25</v>
      </c>
      <c r="G94">
        <f t="shared" si="6"/>
        <v>0.6</v>
      </c>
      <c r="H94">
        <f t="shared" si="7"/>
        <v>0.58333333333333337</v>
      </c>
    </row>
    <row r="95" spans="2:8">
      <c r="B95">
        <v>35</v>
      </c>
      <c r="C95">
        <v>1514.07833813038</v>
      </c>
      <c r="D95">
        <v>25</v>
      </c>
      <c r="E95">
        <v>10</v>
      </c>
      <c r="F95">
        <v>20</v>
      </c>
      <c r="G95">
        <f t="shared" si="6"/>
        <v>0.55000000000000004</v>
      </c>
      <c r="H95">
        <f t="shared" si="7"/>
        <v>0.54545454545454541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12" sqref="E12"/>
    </sheetView>
  </sheetViews>
  <sheetFormatPr baseColWidth="10" defaultRowHeight="13" x14ac:dyDescent="0"/>
  <sheetData>
    <row r="1" spans="1:6">
      <c r="A1" t="s">
        <v>311</v>
      </c>
    </row>
    <row r="2" spans="1:6">
      <c r="A2" t="s">
        <v>179</v>
      </c>
    </row>
    <row r="3" spans="1:6">
      <c r="A3" t="s">
        <v>185</v>
      </c>
    </row>
    <row r="6" spans="1:6" s="55" customFormat="1" ht="39">
      <c r="A6" s="55" t="s">
        <v>426</v>
      </c>
      <c r="B6" s="55" t="s">
        <v>180</v>
      </c>
      <c r="C6" s="55" t="s">
        <v>181</v>
      </c>
      <c r="D6" s="55" t="s">
        <v>182</v>
      </c>
      <c r="E6" s="55" t="s">
        <v>183</v>
      </c>
      <c r="F6" s="55" t="s">
        <v>184</v>
      </c>
    </row>
    <row r="7" spans="1:6">
      <c r="A7">
        <v>100</v>
      </c>
      <c r="B7">
        <v>35.204518301292403</v>
      </c>
      <c r="C7">
        <v>21.847352169932801</v>
      </c>
      <c r="D7">
        <v>19.479091995221001</v>
      </c>
      <c r="E7">
        <f>(B7+C7+D7)/100</f>
        <v>0.76530962466446195</v>
      </c>
      <c r="F7">
        <f>(D7+E7)/(C7+D7+E7)</f>
        <v>0.48095885291390394</v>
      </c>
    </row>
    <row r="8" spans="1:6">
      <c r="A8">
        <v>600</v>
      </c>
      <c r="B8">
        <v>32.512405157566398</v>
      </c>
      <c r="C8">
        <v>26.1855420565097</v>
      </c>
      <c r="D8">
        <v>15.8172818817979</v>
      </c>
      <c r="E8">
        <f t="shared" ref="E8:E10" si="0">(B8+C8+D8)/100</f>
        <v>0.74515229095873992</v>
      </c>
      <c r="F8">
        <f t="shared" ref="F8:F10" si="1">(D8+E8)/(C8+D8+E8)</f>
        <v>0.38744370222180435</v>
      </c>
    </row>
    <row r="9" spans="1:6">
      <c r="A9">
        <v>2000</v>
      </c>
      <c r="B9">
        <v>32.646588775620998</v>
      </c>
      <c r="C9">
        <v>27.450542289251899</v>
      </c>
      <c r="D9">
        <v>17.407997020900201</v>
      </c>
      <c r="E9">
        <f t="shared" si="0"/>
        <v>0.7750512808577309</v>
      </c>
      <c r="F9">
        <f t="shared" si="1"/>
        <v>0.39845754117231647</v>
      </c>
    </row>
    <row r="10" spans="1:6">
      <c r="A10">
        <v>3500</v>
      </c>
      <c r="B10">
        <v>28.660056789089001</v>
      </c>
      <c r="C10">
        <v>27.3452807646356</v>
      </c>
      <c r="D10">
        <v>18.7552948843271</v>
      </c>
      <c r="E10">
        <f t="shared" si="0"/>
        <v>0.747606324380517</v>
      </c>
      <c r="F10">
        <f t="shared" si="1"/>
        <v>0.41630006517232265</v>
      </c>
    </row>
    <row r="12" spans="1:6" s="55" customFormat="1" ht="39">
      <c r="A12" s="55" t="s">
        <v>216</v>
      </c>
      <c r="B12" s="55" t="s">
        <v>217</v>
      </c>
      <c r="C12" s="55" t="s">
        <v>215</v>
      </c>
      <c r="D12" s="55" t="s">
        <v>214</v>
      </c>
    </row>
    <row r="13" spans="1:6">
      <c r="A13">
        <v>6.6907866691442397</v>
      </c>
      <c r="B13">
        <v>14.0715074272847</v>
      </c>
      <c r="C13">
        <v>2.7944953927880398</v>
      </c>
      <c r="D13">
        <v>17.910085585930201</v>
      </c>
    </row>
    <row r="14" spans="1:6">
      <c r="A14">
        <v>2.79515122367112</v>
      </c>
      <c r="B14">
        <v>18.111425667034599</v>
      </c>
      <c r="C14">
        <v>6.9091783532086497</v>
      </c>
      <c r="D14">
        <v>21.117754435056298</v>
      </c>
    </row>
    <row r="15" spans="1:6">
      <c r="A15">
        <v>3.5906740848426502</v>
      </c>
      <c r="B15">
        <v>22.336944046695098</v>
      </c>
      <c r="C15">
        <v>8.8701126936067407</v>
      </c>
      <c r="D15">
        <v>23.1245969372697</v>
      </c>
    </row>
    <row r="16" spans="1:6">
      <c r="A16">
        <v>10.840884497250901</v>
      </c>
      <c r="B16">
        <v>28.151540656049399</v>
      </c>
      <c r="C16">
        <v>13.957392853629401</v>
      </c>
      <c r="D16">
        <v>24.9196060642495</v>
      </c>
    </row>
    <row r="17" spans="1:4">
      <c r="A17">
        <v>9.8820597461934394</v>
      </c>
      <c r="B17">
        <v>33.792342081388597</v>
      </c>
      <c r="C17">
        <v>15.1392001049329</v>
      </c>
      <c r="D17">
        <v>27.734432214412902</v>
      </c>
    </row>
    <row r="18" spans="1:4">
      <c r="A18">
        <v>23.960781313192001</v>
      </c>
      <c r="B18">
        <v>35.959863149955702</v>
      </c>
      <c r="C18">
        <v>9.8787805917780602</v>
      </c>
      <c r="D18">
        <v>32.785641675866501</v>
      </c>
    </row>
    <row r="19" spans="1:4">
      <c r="A19">
        <v>27.882649993988199</v>
      </c>
      <c r="B19">
        <v>39.973548154382499</v>
      </c>
      <c r="C19">
        <v>9.8925530403226691</v>
      </c>
      <c r="D19">
        <v>37.013783379059298</v>
      </c>
    </row>
    <row r="20" spans="1:4">
      <c r="A20">
        <v>28.878857105381002</v>
      </c>
      <c r="B20">
        <v>45.809131351995298</v>
      </c>
      <c r="C20">
        <v>21.810311847584899</v>
      </c>
      <c r="D20">
        <v>35.765737208565099</v>
      </c>
    </row>
    <row r="21" spans="1:4">
      <c r="A21">
        <v>30.074436805229102</v>
      </c>
      <c r="B21">
        <v>52.8520992053515</v>
      </c>
      <c r="C21">
        <v>23.973242099970399</v>
      </c>
      <c r="D21">
        <v>39.785324690939603</v>
      </c>
    </row>
    <row r="22" spans="1:4">
      <c r="A22">
        <v>33.009935837878601</v>
      </c>
      <c r="B22">
        <v>54.050302228731901</v>
      </c>
      <c r="C22">
        <v>28.8467213921103</v>
      </c>
      <c r="D22">
        <v>35.943467377878797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" sqref="A2"/>
    </sheetView>
  </sheetViews>
  <sheetFormatPr baseColWidth="10" defaultRowHeight="13" x14ac:dyDescent="0"/>
  <cols>
    <col min="6" max="14" width="10.7109375" customWidth="1"/>
  </cols>
  <sheetData>
    <row r="1" spans="1:9">
      <c r="A1" t="s">
        <v>281</v>
      </c>
    </row>
    <row r="2" spans="1:9">
      <c r="A2" t="s">
        <v>276</v>
      </c>
    </row>
    <row r="3" spans="1:9" s="55" customFormat="1" ht="39">
      <c r="A3" s="55" t="s">
        <v>520</v>
      </c>
      <c r="B3" s="55" t="s">
        <v>271</v>
      </c>
      <c r="C3" s="55" t="s">
        <v>272</v>
      </c>
      <c r="D3" s="55" t="s">
        <v>273</v>
      </c>
      <c r="E3" s="55" t="s">
        <v>274</v>
      </c>
      <c r="F3" s="55" t="s">
        <v>277</v>
      </c>
      <c r="G3" s="55" t="s">
        <v>278</v>
      </c>
      <c r="H3" s="55" t="s">
        <v>279</v>
      </c>
      <c r="I3" s="55" t="s">
        <v>280</v>
      </c>
    </row>
    <row r="4" spans="1:9">
      <c r="A4">
        <v>9.8772960211021399</v>
      </c>
      <c r="B4">
        <v>4.0101960021669898</v>
      </c>
      <c r="C4">
        <v>56.217231602910502</v>
      </c>
      <c r="D4">
        <v>0.57770861700058296</v>
      </c>
      <c r="E4">
        <v>21.3907659991984</v>
      </c>
      <c r="F4" s="52">
        <f>B4*10^5</f>
        <v>401019.60021669901</v>
      </c>
      <c r="G4" s="52">
        <f>(C4/100)*F4</f>
        <v>225442.11742688745</v>
      </c>
      <c r="H4" s="52">
        <f>(D4/100)*F4</f>
        <v>2316.7247863131588</v>
      </c>
      <c r="I4" s="52">
        <f>(E4/100)*F4</f>
        <v>85781.164293274996</v>
      </c>
    </row>
    <row r="5" spans="1:9">
      <c r="A5">
        <v>29.274395483793299</v>
      </c>
      <c r="B5">
        <v>5.2062120601758597</v>
      </c>
      <c r="C5">
        <v>38.620689655172299</v>
      </c>
      <c r="D5">
        <v>2.56409258899046</v>
      </c>
      <c r="E5">
        <v>13.7197186407417</v>
      </c>
      <c r="F5" s="52">
        <f t="shared" ref="F5:F22" si="0">B5*10^5</f>
        <v>520621.206017586</v>
      </c>
      <c r="G5" s="52">
        <f t="shared" ref="G5:G22" si="1">(C5/100)*F5</f>
        <v>201067.50025506708</v>
      </c>
      <c r="H5" s="52">
        <f t="shared" ref="H5:H22" si="2">(D5/100)*F5</f>
        <v>13349.209760209676</v>
      </c>
      <c r="I5" s="52">
        <f t="shared" ref="I5:I22" si="3">(E5/100)*F5</f>
        <v>71427.764649648991</v>
      </c>
    </row>
    <row r="6" spans="1:9">
      <c r="A6">
        <v>61.405002495507901</v>
      </c>
      <c r="B6">
        <v>3.0400477850782699</v>
      </c>
      <c r="C6">
        <v>42.000391055990796</v>
      </c>
      <c r="D6">
        <v>11.9951371328535</v>
      </c>
      <c r="E6">
        <v>32.316238961900403</v>
      </c>
      <c r="F6" s="52">
        <f t="shared" si="0"/>
        <v>304004.77850782697</v>
      </c>
      <c r="G6" s="52">
        <f t="shared" si="1"/>
        <v>127683.19580218599</v>
      </c>
      <c r="H6" s="52">
        <f t="shared" si="2"/>
        <v>36465.790072441392</v>
      </c>
      <c r="I6" s="52">
        <f t="shared" si="3"/>
        <v>98242.910678185392</v>
      </c>
    </row>
    <row r="7" spans="1:9">
      <c r="A7">
        <v>68.621645196072606</v>
      </c>
      <c r="B7">
        <v>4.1607189987359101</v>
      </c>
      <c r="C7">
        <v>52.901076800603299</v>
      </c>
      <c r="D7">
        <v>9.7541334370744899</v>
      </c>
      <c r="E7">
        <v>30.261321393529801</v>
      </c>
      <c r="F7" s="52">
        <f t="shared" si="0"/>
        <v>416071.89987359103</v>
      </c>
      <c r="G7" s="52">
        <f t="shared" si="1"/>
        <v>220106.51529785764</v>
      </c>
      <c r="H7" s="52">
        <f t="shared" si="2"/>
        <v>40584.208307841036</v>
      </c>
      <c r="I7" s="52">
        <f t="shared" si="3"/>
        <v>125908.85484891289</v>
      </c>
    </row>
    <row r="8" spans="1:9">
      <c r="A8">
        <v>75.745453193273306</v>
      </c>
      <c r="B8">
        <v>4.5040214477211702</v>
      </c>
      <c r="C8">
        <v>61.2569656848367</v>
      </c>
      <c r="D8">
        <v>10.6166115541723</v>
      </c>
      <c r="E8">
        <v>25.111590177300499</v>
      </c>
      <c r="F8" s="52">
        <f t="shared" si="0"/>
        <v>450402.14477211703</v>
      </c>
      <c r="G8" s="52">
        <f t="shared" si="1"/>
        <v>275902.68726682424</v>
      </c>
      <c r="H8" s="52">
        <f t="shared" si="2"/>
        <v>47817.446142116431</v>
      </c>
      <c r="I8" s="52">
        <f t="shared" si="3"/>
        <v>113103.1407449457</v>
      </c>
    </row>
    <row r="9" spans="1:9">
      <c r="A9">
        <v>82.582890651671704</v>
      </c>
      <c r="B9">
        <v>3.54145772270763</v>
      </c>
      <c r="C9">
        <v>65.262356670996098</v>
      </c>
      <c r="D9">
        <v>8.6646566815794497</v>
      </c>
      <c r="E9">
        <v>44.189710211019403</v>
      </c>
      <c r="F9" s="52">
        <f t="shared" si="0"/>
        <v>354145.772270763</v>
      </c>
      <c r="G9" s="52">
        <f t="shared" si="1"/>
        <v>231123.87703459896</v>
      </c>
      <c r="H9" s="52">
        <f t="shared" si="2"/>
        <v>30685.515319589809</v>
      </c>
      <c r="I9" s="52">
        <f t="shared" si="3"/>
        <v>156495.99049102687</v>
      </c>
    </row>
    <row r="10" spans="1:9">
      <c r="A10">
        <v>90.037534147219404</v>
      </c>
      <c r="B10">
        <v>3.3871841531345002</v>
      </c>
      <c r="C10">
        <v>52.216728816636603</v>
      </c>
      <c r="D10">
        <v>8.0128379692666698</v>
      </c>
      <c r="E10">
        <v>32.596078106214399</v>
      </c>
      <c r="F10" s="52">
        <f t="shared" si="0"/>
        <v>338718.41531345004</v>
      </c>
      <c r="G10" s="52">
        <f t="shared" si="1"/>
        <v>176867.67637623311</v>
      </c>
      <c r="H10" s="52">
        <f t="shared" si="2"/>
        <v>27140.957791134497</v>
      </c>
      <c r="I10" s="52">
        <f t="shared" si="3"/>
        <v>110408.91921570385</v>
      </c>
    </row>
    <row r="11" spans="1:9">
      <c r="A11">
        <v>99.384586436238294</v>
      </c>
      <c r="B11">
        <v>3.3574296073011101</v>
      </c>
      <c r="C11">
        <v>50.418848898758299</v>
      </c>
      <c r="D11">
        <v>2.6699085780976399</v>
      </c>
      <c r="E11">
        <v>27.704766247944299</v>
      </c>
      <c r="F11" s="52">
        <f t="shared" si="0"/>
        <v>335742.96073011099</v>
      </c>
      <c r="G11" s="52">
        <f t="shared" si="1"/>
        <v>169277.73605873206</v>
      </c>
      <c r="H11" s="52">
        <f t="shared" si="2"/>
        <v>8964.0301088922242</v>
      </c>
      <c r="I11" s="52">
        <f t="shared" si="3"/>
        <v>93016.80246420468</v>
      </c>
    </row>
    <row r="12" spans="1:9">
      <c r="A12">
        <v>115.255643115678</v>
      </c>
      <c r="B12">
        <v>2.8931086693800401</v>
      </c>
      <c r="C12">
        <v>48.9875839722908</v>
      </c>
      <c r="D12">
        <v>2.3769694611943102</v>
      </c>
      <c r="E12">
        <v>28.486242969473299</v>
      </c>
      <c r="F12" s="52">
        <f t="shared" si="0"/>
        <v>289310.86693800398</v>
      </c>
      <c r="G12" s="52">
        <f t="shared" si="1"/>
        <v>141726.40388221719</v>
      </c>
      <c r="H12" s="52">
        <f t="shared" si="2"/>
        <v>6876.8309550328604</v>
      </c>
      <c r="I12" s="52">
        <f t="shared" si="3"/>
        <v>82413.796493049405</v>
      </c>
    </row>
    <row r="13" spans="1:9">
      <c r="A13">
        <v>128.80109970369</v>
      </c>
      <c r="B13">
        <v>2.80134464987706</v>
      </c>
      <c r="C13">
        <v>45.7408416083574</v>
      </c>
      <c r="D13">
        <v>1.29060494067301</v>
      </c>
      <c r="E13">
        <v>33.647029559305103</v>
      </c>
      <c r="F13" s="52">
        <f t="shared" si="0"/>
        <v>280134.46498770599</v>
      </c>
      <c r="G13" s="52">
        <f t="shared" si="1"/>
        <v>128135.86192044601</v>
      </c>
      <c r="H13" s="52">
        <f t="shared" si="2"/>
        <v>3615.429245659237</v>
      </c>
      <c r="I13" s="52">
        <f t="shared" si="3"/>
        <v>94256.926240214641</v>
      </c>
    </row>
    <row r="14" spans="1:9">
      <c r="A14">
        <v>158.881154178956</v>
      </c>
      <c r="B14">
        <v>2.9907069135562301</v>
      </c>
      <c r="C14">
        <v>44.323263641569199</v>
      </c>
      <c r="D14">
        <v>0.49017700836412598</v>
      </c>
      <c r="E14">
        <v>23.865096803615</v>
      </c>
      <c r="F14" s="52">
        <f t="shared" si="0"/>
        <v>299070.69135562301</v>
      </c>
      <c r="G14" s="52">
        <f t="shared" si="1"/>
        <v>132557.89100421651</v>
      </c>
      <c r="H14" s="52">
        <f t="shared" si="2"/>
        <v>1465.9757677809016</v>
      </c>
      <c r="I14" s="52">
        <f t="shared" si="3"/>
        <v>71373.51000326006</v>
      </c>
    </row>
    <row r="15" spans="1:9">
      <c r="A15">
        <v>195.98606852977099</v>
      </c>
      <c r="B15">
        <v>3.1178930114323</v>
      </c>
      <c r="C15">
        <v>46.175891398164701</v>
      </c>
      <c r="D15">
        <v>0.12312779614861</v>
      </c>
      <c r="E15">
        <v>19.237731990105399</v>
      </c>
      <c r="F15" s="52">
        <f t="shared" si="0"/>
        <v>311789.30114323</v>
      </c>
      <c r="G15" s="52">
        <f t="shared" si="1"/>
        <v>143971.48908699458</v>
      </c>
      <c r="H15" s="52">
        <f t="shared" si="2"/>
        <v>383.89929512481194</v>
      </c>
      <c r="I15" s="52">
        <f t="shared" si="3"/>
        <v>59981.190127757218</v>
      </c>
    </row>
    <row r="16" spans="1:9">
      <c r="A16">
        <v>294.55669670240798</v>
      </c>
      <c r="B16">
        <v>3.4031865979524598</v>
      </c>
      <c r="C16">
        <v>34.631918548623503</v>
      </c>
      <c r="D16">
        <v>-3.5207158140441799E-2</v>
      </c>
      <c r="E16">
        <v>10.498459157304101</v>
      </c>
      <c r="F16" s="52">
        <f t="shared" si="0"/>
        <v>340318.65979524597</v>
      </c>
      <c r="G16" s="52">
        <f t="shared" si="1"/>
        <v>117858.88106605671</v>
      </c>
      <c r="H16" s="52">
        <f t="shared" si="2"/>
        <v>-119.81652873554438</v>
      </c>
      <c r="I16" s="52">
        <f t="shared" si="3"/>
        <v>35728.215503288586</v>
      </c>
    </row>
    <row r="17" spans="1:9">
      <c r="A17">
        <v>401.06721120210199</v>
      </c>
      <c r="B17">
        <v>1.8840378391143</v>
      </c>
      <c r="C17">
        <v>42.293683049119402</v>
      </c>
      <c r="D17">
        <v>2.7621085391938902E-2</v>
      </c>
      <c r="E17">
        <v>13.865511380125101</v>
      </c>
      <c r="F17" s="52">
        <f t="shared" si="0"/>
        <v>188403.78391143001</v>
      </c>
      <c r="G17" s="52">
        <f t="shared" si="1"/>
        <v>79682.899220048028</v>
      </c>
      <c r="H17" s="52">
        <f t="shared" si="2"/>
        <v>52.039170035820128</v>
      </c>
      <c r="I17" s="52">
        <f t="shared" si="3"/>
        <v>26123.148098825633</v>
      </c>
    </row>
    <row r="18" spans="1:9">
      <c r="A18">
        <v>595.38642396189698</v>
      </c>
      <c r="B18">
        <v>2.6354859770242598</v>
      </c>
      <c r="C18">
        <v>36.919596095026598</v>
      </c>
      <c r="D18">
        <v>1.5561174868691701E-2</v>
      </c>
      <c r="E18">
        <v>8.2175973909317896</v>
      </c>
      <c r="F18" s="52">
        <f t="shared" si="0"/>
        <v>263548.59770242596</v>
      </c>
      <c r="G18" s="52">
        <f t="shared" si="1"/>
        <v>97301.077785842208</v>
      </c>
      <c r="H18" s="52">
        <f t="shared" si="2"/>
        <v>41.011258152459305</v>
      </c>
      <c r="I18" s="52">
        <f t="shared" si="3"/>
        <v>21657.362688631874</v>
      </c>
    </row>
    <row r="19" spans="1:9">
      <c r="A19">
        <v>800.72844145120098</v>
      </c>
      <c r="B19">
        <v>3.3234244120629501</v>
      </c>
      <c r="C19">
        <v>35.149090096506903</v>
      </c>
      <c r="D19">
        <v>-6.4773390390983607E-2</v>
      </c>
      <c r="E19">
        <v>11.8416870500116</v>
      </c>
      <c r="F19" s="52">
        <f t="shared" si="0"/>
        <v>332342.44120629499</v>
      </c>
      <c r="G19" s="52">
        <f t="shared" si="1"/>
        <v>116815.3440885311</v>
      </c>
      <c r="H19" s="52">
        <f t="shared" si="2"/>
        <v>-215.26946687747861</v>
      </c>
      <c r="I19" s="52">
        <f t="shared" si="3"/>
        <v>39354.951822018251</v>
      </c>
    </row>
    <row r="20" spans="1:9">
      <c r="A20">
        <v>999.99999999999898</v>
      </c>
      <c r="B20">
        <v>2.2072538860103599</v>
      </c>
      <c r="C20">
        <v>15.5982458345553</v>
      </c>
      <c r="D20">
        <v>-3.8902937172986102E-4</v>
      </c>
      <c r="E20">
        <v>6.9565938393930402</v>
      </c>
      <c r="F20" s="52">
        <f t="shared" si="0"/>
        <v>220725.38860103599</v>
      </c>
      <c r="G20" s="52">
        <f t="shared" si="1"/>
        <v>34429.288733267094</v>
      </c>
      <c r="H20" s="52">
        <f t="shared" si="2"/>
        <v>-0.85868659252290458</v>
      </c>
      <c r="I20" s="52">
        <f t="shared" si="3"/>
        <v>15354.968785396017</v>
      </c>
    </row>
    <row r="21" spans="1:9">
      <c r="A21">
        <v>1502.94711717053</v>
      </c>
      <c r="B21">
        <v>2.2749308922196398</v>
      </c>
      <c r="C21">
        <v>20.0132679711176</v>
      </c>
      <c r="D21">
        <v>-1.3616028010114099E-2</v>
      </c>
      <c r="E21">
        <v>8.7828033663612608</v>
      </c>
      <c r="F21" s="52">
        <f t="shared" si="0"/>
        <v>227493.08922196398</v>
      </c>
      <c r="G21" s="52">
        <f t="shared" si="1"/>
        <v>45528.8015617653</v>
      </c>
      <c r="H21" s="52">
        <f t="shared" si="2"/>
        <v>-30.975522749536474</v>
      </c>
      <c r="I21" s="52">
        <f t="shared" si="3"/>
        <v>19980.27069842588</v>
      </c>
    </row>
    <row r="22" spans="1:9">
      <c r="A22">
        <v>1971.9966199739499</v>
      </c>
      <c r="B22">
        <v>2.2475100362555298</v>
      </c>
      <c r="C22">
        <v>11.3533330540075</v>
      </c>
      <c r="D22">
        <v>-2.25637035596312E-2</v>
      </c>
      <c r="E22">
        <v>5.4496082251978999</v>
      </c>
      <c r="F22" s="52">
        <f t="shared" si="0"/>
        <v>224751.00362555298</v>
      </c>
      <c r="G22" s="52">
        <f t="shared" si="1"/>
        <v>25516.729983833502</v>
      </c>
      <c r="H22" s="52">
        <f t="shared" si="2"/>
        <v>-50.712150205365745</v>
      </c>
      <c r="I22" s="52">
        <f t="shared" si="3"/>
        <v>12248.049179792966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I8" sqref="I8"/>
    </sheetView>
  </sheetViews>
  <sheetFormatPr baseColWidth="10" defaultRowHeight="13" x14ac:dyDescent="0"/>
  <cols>
    <col min="5" max="5" width="11" bestFit="1" customWidth="1"/>
  </cols>
  <sheetData>
    <row r="1" spans="1:10" ht="25">
      <c r="A1" t="s">
        <v>579</v>
      </c>
      <c r="D1" s="16" t="s">
        <v>566</v>
      </c>
      <c r="E1" s="16"/>
      <c r="F1" s="16"/>
      <c r="G1" s="16"/>
      <c r="H1" s="9"/>
      <c r="I1" s="9"/>
      <c r="J1" s="9"/>
    </row>
    <row r="2" spans="1:10">
      <c r="A2" t="s">
        <v>642</v>
      </c>
    </row>
    <row r="4" spans="1:10">
      <c r="F4" t="s">
        <v>564</v>
      </c>
      <c r="I4" t="s">
        <v>720</v>
      </c>
    </row>
    <row r="5" spans="1:10">
      <c r="A5" t="s">
        <v>582</v>
      </c>
      <c r="B5" s="4" t="s">
        <v>643</v>
      </c>
      <c r="C5" t="s">
        <v>562</v>
      </c>
      <c r="E5" t="s">
        <v>563</v>
      </c>
      <c r="F5" s="4" t="s">
        <v>641</v>
      </c>
      <c r="G5" t="s">
        <v>581</v>
      </c>
      <c r="H5" t="s">
        <v>565</v>
      </c>
      <c r="I5" s="4" t="s">
        <v>673</v>
      </c>
    </row>
    <row r="6" spans="1:10">
      <c r="A6">
        <v>0.8</v>
      </c>
      <c r="B6" s="4">
        <f>(450*A6)/11.3</f>
        <v>31.858407079646014</v>
      </c>
      <c r="C6">
        <v>2.6</v>
      </c>
      <c r="D6" s="17">
        <f>(400000000*C6)/4.4</f>
        <v>236363636.36363634</v>
      </c>
      <c r="E6" s="17">
        <f>D6/5</f>
        <v>47272727.272727266</v>
      </c>
      <c r="F6" s="18">
        <f>E6/1000</f>
        <v>47272.727272727265</v>
      </c>
      <c r="G6">
        <v>5.15</v>
      </c>
      <c r="H6" s="17">
        <f>(G6*400000000)/4.4</f>
        <v>468181818.18181819</v>
      </c>
      <c r="I6" s="18">
        <f>H6/1000</f>
        <v>468181.81818181818</v>
      </c>
    </row>
    <row r="7" spans="1:10">
      <c r="A7">
        <v>2.5</v>
      </c>
      <c r="B7" s="4">
        <f t="shared" ref="B7:B20" si="0">(450*A7)/11.3</f>
        <v>99.557522123893804</v>
      </c>
      <c r="C7">
        <v>1</v>
      </c>
      <c r="D7" s="17">
        <f t="shared" ref="D7:D20" si="1">(400000000*C7)/4.4</f>
        <v>90909090.909090906</v>
      </c>
      <c r="E7" s="52">
        <f t="shared" ref="E7:E20" si="2">D7/5</f>
        <v>18181818.18181818</v>
      </c>
      <c r="F7" s="23">
        <f t="shared" ref="F7:F20" si="3">E7/1000</f>
        <v>18181.81818181818</v>
      </c>
      <c r="G7">
        <v>2.75</v>
      </c>
      <c r="H7" s="17">
        <f t="shared" ref="H7:H20" si="4">(G7*400000000)/4.4</f>
        <v>249999999.99999997</v>
      </c>
      <c r="I7" s="23">
        <f>H7/1000</f>
        <v>249999.99999999997</v>
      </c>
    </row>
    <row r="8" spans="1:10">
      <c r="A8">
        <v>3.7</v>
      </c>
      <c r="B8" s="4">
        <f t="shared" si="0"/>
        <v>147.34513274336283</v>
      </c>
      <c r="C8">
        <v>0.5</v>
      </c>
      <c r="D8" s="17">
        <f t="shared" si="1"/>
        <v>45454545.454545453</v>
      </c>
      <c r="E8" s="52">
        <f t="shared" si="2"/>
        <v>9090909.0909090899</v>
      </c>
      <c r="F8" s="23">
        <f t="shared" si="3"/>
        <v>9090.9090909090901</v>
      </c>
      <c r="G8">
        <v>2.75</v>
      </c>
      <c r="H8" s="17">
        <f t="shared" si="4"/>
        <v>249999999.99999997</v>
      </c>
      <c r="I8" s="23">
        <f t="shared" ref="I8:I20" si="5">H8/1000</f>
        <v>249999.99999999997</v>
      </c>
    </row>
    <row r="9" spans="1:10">
      <c r="A9">
        <v>5.2</v>
      </c>
      <c r="B9" s="4">
        <f t="shared" si="0"/>
        <v>207.0796460176991</v>
      </c>
      <c r="C9">
        <v>0.4</v>
      </c>
      <c r="D9" s="17">
        <f t="shared" si="1"/>
        <v>36363636.36363636</v>
      </c>
      <c r="E9" s="52">
        <f t="shared" si="2"/>
        <v>7272727.2727272715</v>
      </c>
      <c r="F9" s="23">
        <f t="shared" si="3"/>
        <v>7272.7272727272712</v>
      </c>
      <c r="G9">
        <v>1.7</v>
      </c>
      <c r="H9" s="17">
        <f t="shared" si="4"/>
        <v>154545454.54545453</v>
      </c>
      <c r="I9" s="23">
        <f t="shared" si="5"/>
        <v>154545.45454545453</v>
      </c>
    </row>
    <row r="10" spans="1:10">
      <c r="A10">
        <v>5.5</v>
      </c>
      <c r="B10" s="4">
        <f t="shared" si="0"/>
        <v>219.02654867256635</v>
      </c>
      <c r="C10">
        <v>0.7</v>
      </c>
      <c r="D10" s="17">
        <f t="shared" si="1"/>
        <v>63636363.636363633</v>
      </c>
      <c r="E10" s="52">
        <f t="shared" si="2"/>
        <v>12727272.727272727</v>
      </c>
      <c r="F10" s="23">
        <f t="shared" si="3"/>
        <v>12727.272727272726</v>
      </c>
      <c r="G10">
        <v>2.2999999999999998</v>
      </c>
      <c r="H10" s="17">
        <f t="shared" si="4"/>
        <v>209090909.09090903</v>
      </c>
      <c r="I10" s="23">
        <f t="shared" si="5"/>
        <v>209090.90909090903</v>
      </c>
    </row>
    <row r="11" spans="1:10">
      <c r="A11">
        <v>5.8</v>
      </c>
      <c r="B11" s="4">
        <f t="shared" si="0"/>
        <v>230.97345132743362</v>
      </c>
      <c r="C11">
        <v>0.35</v>
      </c>
      <c r="D11" s="17">
        <f t="shared" si="1"/>
        <v>31818181.818181816</v>
      </c>
      <c r="E11" s="52">
        <f t="shared" si="2"/>
        <v>6363636.3636363633</v>
      </c>
      <c r="F11" s="23">
        <f t="shared" si="3"/>
        <v>6363.6363636363631</v>
      </c>
      <c r="G11">
        <v>2.1</v>
      </c>
      <c r="H11" s="17">
        <f t="shared" si="4"/>
        <v>190909090.90909091</v>
      </c>
      <c r="I11" s="23">
        <f t="shared" si="5"/>
        <v>190909.09090909091</v>
      </c>
    </row>
    <row r="12" spans="1:10">
      <c r="A12">
        <v>6</v>
      </c>
      <c r="B12" s="4">
        <f t="shared" si="0"/>
        <v>238.93805309734512</v>
      </c>
      <c r="C12">
        <v>0.5</v>
      </c>
      <c r="D12" s="17">
        <f t="shared" si="1"/>
        <v>45454545.454545453</v>
      </c>
      <c r="E12" s="52">
        <f t="shared" si="2"/>
        <v>9090909.0909090899</v>
      </c>
      <c r="F12" s="23">
        <f t="shared" si="3"/>
        <v>9090.9090909090901</v>
      </c>
      <c r="G12">
        <v>2.5</v>
      </c>
      <c r="H12" s="17">
        <f t="shared" si="4"/>
        <v>227272727.27272725</v>
      </c>
      <c r="I12" s="23">
        <f t="shared" si="5"/>
        <v>227272.72727272726</v>
      </c>
    </row>
    <row r="13" spans="1:10">
      <c r="A13">
        <v>6.3</v>
      </c>
      <c r="B13" s="4">
        <f t="shared" si="0"/>
        <v>250.88495575221236</v>
      </c>
      <c r="C13">
        <v>0.8</v>
      </c>
      <c r="D13" s="17">
        <f t="shared" si="1"/>
        <v>72727272.727272719</v>
      </c>
      <c r="E13" s="52">
        <f t="shared" si="2"/>
        <v>14545454.545454543</v>
      </c>
      <c r="F13" s="23">
        <f t="shared" si="3"/>
        <v>14545.454545454542</v>
      </c>
      <c r="G13">
        <v>2.4500000000000002</v>
      </c>
      <c r="H13" s="17">
        <f t="shared" si="4"/>
        <v>222727272.72727275</v>
      </c>
      <c r="I13" s="23">
        <f t="shared" si="5"/>
        <v>222727.27272727274</v>
      </c>
    </row>
    <row r="14" spans="1:10">
      <c r="A14">
        <v>6.5</v>
      </c>
      <c r="B14" s="4">
        <f t="shared" si="0"/>
        <v>258.84955752212386</v>
      </c>
      <c r="C14">
        <v>1.1000000000000001</v>
      </c>
      <c r="D14" s="17">
        <f t="shared" si="1"/>
        <v>100000000</v>
      </c>
      <c r="E14" s="52">
        <f t="shared" si="2"/>
        <v>20000000</v>
      </c>
      <c r="F14" s="23">
        <f t="shared" si="3"/>
        <v>20000</v>
      </c>
      <c r="G14">
        <v>2.15</v>
      </c>
      <c r="H14" s="17">
        <f t="shared" si="4"/>
        <v>195454545.45454544</v>
      </c>
      <c r="I14" s="23">
        <f t="shared" si="5"/>
        <v>195454.54545454544</v>
      </c>
    </row>
    <row r="15" spans="1:10">
      <c r="A15">
        <v>6.8</v>
      </c>
      <c r="B15" s="4">
        <f t="shared" si="0"/>
        <v>270.79646017699116</v>
      </c>
      <c r="C15">
        <v>0.4</v>
      </c>
      <c r="D15" s="17">
        <f t="shared" si="1"/>
        <v>36363636.36363636</v>
      </c>
      <c r="E15" s="52">
        <f t="shared" si="2"/>
        <v>7272727.2727272715</v>
      </c>
      <c r="F15" s="23">
        <f t="shared" si="3"/>
        <v>7272.7272727272712</v>
      </c>
      <c r="G15">
        <v>2.25</v>
      </c>
      <c r="H15" s="17">
        <f t="shared" si="4"/>
        <v>204545454.54545453</v>
      </c>
      <c r="I15" s="23">
        <f t="shared" si="5"/>
        <v>204545.45454545453</v>
      </c>
    </row>
    <row r="16" spans="1:10">
      <c r="A16">
        <v>7.2</v>
      </c>
      <c r="B16" s="4">
        <f t="shared" si="0"/>
        <v>286.72566371681415</v>
      </c>
      <c r="C16">
        <v>0.3</v>
      </c>
      <c r="D16" s="17">
        <f t="shared" si="1"/>
        <v>27272727.27272727</v>
      </c>
      <c r="E16" s="52">
        <f t="shared" si="2"/>
        <v>5454545.4545454541</v>
      </c>
      <c r="F16" s="23">
        <f t="shared" si="3"/>
        <v>5454.545454545454</v>
      </c>
      <c r="G16">
        <v>2.7</v>
      </c>
      <c r="H16" s="17">
        <f t="shared" si="4"/>
        <v>245454545.45454544</v>
      </c>
      <c r="I16" s="23">
        <f t="shared" si="5"/>
        <v>245454.54545454544</v>
      </c>
    </row>
    <row r="17" spans="1:9">
      <c r="A17">
        <v>7.5</v>
      </c>
      <c r="B17" s="4">
        <f t="shared" si="0"/>
        <v>298.6725663716814</v>
      </c>
      <c r="C17">
        <v>0.3</v>
      </c>
      <c r="D17" s="17">
        <f t="shared" si="1"/>
        <v>27272727.27272727</v>
      </c>
      <c r="E17" s="52">
        <f t="shared" si="2"/>
        <v>5454545.4545454541</v>
      </c>
      <c r="F17" s="23">
        <f t="shared" si="3"/>
        <v>5454.545454545454</v>
      </c>
      <c r="G17">
        <v>1.85</v>
      </c>
      <c r="H17" s="17">
        <f t="shared" si="4"/>
        <v>168181818.18181816</v>
      </c>
      <c r="I17" s="23">
        <f t="shared" si="5"/>
        <v>168181.81818181815</v>
      </c>
    </row>
    <row r="18" spans="1:9">
      <c r="A18">
        <v>8.4</v>
      </c>
      <c r="B18" s="4">
        <f t="shared" si="0"/>
        <v>334.51327433628319</v>
      </c>
      <c r="C18">
        <v>0.1</v>
      </c>
      <c r="D18" s="17">
        <f t="shared" si="1"/>
        <v>9090909.0909090899</v>
      </c>
      <c r="E18" s="52">
        <f t="shared" si="2"/>
        <v>1818181.8181818179</v>
      </c>
      <c r="F18" s="23">
        <f t="shared" si="3"/>
        <v>1818.1818181818178</v>
      </c>
      <c r="G18">
        <v>1.5</v>
      </c>
      <c r="H18" s="17">
        <f t="shared" si="4"/>
        <v>136363636.36363634</v>
      </c>
      <c r="I18" s="23">
        <f t="shared" si="5"/>
        <v>136363.63636363635</v>
      </c>
    </row>
    <row r="19" spans="1:9">
      <c r="A19">
        <v>8.9</v>
      </c>
      <c r="B19" s="4">
        <f t="shared" si="0"/>
        <v>354.42477876106193</v>
      </c>
      <c r="C19">
        <v>0.5</v>
      </c>
      <c r="D19" s="17">
        <f t="shared" si="1"/>
        <v>45454545.454545453</v>
      </c>
      <c r="E19" s="52">
        <f t="shared" si="2"/>
        <v>9090909.0909090899</v>
      </c>
      <c r="F19" s="23">
        <f t="shared" si="3"/>
        <v>9090.9090909090901</v>
      </c>
      <c r="G19">
        <v>2</v>
      </c>
      <c r="H19" s="17">
        <f t="shared" si="4"/>
        <v>181818181.81818181</v>
      </c>
      <c r="I19" s="23">
        <f t="shared" si="5"/>
        <v>181818.18181818182</v>
      </c>
    </row>
    <row r="20" spans="1:9">
      <c r="A20">
        <v>10</v>
      </c>
      <c r="B20" s="4">
        <f t="shared" si="0"/>
        <v>398.23008849557522</v>
      </c>
      <c r="C20">
        <v>1.5</v>
      </c>
      <c r="D20" s="17">
        <f t="shared" si="1"/>
        <v>136363636.36363634</v>
      </c>
      <c r="E20" s="52">
        <f t="shared" si="2"/>
        <v>27272727.27272727</v>
      </c>
      <c r="F20" s="23">
        <f t="shared" si="3"/>
        <v>27272.727272727268</v>
      </c>
      <c r="G20">
        <v>1.7</v>
      </c>
      <c r="H20" s="17">
        <f t="shared" si="4"/>
        <v>154545454.54545453</v>
      </c>
      <c r="I20" s="23">
        <f t="shared" si="5"/>
        <v>154545.45454545453</v>
      </c>
    </row>
    <row r="21" spans="1:9">
      <c r="H21" s="17"/>
      <c r="I21" s="17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A5" sqref="A5:XFD33"/>
    </sheetView>
  </sheetViews>
  <sheetFormatPr baseColWidth="10" defaultRowHeight="13" x14ac:dyDescent="0"/>
  <cols>
    <col min="1" max="1" width="32.85546875" customWidth="1"/>
    <col min="6" max="8" width="10.7109375" customWidth="1"/>
    <col min="10" max="13" width="10.7109375" customWidth="1"/>
    <col min="15" max="16" width="0" hidden="1" customWidth="1"/>
  </cols>
  <sheetData>
    <row r="1" spans="1:17">
      <c r="A1" t="s">
        <v>776</v>
      </c>
    </row>
    <row r="2" spans="1:17">
      <c r="A2" t="s">
        <v>777</v>
      </c>
      <c r="F2" s="32"/>
      <c r="G2" s="32"/>
      <c r="H2" s="32" t="s">
        <v>775</v>
      </c>
      <c r="M2" s="26" t="s">
        <v>775</v>
      </c>
      <c r="P2" t="s">
        <v>314</v>
      </c>
      <c r="Q2" t="s">
        <v>315</v>
      </c>
    </row>
    <row r="3" spans="1:17">
      <c r="C3" s="33" t="s">
        <v>782</v>
      </c>
      <c r="D3" s="33"/>
      <c r="E3" t="s">
        <v>783</v>
      </c>
      <c r="F3" s="33" t="s">
        <v>790</v>
      </c>
      <c r="G3" s="33"/>
      <c r="J3" t="s">
        <v>789</v>
      </c>
    </row>
    <row r="4" spans="1:17">
      <c r="A4" t="s">
        <v>780</v>
      </c>
      <c r="B4" t="s">
        <v>781</v>
      </c>
      <c r="C4" s="33" t="s">
        <v>784</v>
      </c>
      <c r="D4" s="95" t="s">
        <v>275</v>
      </c>
      <c r="E4" t="s">
        <v>787</v>
      </c>
      <c r="F4" s="33" t="s">
        <v>791</v>
      </c>
      <c r="G4" s="33"/>
      <c r="H4" t="s">
        <v>785</v>
      </c>
      <c r="I4" t="s">
        <v>786</v>
      </c>
      <c r="J4" s="32" t="s">
        <v>788</v>
      </c>
      <c r="K4" s="32"/>
      <c r="L4" t="s">
        <v>785</v>
      </c>
      <c r="M4" t="s">
        <v>786</v>
      </c>
    </row>
    <row r="5" spans="1:17">
      <c r="A5" t="s">
        <v>556</v>
      </c>
      <c r="B5">
        <v>600</v>
      </c>
      <c r="C5" s="33">
        <v>1.9</v>
      </c>
      <c r="D5" s="94">
        <f t="shared" ref="D5:D33" si="0">C5*(10^5)</f>
        <v>190000</v>
      </c>
      <c r="E5">
        <v>48</v>
      </c>
      <c r="F5" s="33">
        <v>0.78</v>
      </c>
      <c r="G5" s="94">
        <f t="shared" ref="G5:G33" si="1">F5*(10^5)</f>
        <v>78000</v>
      </c>
      <c r="H5">
        <v>41</v>
      </c>
      <c r="I5">
        <v>86</v>
      </c>
      <c r="J5">
        <v>12.7</v>
      </c>
      <c r="K5" s="52">
        <f t="shared" ref="K5:K33" si="2">J5*(10^3)</f>
        <v>12700</v>
      </c>
      <c r="L5">
        <v>6.7</v>
      </c>
      <c r="M5">
        <v>14</v>
      </c>
      <c r="N5">
        <v>0.23</v>
      </c>
      <c r="O5">
        <v>34.74</v>
      </c>
    </row>
    <row r="6" spans="1:17">
      <c r="A6" t="s">
        <v>688</v>
      </c>
      <c r="B6">
        <v>10</v>
      </c>
      <c r="C6" s="33">
        <v>6.56</v>
      </c>
      <c r="D6" s="94">
        <f t="shared" si="0"/>
        <v>656000</v>
      </c>
      <c r="E6">
        <v>60</v>
      </c>
      <c r="F6" s="33">
        <v>3.94</v>
      </c>
      <c r="G6" s="94">
        <f t="shared" si="1"/>
        <v>394000</v>
      </c>
      <c r="H6">
        <v>60</v>
      </c>
      <c r="I6">
        <v>100</v>
      </c>
      <c r="J6">
        <v>0.61</v>
      </c>
      <c r="K6" s="52">
        <f t="shared" si="2"/>
        <v>610</v>
      </c>
      <c r="L6">
        <v>0.1</v>
      </c>
      <c r="M6">
        <v>0.2</v>
      </c>
      <c r="N6">
        <v>-0.64</v>
      </c>
      <c r="O6">
        <v>30.93</v>
      </c>
    </row>
    <row r="7" spans="1:17">
      <c r="A7" t="s">
        <v>688</v>
      </c>
      <c r="B7">
        <v>20</v>
      </c>
      <c r="C7" s="33">
        <v>4.9400000000000004</v>
      </c>
      <c r="D7" s="94">
        <f t="shared" si="0"/>
        <v>494000.00000000006</v>
      </c>
      <c r="E7">
        <v>59</v>
      </c>
      <c r="F7" s="33">
        <v>3.27</v>
      </c>
      <c r="G7" s="94">
        <f t="shared" si="1"/>
        <v>327000</v>
      </c>
      <c r="H7">
        <v>59</v>
      </c>
      <c r="I7">
        <v>99</v>
      </c>
      <c r="J7">
        <v>1.76</v>
      </c>
      <c r="K7" s="52">
        <f t="shared" si="2"/>
        <v>1760</v>
      </c>
      <c r="L7">
        <v>0.4</v>
      </c>
      <c r="M7">
        <v>0.6</v>
      </c>
      <c r="N7">
        <v>-0.64</v>
      </c>
      <c r="O7">
        <v>30.93</v>
      </c>
    </row>
    <row r="8" spans="1:17">
      <c r="A8" t="s">
        <v>548</v>
      </c>
      <c r="B8">
        <v>20</v>
      </c>
      <c r="C8" s="33">
        <v>5.42</v>
      </c>
      <c r="D8" s="94">
        <f t="shared" si="0"/>
        <v>542000</v>
      </c>
      <c r="E8">
        <v>75</v>
      </c>
      <c r="F8" s="33">
        <v>3.23</v>
      </c>
      <c r="G8" s="94">
        <f t="shared" si="1"/>
        <v>323000</v>
      </c>
      <c r="H8">
        <v>75</v>
      </c>
      <c r="I8">
        <v>100</v>
      </c>
      <c r="J8">
        <v>1.85</v>
      </c>
      <c r="K8" s="52">
        <f t="shared" si="2"/>
        <v>1850</v>
      </c>
      <c r="L8">
        <v>0.3</v>
      </c>
      <c r="M8">
        <v>0.5</v>
      </c>
      <c r="N8">
        <v>-0.64</v>
      </c>
      <c r="O8">
        <v>30.93</v>
      </c>
    </row>
    <row r="9" spans="1:17">
      <c r="A9" t="s">
        <v>586</v>
      </c>
      <c r="B9">
        <v>15</v>
      </c>
      <c r="C9" s="33">
        <v>3.85</v>
      </c>
      <c r="D9" s="94">
        <f t="shared" si="0"/>
        <v>385000</v>
      </c>
      <c r="E9">
        <v>59</v>
      </c>
      <c r="F9" s="33">
        <v>2.2799999999999998</v>
      </c>
      <c r="G9" s="94">
        <f t="shared" si="1"/>
        <v>227999.99999999997</v>
      </c>
      <c r="H9">
        <v>59</v>
      </c>
      <c r="I9">
        <v>100</v>
      </c>
      <c r="J9">
        <v>0.52</v>
      </c>
      <c r="K9" s="52">
        <f t="shared" si="2"/>
        <v>520</v>
      </c>
      <c r="L9">
        <v>0.1</v>
      </c>
      <c r="M9">
        <v>0.2</v>
      </c>
      <c r="N9">
        <v>-0.64</v>
      </c>
      <c r="O9">
        <v>30.93</v>
      </c>
    </row>
    <row r="10" spans="1:17">
      <c r="A10" t="s">
        <v>559</v>
      </c>
      <c r="B10">
        <v>446</v>
      </c>
      <c r="C10" s="33">
        <v>2.3199999999999998</v>
      </c>
      <c r="D10" s="94">
        <f t="shared" si="0"/>
        <v>231999.99999999997</v>
      </c>
      <c r="E10">
        <v>47</v>
      </c>
      <c r="F10" s="33">
        <v>0.89</v>
      </c>
      <c r="G10" s="94">
        <f t="shared" si="1"/>
        <v>89000</v>
      </c>
      <c r="H10">
        <v>38</v>
      </c>
      <c r="I10">
        <v>81</v>
      </c>
      <c r="J10">
        <v>20.6</v>
      </c>
      <c r="K10" s="52">
        <f t="shared" si="2"/>
        <v>20600</v>
      </c>
      <c r="L10">
        <v>8.9</v>
      </c>
      <c r="M10">
        <v>19</v>
      </c>
      <c r="N10">
        <v>0.23</v>
      </c>
      <c r="O10">
        <v>34.74</v>
      </c>
    </row>
    <row r="11" spans="1:17">
      <c r="A11" t="s">
        <v>583</v>
      </c>
      <c r="B11">
        <v>20</v>
      </c>
      <c r="C11" s="33">
        <v>5.21</v>
      </c>
      <c r="D11" s="94">
        <f t="shared" si="0"/>
        <v>521000</v>
      </c>
      <c r="E11">
        <v>64</v>
      </c>
      <c r="F11" s="33">
        <v>3.28</v>
      </c>
      <c r="G11" s="94">
        <f t="shared" si="1"/>
        <v>328000</v>
      </c>
      <c r="H11">
        <v>63</v>
      </c>
      <c r="I11">
        <v>99</v>
      </c>
      <c r="J11">
        <v>3.84</v>
      </c>
      <c r="K11" s="52">
        <f t="shared" si="2"/>
        <v>3840</v>
      </c>
      <c r="L11">
        <v>0.7</v>
      </c>
      <c r="M11">
        <v>1.2</v>
      </c>
      <c r="N11">
        <v>-0.64</v>
      </c>
      <c r="O11">
        <v>30.93</v>
      </c>
    </row>
    <row r="12" spans="1:17">
      <c r="A12" t="s">
        <v>555</v>
      </c>
      <c r="B12">
        <v>431</v>
      </c>
      <c r="C12" s="33">
        <v>2.27</v>
      </c>
      <c r="D12" s="94">
        <f t="shared" si="0"/>
        <v>227000</v>
      </c>
      <c r="E12">
        <v>74</v>
      </c>
      <c r="F12" s="33">
        <v>1.64</v>
      </c>
      <c r="G12" s="94">
        <f t="shared" si="1"/>
        <v>164000</v>
      </c>
      <c r="H12">
        <v>71</v>
      </c>
      <c r="I12">
        <v>96</v>
      </c>
      <c r="J12">
        <v>6.71</v>
      </c>
      <c r="K12" s="52">
        <f t="shared" si="2"/>
        <v>6710</v>
      </c>
      <c r="L12">
        <v>3</v>
      </c>
      <c r="M12">
        <v>3.9</v>
      </c>
      <c r="N12">
        <v>0.23</v>
      </c>
      <c r="O12">
        <v>34.74</v>
      </c>
    </row>
    <row r="13" spans="1:17">
      <c r="A13" t="s">
        <v>687</v>
      </c>
      <c r="B13">
        <v>20</v>
      </c>
      <c r="C13" s="33">
        <v>4.57</v>
      </c>
      <c r="D13" s="94">
        <f t="shared" si="0"/>
        <v>457000</v>
      </c>
      <c r="E13">
        <v>50</v>
      </c>
      <c r="F13" s="33">
        <v>2.2799999999999998</v>
      </c>
      <c r="G13" s="94">
        <f t="shared" si="1"/>
        <v>227999.99999999997</v>
      </c>
      <c r="H13">
        <v>50</v>
      </c>
      <c r="I13">
        <v>100</v>
      </c>
      <c r="J13">
        <v>0.89</v>
      </c>
      <c r="K13" s="52">
        <f t="shared" si="2"/>
        <v>890</v>
      </c>
      <c r="L13">
        <v>0.2</v>
      </c>
      <c r="M13">
        <v>0.4</v>
      </c>
      <c r="N13">
        <v>-0.64</v>
      </c>
      <c r="O13">
        <v>30.93</v>
      </c>
    </row>
    <row r="14" spans="1:17">
      <c r="A14" t="s">
        <v>584</v>
      </c>
      <c r="B14">
        <v>20</v>
      </c>
      <c r="C14" s="33">
        <v>3.27</v>
      </c>
      <c r="D14" s="94">
        <f t="shared" si="0"/>
        <v>327000</v>
      </c>
      <c r="E14">
        <v>52</v>
      </c>
      <c r="F14" s="33">
        <v>1.64</v>
      </c>
      <c r="G14" s="94">
        <f t="shared" si="1"/>
        <v>164000</v>
      </c>
      <c r="H14">
        <v>52</v>
      </c>
      <c r="I14">
        <v>100</v>
      </c>
      <c r="J14">
        <v>0.34</v>
      </c>
      <c r="K14" s="52">
        <f t="shared" si="2"/>
        <v>340</v>
      </c>
      <c r="L14">
        <v>0.1</v>
      </c>
      <c r="M14">
        <v>0.2</v>
      </c>
      <c r="N14">
        <v>-0.64</v>
      </c>
      <c r="O14">
        <v>30.93</v>
      </c>
    </row>
    <row r="15" spans="1:17">
      <c r="A15" t="s">
        <v>560</v>
      </c>
      <c r="B15">
        <v>413</v>
      </c>
      <c r="C15" s="33">
        <v>1.68</v>
      </c>
      <c r="D15" s="94">
        <f t="shared" si="0"/>
        <v>168000</v>
      </c>
      <c r="E15">
        <v>57</v>
      </c>
      <c r="F15" s="33">
        <v>0.91</v>
      </c>
      <c r="G15" s="94">
        <f t="shared" si="1"/>
        <v>91000</v>
      </c>
      <c r="H15">
        <v>53</v>
      </c>
      <c r="I15">
        <v>93</v>
      </c>
      <c r="J15">
        <v>6.82</v>
      </c>
      <c r="K15" s="52">
        <f t="shared" si="2"/>
        <v>6820</v>
      </c>
      <c r="L15">
        <v>4.0999999999999996</v>
      </c>
      <c r="M15">
        <v>7</v>
      </c>
      <c r="N15">
        <v>0.23</v>
      </c>
      <c r="O15">
        <v>34.74</v>
      </c>
    </row>
    <row r="16" spans="1:17">
      <c r="A16" t="s">
        <v>585</v>
      </c>
      <c r="B16">
        <v>20</v>
      </c>
      <c r="C16" s="33">
        <v>4.24</v>
      </c>
      <c r="D16" s="94">
        <f t="shared" si="0"/>
        <v>424000</v>
      </c>
      <c r="E16">
        <v>58</v>
      </c>
      <c r="F16" s="33">
        <v>2.39</v>
      </c>
      <c r="G16" s="94">
        <f t="shared" si="1"/>
        <v>239000</v>
      </c>
      <c r="H16">
        <v>57</v>
      </c>
      <c r="I16">
        <v>99</v>
      </c>
      <c r="J16">
        <v>3.44</v>
      </c>
      <c r="K16" s="52">
        <f t="shared" si="2"/>
        <v>3440</v>
      </c>
      <c r="L16">
        <v>0.8</v>
      </c>
      <c r="M16">
        <v>1.4</v>
      </c>
      <c r="N16">
        <v>-0.64</v>
      </c>
      <c r="O16">
        <v>30.93</v>
      </c>
    </row>
    <row r="17" spans="1:15">
      <c r="A17" t="s">
        <v>345</v>
      </c>
      <c r="B17">
        <v>20</v>
      </c>
      <c r="C17" s="33">
        <v>3.09</v>
      </c>
      <c r="D17" s="94">
        <f t="shared" si="0"/>
        <v>309000</v>
      </c>
      <c r="E17">
        <v>65</v>
      </c>
      <c r="F17" s="33">
        <v>1.97</v>
      </c>
      <c r="G17" s="94">
        <f t="shared" si="1"/>
        <v>197000</v>
      </c>
      <c r="H17">
        <v>64</v>
      </c>
      <c r="I17">
        <v>97</v>
      </c>
      <c r="J17">
        <v>5.27</v>
      </c>
      <c r="K17" s="52">
        <f t="shared" si="2"/>
        <v>5270</v>
      </c>
      <c r="L17">
        <v>1.7</v>
      </c>
      <c r="M17">
        <v>2.6</v>
      </c>
      <c r="N17">
        <v>-0.64</v>
      </c>
      <c r="O17">
        <v>30.93</v>
      </c>
    </row>
    <row r="18" spans="1:15">
      <c r="A18" t="s">
        <v>593</v>
      </c>
      <c r="B18">
        <v>310</v>
      </c>
      <c r="C18" s="33">
        <v>1.94</v>
      </c>
      <c r="D18" s="94">
        <f t="shared" si="0"/>
        <v>194000</v>
      </c>
      <c r="E18">
        <v>31</v>
      </c>
      <c r="F18" s="33">
        <v>0.61</v>
      </c>
      <c r="G18" s="94">
        <f t="shared" si="1"/>
        <v>61000</v>
      </c>
      <c r="H18">
        <v>30</v>
      </c>
      <c r="I18">
        <v>98</v>
      </c>
      <c r="J18">
        <v>1.36</v>
      </c>
      <c r="K18" s="52">
        <f t="shared" si="2"/>
        <v>1360</v>
      </c>
      <c r="L18">
        <v>0.7</v>
      </c>
      <c r="M18">
        <v>2.2000000000000002</v>
      </c>
      <c r="N18">
        <v>0.14000000000000001</v>
      </c>
      <c r="O18">
        <v>34.71</v>
      </c>
    </row>
    <row r="19" spans="1:15">
      <c r="A19" t="s">
        <v>346</v>
      </c>
      <c r="B19">
        <v>20</v>
      </c>
      <c r="C19" s="33">
        <v>2.85</v>
      </c>
      <c r="D19" s="94">
        <f t="shared" si="0"/>
        <v>285000</v>
      </c>
      <c r="E19">
        <v>22</v>
      </c>
      <c r="F19" s="33">
        <v>0.6</v>
      </c>
      <c r="G19" s="94">
        <f t="shared" si="1"/>
        <v>60000</v>
      </c>
      <c r="H19">
        <v>21</v>
      </c>
      <c r="I19">
        <v>95</v>
      </c>
      <c r="J19">
        <v>2.85</v>
      </c>
      <c r="K19" s="52">
        <f t="shared" si="2"/>
        <v>2850</v>
      </c>
      <c r="L19">
        <v>1</v>
      </c>
      <c r="M19">
        <v>4.5</v>
      </c>
      <c r="N19">
        <v>-0.64</v>
      </c>
      <c r="O19">
        <v>30.93</v>
      </c>
    </row>
    <row r="20" spans="1:15">
      <c r="A20" t="s">
        <v>594</v>
      </c>
      <c r="B20">
        <v>150</v>
      </c>
      <c r="C20" s="33">
        <v>1.37</v>
      </c>
      <c r="D20" s="94">
        <f t="shared" si="0"/>
        <v>137000</v>
      </c>
      <c r="E20">
        <v>39</v>
      </c>
      <c r="F20" s="33">
        <v>0.5</v>
      </c>
      <c r="G20" s="94">
        <f t="shared" si="1"/>
        <v>50000</v>
      </c>
      <c r="H20">
        <v>36</v>
      </c>
      <c r="I20">
        <v>92</v>
      </c>
      <c r="J20">
        <v>4.53</v>
      </c>
      <c r="K20" s="52">
        <f t="shared" si="2"/>
        <v>4530</v>
      </c>
      <c r="L20">
        <v>3.3</v>
      </c>
      <c r="M20">
        <v>8.4</v>
      </c>
      <c r="N20">
        <v>0.14000000000000001</v>
      </c>
      <c r="O20">
        <v>34.71</v>
      </c>
    </row>
    <row r="21" spans="1:15">
      <c r="A21" t="s">
        <v>595</v>
      </c>
      <c r="B21">
        <v>500</v>
      </c>
      <c r="C21" s="33">
        <v>1.94</v>
      </c>
      <c r="D21" s="94">
        <f t="shared" si="0"/>
        <v>194000</v>
      </c>
      <c r="E21">
        <v>21</v>
      </c>
      <c r="F21" s="33">
        <v>0.38</v>
      </c>
      <c r="G21" s="94">
        <f t="shared" si="1"/>
        <v>38000</v>
      </c>
      <c r="H21">
        <v>20</v>
      </c>
      <c r="I21">
        <v>96</v>
      </c>
      <c r="J21">
        <v>1.45</v>
      </c>
      <c r="K21" s="52">
        <f t="shared" si="2"/>
        <v>1450</v>
      </c>
      <c r="L21">
        <v>0.7</v>
      </c>
      <c r="M21">
        <v>3.7</v>
      </c>
      <c r="N21">
        <v>0.14000000000000001</v>
      </c>
      <c r="O21">
        <v>34.71</v>
      </c>
    </row>
    <row r="22" spans="1:15">
      <c r="A22" t="s">
        <v>347</v>
      </c>
      <c r="B22">
        <v>20</v>
      </c>
      <c r="C22" s="33">
        <v>2.27</v>
      </c>
      <c r="D22" s="94">
        <f t="shared" si="0"/>
        <v>227000</v>
      </c>
      <c r="E22">
        <v>52</v>
      </c>
      <c r="F22" s="33">
        <v>1.1599999999999999</v>
      </c>
      <c r="G22" s="94">
        <f t="shared" si="1"/>
        <v>115999.99999999999</v>
      </c>
      <c r="H22">
        <v>50</v>
      </c>
      <c r="I22">
        <v>95</v>
      </c>
      <c r="J22">
        <v>5.36</v>
      </c>
      <c r="K22" s="52">
        <f t="shared" si="2"/>
        <v>5360</v>
      </c>
      <c r="L22">
        <v>2.4</v>
      </c>
      <c r="M22">
        <v>4.4000000000000004</v>
      </c>
      <c r="N22">
        <v>-0.64</v>
      </c>
      <c r="O22">
        <v>30.93</v>
      </c>
    </row>
    <row r="23" spans="1:15">
      <c r="A23" t="s">
        <v>509</v>
      </c>
      <c r="B23">
        <v>20</v>
      </c>
      <c r="C23" s="33">
        <v>2.71</v>
      </c>
      <c r="D23" s="94">
        <f t="shared" si="0"/>
        <v>271000</v>
      </c>
      <c r="E23">
        <v>45</v>
      </c>
      <c r="F23" s="33">
        <v>1.1499999999999999</v>
      </c>
      <c r="G23" s="94">
        <f t="shared" si="1"/>
        <v>114999.99999999999</v>
      </c>
      <c r="H23">
        <v>43</v>
      </c>
      <c r="I23">
        <v>95</v>
      </c>
      <c r="J23">
        <v>5.48</v>
      </c>
      <c r="K23" s="52">
        <f t="shared" si="2"/>
        <v>5480</v>
      </c>
      <c r="L23">
        <v>2</v>
      </c>
      <c r="M23">
        <v>4.5999999999999996</v>
      </c>
      <c r="N23">
        <v>-0.64</v>
      </c>
      <c r="O23">
        <v>30.93</v>
      </c>
    </row>
    <row r="24" spans="1:15">
      <c r="A24" t="s">
        <v>554</v>
      </c>
      <c r="B24">
        <v>480</v>
      </c>
      <c r="C24" s="33">
        <v>2.4900000000000002</v>
      </c>
      <c r="D24" s="94">
        <f t="shared" si="0"/>
        <v>249000.00000000003</v>
      </c>
      <c r="E24">
        <v>42</v>
      </c>
      <c r="F24" s="33">
        <v>1</v>
      </c>
      <c r="G24" s="94">
        <f t="shared" si="1"/>
        <v>100000</v>
      </c>
      <c r="H24">
        <v>39</v>
      </c>
      <c r="I24">
        <v>93</v>
      </c>
      <c r="J24">
        <v>7.4</v>
      </c>
      <c r="K24" s="52">
        <f t="shared" si="2"/>
        <v>7400</v>
      </c>
      <c r="L24">
        <v>3</v>
      </c>
      <c r="M24">
        <v>6.9</v>
      </c>
      <c r="N24">
        <v>0.23</v>
      </c>
      <c r="O24">
        <v>34.74</v>
      </c>
    </row>
    <row r="25" spans="1:15">
      <c r="A25" t="s">
        <v>510</v>
      </c>
      <c r="B25">
        <v>20</v>
      </c>
      <c r="C25" s="33">
        <v>5.53</v>
      </c>
      <c r="D25" s="94">
        <f t="shared" si="0"/>
        <v>553000</v>
      </c>
      <c r="E25">
        <v>51</v>
      </c>
      <c r="F25" s="33">
        <v>1.83</v>
      </c>
      <c r="G25" s="94">
        <f t="shared" si="1"/>
        <v>183000</v>
      </c>
      <c r="H25">
        <v>51</v>
      </c>
      <c r="I25">
        <v>100</v>
      </c>
      <c r="J25">
        <v>0.75</v>
      </c>
      <c r="K25" s="52">
        <f t="shared" si="2"/>
        <v>750</v>
      </c>
      <c r="L25">
        <v>0.1</v>
      </c>
      <c r="M25">
        <v>0.3</v>
      </c>
      <c r="N25">
        <v>-0.64</v>
      </c>
      <c r="O25">
        <v>30.93</v>
      </c>
    </row>
    <row r="26" spans="1:15">
      <c r="A26" t="s">
        <v>344</v>
      </c>
      <c r="B26">
        <v>7</v>
      </c>
      <c r="C26" s="33">
        <v>1.23</v>
      </c>
      <c r="D26" s="94">
        <f t="shared" si="0"/>
        <v>123000</v>
      </c>
      <c r="E26">
        <v>66</v>
      </c>
      <c r="F26" s="33">
        <v>0.81</v>
      </c>
      <c r="G26" s="94">
        <f t="shared" si="1"/>
        <v>81000</v>
      </c>
      <c r="H26">
        <v>66</v>
      </c>
      <c r="I26">
        <v>99</v>
      </c>
      <c r="J26">
        <v>0.42</v>
      </c>
      <c r="K26" s="52">
        <f t="shared" si="2"/>
        <v>420</v>
      </c>
      <c r="L26">
        <v>0.3</v>
      </c>
      <c r="M26">
        <v>0.5</v>
      </c>
      <c r="N26">
        <v>-0.64</v>
      </c>
      <c r="O26">
        <v>30.93</v>
      </c>
    </row>
    <row r="27" spans="1:15">
      <c r="A27" t="s">
        <v>587</v>
      </c>
      <c r="B27">
        <v>33</v>
      </c>
      <c r="C27" s="33">
        <v>5.1100000000000003</v>
      </c>
      <c r="D27" s="94">
        <f t="shared" si="0"/>
        <v>511000.00000000006</v>
      </c>
      <c r="E27">
        <v>38</v>
      </c>
      <c r="F27" s="33">
        <v>1.85</v>
      </c>
      <c r="G27" s="94">
        <f t="shared" si="1"/>
        <v>185000</v>
      </c>
      <c r="H27">
        <v>36</v>
      </c>
      <c r="I27">
        <v>96</v>
      </c>
      <c r="J27">
        <v>7.15</v>
      </c>
      <c r="K27" s="52">
        <f t="shared" si="2"/>
        <v>7150</v>
      </c>
      <c r="L27">
        <v>1.4</v>
      </c>
      <c r="M27">
        <v>3.7</v>
      </c>
      <c r="N27">
        <v>-0.64</v>
      </c>
      <c r="O27">
        <v>30.93</v>
      </c>
    </row>
    <row r="28" spans="1:15">
      <c r="A28" t="s">
        <v>558</v>
      </c>
      <c r="B28">
        <v>310</v>
      </c>
      <c r="C28" s="33">
        <v>2.19</v>
      </c>
      <c r="D28" s="94">
        <f t="shared" si="0"/>
        <v>219000</v>
      </c>
      <c r="E28">
        <v>35</v>
      </c>
      <c r="F28" s="33">
        <v>0.71</v>
      </c>
      <c r="G28" s="94">
        <f t="shared" si="1"/>
        <v>71000</v>
      </c>
      <c r="H28">
        <v>33</v>
      </c>
      <c r="I28">
        <v>94</v>
      </c>
      <c r="J28">
        <v>4.97</v>
      </c>
      <c r="K28" s="52">
        <f t="shared" si="2"/>
        <v>4970</v>
      </c>
      <c r="L28">
        <v>2.2999999999999998</v>
      </c>
      <c r="M28">
        <v>6.5</v>
      </c>
      <c r="N28">
        <v>0.23</v>
      </c>
      <c r="O28">
        <v>34.74</v>
      </c>
    </row>
    <row r="29" spans="1:15">
      <c r="A29" t="s">
        <v>547</v>
      </c>
      <c r="B29">
        <v>20</v>
      </c>
      <c r="C29" s="33">
        <v>4.32</v>
      </c>
      <c r="D29" s="94">
        <f t="shared" si="0"/>
        <v>432000</v>
      </c>
      <c r="E29">
        <v>43</v>
      </c>
      <c r="F29" s="33">
        <v>1.72</v>
      </c>
      <c r="G29" s="94">
        <f t="shared" si="1"/>
        <v>172000</v>
      </c>
      <c r="H29">
        <v>43</v>
      </c>
      <c r="I29">
        <v>100</v>
      </c>
      <c r="J29">
        <v>0.92</v>
      </c>
      <c r="K29" s="52">
        <f t="shared" si="2"/>
        <v>920</v>
      </c>
      <c r="L29">
        <v>0.2</v>
      </c>
      <c r="M29">
        <v>0.5</v>
      </c>
      <c r="N29">
        <v>-0.64</v>
      </c>
      <c r="O29">
        <v>30.93</v>
      </c>
    </row>
    <row r="30" spans="1:15">
      <c r="A30" t="s">
        <v>547</v>
      </c>
      <c r="B30">
        <v>42</v>
      </c>
      <c r="C30" s="33">
        <v>2.15</v>
      </c>
      <c r="D30" s="94">
        <f t="shared" si="0"/>
        <v>215000</v>
      </c>
      <c r="E30">
        <v>59</v>
      </c>
      <c r="F30" s="33">
        <v>1.22</v>
      </c>
      <c r="G30" s="94">
        <f t="shared" si="1"/>
        <v>122000</v>
      </c>
      <c r="H30">
        <v>56</v>
      </c>
      <c r="I30">
        <v>96</v>
      </c>
      <c r="J30">
        <v>5.51</v>
      </c>
      <c r="K30" s="52">
        <f t="shared" si="2"/>
        <v>5510</v>
      </c>
      <c r="L30">
        <v>2.6</v>
      </c>
      <c r="M30">
        <v>4.3</v>
      </c>
      <c r="N30">
        <v>-0.64</v>
      </c>
      <c r="O30">
        <v>30.93</v>
      </c>
    </row>
    <row r="31" spans="1:15">
      <c r="A31" t="s">
        <v>557</v>
      </c>
      <c r="B31">
        <v>92</v>
      </c>
      <c r="C31" s="33">
        <v>1.39</v>
      </c>
      <c r="D31" s="94">
        <f t="shared" si="0"/>
        <v>139000</v>
      </c>
      <c r="E31">
        <v>37</v>
      </c>
      <c r="F31" s="33">
        <v>0.42</v>
      </c>
      <c r="G31" s="94">
        <f t="shared" si="1"/>
        <v>42000</v>
      </c>
      <c r="H31">
        <v>31</v>
      </c>
      <c r="I31">
        <v>84</v>
      </c>
      <c r="J31">
        <v>7.99</v>
      </c>
      <c r="K31" s="52">
        <f t="shared" si="2"/>
        <v>7990</v>
      </c>
      <c r="L31">
        <v>5.7</v>
      </c>
      <c r="M31">
        <v>16</v>
      </c>
      <c r="N31">
        <v>0.23</v>
      </c>
      <c r="O31">
        <v>34.74</v>
      </c>
    </row>
    <row r="32" spans="1:15">
      <c r="A32" t="s">
        <v>557</v>
      </c>
      <c r="B32">
        <v>160</v>
      </c>
      <c r="C32" s="33">
        <v>1.55</v>
      </c>
      <c r="D32" s="94">
        <f t="shared" si="0"/>
        <v>155000</v>
      </c>
      <c r="E32">
        <v>39</v>
      </c>
      <c r="F32" s="33">
        <v>0.42</v>
      </c>
      <c r="G32" s="94">
        <f t="shared" si="1"/>
        <v>42000</v>
      </c>
      <c r="H32">
        <v>26</v>
      </c>
      <c r="I32">
        <v>67</v>
      </c>
      <c r="J32">
        <v>19.8</v>
      </c>
      <c r="K32" s="52">
        <f t="shared" si="2"/>
        <v>19800</v>
      </c>
      <c r="L32">
        <v>13</v>
      </c>
      <c r="M32">
        <v>33</v>
      </c>
      <c r="N32">
        <v>0.23</v>
      </c>
      <c r="O32">
        <v>34.74</v>
      </c>
    </row>
    <row r="33" spans="1:15">
      <c r="A33" t="s">
        <v>689</v>
      </c>
      <c r="B33">
        <v>20</v>
      </c>
      <c r="C33" s="33">
        <v>3.54</v>
      </c>
      <c r="D33" s="94">
        <f t="shared" si="0"/>
        <v>354000</v>
      </c>
      <c r="E33">
        <v>26</v>
      </c>
      <c r="F33" s="33">
        <v>1.01</v>
      </c>
      <c r="G33" s="94">
        <f t="shared" si="1"/>
        <v>101000</v>
      </c>
      <c r="H33">
        <v>26</v>
      </c>
      <c r="I33">
        <v>99</v>
      </c>
      <c r="J33">
        <v>0.65</v>
      </c>
      <c r="K33" s="52">
        <f t="shared" si="2"/>
        <v>650</v>
      </c>
      <c r="L33">
        <v>0.2</v>
      </c>
      <c r="M33">
        <v>0.7</v>
      </c>
      <c r="N33">
        <v>-0.64</v>
      </c>
      <c r="O33">
        <v>30.93</v>
      </c>
    </row>
    <row r="36" spans="1:15">
      <c r="A36" t="s">
        <v>596</v>
      </c>
      <c r="B36" t="s">
        <v>597</v>
      </c>
      <c r="C36" t="s">
        <v>312</v>
      </c>
      <c r="D36" t="s">
        <v>598</v>
      </c>
    </row>
    <row r="37" spans="1:15">
      <c r="A37" t="s">
        <v>504</v>
      </c>
      <c r="B37" t="s">
        <v>599</v>
      </c>
      <c r="C37" t="s">
        <v>313</v>
      </c>
      <c r="E37" t="s">
        <v>600</v>
      </c>
      <c r="F37" t="s">
        <v>599</v>
      </c>
    </row>
    <row r="38" spans="1:15">
      <c r="A38" t="s">
        <v>426</v>
      </c>
      <c r="B38" t="s">
        <v>601</v>
      </c>
      <c r="C38">
        <v>20</v>
      </c>
      <c r="D38" t="s">
        <v>602</v>
      </c>
      <c r="E38">
        <v>422</v>
      </c>
      <c r="F38" t="s">
        <v>603</v>
      </c>
      <c r="G38">
        <v>310</v>
      </c>
      <c r="H38" t="s">
        <v>604</v>
      </c>
    </row>
    <row r="39" spans="1:15">
      <c r="A39" t="s">
        <v>605</v>
      </c>
      <c r="B39" t="s">
        <v>606</v>
      </c>
      <c r="C39" t="s">
        <v>607</v>
      </c>
      <c r="D39" t="s">
        <v>608</v>
      </c>
      <c r="E39">
        <v>0.23</v>
      </c>
      <c r="F39" t="s">
        <v>609</v>
      </c>
      <c r="G39">
        <v>0.14000000000000001</v>
      </c>
      <c r="H39" t="s">
        <v>610</v>
      </c>
    </row>
    <row r="40" spans="1:15">
      <c r="A40" t="s">
        <v>611</v>
      </c>
      <c r="B40" t="s">
        <v>612</v>
      </c>
      <c r="C40">
        <v>30.93</v>
      </c>
      <c r="D40" t="s">
        <v>613</v>
      </c>
      <c r="E40">
        <v>34.74</v>
      </c>
      <c r="F40" t="s">
        <v>614</v>
      </c>
      <c r="G40">
        <v>34.71</v>
      </c>
      <c r="H40" t="s">
        <v>615</v>
      </c>
    </row>
    <row r="41" spans="1:15">
      <c r="A41" t="s">
        <v>616</v>
      </c>
      <c r="B41" t="s">
        <v>617</v>
      </c>
      <c r="C41">
        <v>405</v>
      </c>
      <c r="D41" t="s">
        <v>618</v>
      </c>
      <c r="E41">
        <v>254</v>
      </c>
      <c r="F41" t="s">
        <v>619</v>
      </c>
      <c r="G41">
        <v>231</v>
      </c>
      <c r="H41" t="s">
        <v>453</v>
      </c>
    </row>
    <row r="42" spans="1:15">
      <c r="A42" t="s">
        <v>454</v>
      </c>
      <c r="B42" t="s">
        <v>617</v>
      </c>
      <c r="C42">
        <v>0.02</v>
      </c>
      <c r="D42" t="s">
        <v>455</v>
      </c>
      <c r="E42">
        <v>15.9</v>
      </c>
      <c r="F42" t="s">
        <v>456</v>
      </c>
      <c r="G42">
        <v>16.399999999999999</v>
      </c>
      <c r="H42" t="s">
        <v>457</v>
      </c>
    </row>
    <row r="43" spans="1:15">
      <c r="A43" t="s">
        <v>458</v>
      </c>
      <c r="B43" t="s">
        <v>617</v>
      </c>
      <c r="C43">
        <v>0.8</v>
      </c>
      <c r="D43" t="s">
        <v>459</v>
      </c>
      <c r="E43">
        <v>1.2</v>
      </c>
      <c r="F43" t="s">
        <v>460</v>
      </c>
      <c r="G43">
        <v>1.3</v>
      </c>
      <c r="H43" t="s">
        <v>461</v>
      </c>
    </row>
    <row r="44" spans="1:15">
      <c r="A44" t="s">
        <v>462</v>
      </c>
      <c r="B44" t="s">
        <v>617</v>
      </c>
      <c r="C44">
        <v>4.7</v>
      </c>
      <c r="D44" t="s">
        <v>463</v>
      </c>
      <c r="E44">
        <v>26.6</v>
      </c>
      <c r="F44" t="s">
        <v>464</v>
      </c>
      <c r="G44">
        <v>29.2</v>
      </c>
      <c r="H44" t="s">
        <v>465</v>
      </c>
    </row>
    <row r="45" spans="1:15">
      <c r="A45" t="s">
        <v>466</v>
      </c>
      <c r="B45" t="s">
        <v>467</v>
      </c>
      <c r="C45">
        <v>50</v>
      </c>
      <c r="D45" t="s">
        <v>468</v>
      </c>
      <c r="E45">
        <v>3550</v>
      </c>
      <c r="F45" t="s">
        <v>469</v>
      </c>
      <c r="G45">
        <v>600</v>
      </c>
      <c r="H45" t="s">
        <v>470</v>
      </c>
    </row>
    <row r="46" spans="1:15">
      <c r="A46" t="s">
        <v>471</v>
      </c>
      <c r="B46" t="s">
        <v>472</v>
      </c>
      <c r="D46">
        <v>43.2</v>
      </c>
      <c r="E46" t="s">
        <v>473</v>
      </c>
      <c r="F46">
        <v>40.6</v>
      </c>
      <c r="G46" t="s">
        <v>474</v>
      </c>
      <c r="H46" t="s">
        <v>475</v>
      </c>
      <c r="I46" t="s">
        <v>476</v>
      </c>
    </row>
    <row r="47" spans="1:15">
      <c r="A47" t="s">
        <v>477</v>
      </c>
      <c r="B47" t="s">
        <v>472</v>
      </c>
      <c r="D47">
        <v>12</v>
      </c>
      <c r="E47" t="s">
        <v>478</v>
      </c>
      <c r="F47">
        <v>8.8000000000000007</v>
      </c>
      <c r="G47" t="s">
        <v>479</v>
      </c>
      <c r="H47">
        <v>7</v>
      </c>
      <c r="I47" t="s">
        <v>480</v>
      </c>
    </row>
    <row r="48" spans="1:15">
      <c r="A48" t="s">
        <v>320</v>
      </c>
      <c r="B48" t="s">
        <v>321</v>
      </c>
      <c r="E48">
        <v>0.14000000000000001</v>
      </c>
      <c r="F48" t="s">
        <v>481</v>
      </c>
      <c r="G48">
        <v>0.02</v>
      </c>
      <c r="H48" t="s">
        <v>482</v>
      </c>
      <c r="I48">
        <v>0.02</v>
      </c>
      <c r="J48" t="s">
        <v>483</v>
      </c>
    </row>
  </sheetData>
  <sortState ref="A5:Q33">
    <sortCondition ref="A5:A33"/>
  </sortState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EXD Podlaska 2012 Figure 4</vt:lpstr>
      <vt:lpstr>EXD Podlaska 2012 Figure 2 &amp; 4</vt:lpstr>
      <vt:lpstr>EXD Winters Figure 2 &amp; Table 1</vt:lpstr>
      <vt:lpstr>FFD Michotey 2012 Table 1</vt:lpstr>
      <vt:lpstr>FFD Simonato 2009 Table 2</vt:lpstr>
      <vt:lpstr>Compilation</vt:lpstr>
      <vt:lpstr>Kirchman 2007</vt:lpstr>
      <vt:lpstr>Delong 1999</vt:lpstr>
      <vt:lpstr>Ionescu 2009</vt:lpstr>
      <vt:lpstr>PolyriboFISH</vt:lpstr>
      <vt:lpstr>Church 2003</vt:lpstr>
      <vt:lpstr>Karner 2001</vt:lpstr>
      <vt:lpstr>Plots</vt:lpstr>
      <vt:lpstr>Pernthaler 2002b</vt:lpstr>
      <vt:lpstr>Al Ali 2009</vt:lpstr>
      <vt:lpstr>EXD Church 2003</vt:lpstr>
      <vt:lpstr>Herfort 2007</vt:lpstr>
      <vt:lpstr>Bouvier 2002</vt:lpstr>
      <vt:lpstr>Garneau 2008</vt:lpstr>
      <vt:lpstr>Lin 2006</vt:lpstr>
      <vt:lpstr>EXD Manini 2008 Figures 1 &amp;4</vt:lpstr>
      <vt:lpstr>Pernthaler 2002</vt:lpstr>
      <vt:lpstr>Schattenhofer 2009, Figure 5</vt:lpstr>
      <vt:lpstr>Schattenhofer, SI Data</vt:lpstr>
      <vt:lpstr>Tamburini 2009</vt:lpstr>
      <vt:lpstr>Teira 2006</vt:lpstr>
      <vt:lpstr>Teira 2004</vt:lpstr>
      <vt:lpstr>Wakeham 2007 Figure 4</vt:lpstr>
      <vt:lpstr>EXD Wakeham 2012 Figure 4</vt:lpstr>
      <vt:lpstr>Wells 2003, Table 3</vt:lpstr>
    </vt:vector>
  </TitlesOfParts>
  <Company>DePauw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May</dc:creator>
  <cp:lastModifiedBy>Karen Lloyd</cp:lastModifiedBy>
  <dcterms:created xsi:type="dcterms:W3CDTF">2012-07-04T19:19:08Z</dcterms:created>
  <dcterms:modified xsi:type="dcterms:W3CDTF">2013-08-22T16:06:20Z</dcterms:modified>
</cp:coreProperties>
</file>